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wmf" ContentType="image/x-wmf"/>
  <Override PartName="/xl/comments7.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40" yWindow="90" windowWidth="20730" windowHeight="11760"/>
  </bookViews>
  <sheets>
    <sheet name="7PSourceSummary" sheetId="13" r:id="rId1"/>
    <sheet name="forRPM" sheetId="18" r:id="rId2"/>
    <sheet name="SC-New" sheetId="9" r:id="rId3"/>
    <sheet name="SC-Retro" sheetId="8" r:id="rId4"/>
    <sheet name="Units per home" sheetId="5" r:id="rId5"/>
    <sheet name="Accomplishments" sheetId="19" r:id="rId6"/>
    <sheet name="M_Input_Out" sheetId="17" r:id="rId7"/>
    <sheet name="M_Input" sheetId="3" r:id="rId8"/>
    <sheet name="Composite" sheetId="2" r:id="rId9"/>
    <sheet name="RawRTF" sheetId="1" r:id="rId10"/>
    <sheet name="SavingsData&amp;Analysis Tier 1" sheetId="10" r:id="rId11"/>
    <sheet name="SavingsData&amp;Analysis Tier 2" sheetId="11" r:id="rId12"/>
    <sheet name="Usage Data" sheetId="12" r:id="rId13"/>
    <sheet name="CostData&amp;Analysis" sheetId="14" r:id="rId14"/>
  </sheets>
  <externalReferences>
    <externalReference r:id="rId15"/>
    <externalReference r:id="rId16"/>
  </externalReferences>
  <definedNames>
    <definedName name="_Key1" localSheetId="0" hidden="1">#REF!</definedName>
    <definedName name="_Key1" localSheetId="13" hidden="1">#REF!</definedName>
    <definedName name="_Key1" localSheetId="1" hidden="1">#REF!</definedName>
    <definedName name="_Key1" localSheetId="10" hidden="1">#REF!</definedName>
    <definedName name="_Key1" localSheetId="11" hidden="1">#REF!</definedName>
    <definedName name="_Key1" localSheetId="2" hidden="1">#REF!</definedName>
    <definedName name="_Key1" localSheetId="3" hidden="1">#REF!</definedName>
    <definedName name="_Key1" localSheetId="12" hidden="1">#REF!</definedName>
    <definedName name="_Key1" hidden="1">#REF!</definedName>
    <definedName name="_Key1old" localSheetId="0" hidden="1">#REF!</definedName>
    <definedName name="_Key1old" hidden="1">#REF!</definedName>
    <definedName name="_Order1" hidden="1">255</definedName>
    <definedName name="_Sort" localSheetId="0" hidden="1">#REF!</definedName>
    <definedName name="_Sort" localSheetId="13" hidden="1">#REF!</definedName>
    <definedName name="_Sort" localSheetId="1" hidden="1">#REF!</definedName>
    <definedName name="_Sort" localSheetId="10" hidden="1">#REF!</definedName>
    <definedName name="_Sort" localSheetId="11" hidden="1">#REF!</definedName>
    <definedName name="_Sort" localSheetId="2" hidden="1">#REF!</definedName>
    <definedName name="_Sort" localSheetId="3" hidden="1">#REF!</definedName>
    <definedName name="_Sort" localSheetId="12" hidden="1">#REF!</definedName>
    <definedName name="_Sort" hidden="1">#REF!</definedName>
    <definedName name="_SortOld" localSheetId="0" hidden="1">#REF!</definedName>
    <definedName name="_SortOld"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calcMode="manual"/>
</workbook>
</file>

<file path=xl/calcChain.xml><?xml version="1.0" encoding="utf-8"?>
<calcChain xmlns="http://schemas.openxmlformats.org/spreadsheetml/2006/main">
  <c r="D9" i="8"/>
  <c r="D8"/>
  <c r="D9" i="9"/>
  <c r="D8"/>
  <c r="C8" i="8"/>
  <c r="C8" i="9"/>
  <c r="B14" i="5" l="1"/>
  <c r="B23"/>
  <c r="E20"/>
  <c r="B20"/>
  <c r="E14"/>
  <c r="E11"/>
  <c r="B11"/>
  <c r="K27"/>
  <c r="K26"/>
  <c r="L6"/>
  <c r="B36" l="1"/>
  <c r="B40" s="1"/>
  <c r="H2" i="14"/>
  <c r="B41" i="5"/>
  <c r="U37"/>
  <c r="C37"/>
  <c r="B37"/>
  <c r="B42" s="1"/>
  <c r="A9" i="8" l="1"/>
  <c r="E19" i="18" s="1"/>
  <c r="A9" i="9"/>
  <c r="E7" i="18" s="1"/>
  <c r="E13" l="1"/>
  <c r="E9"/>
  <c r="E5"/>
  <c r="E25"/>
  <c r="E21"/>
  <c r="E17"/>
  <c r="E12"/>
  <c r="E4"/>
  <c r="E16"/>
  <c r="E14"/>
  <c r="E10"/>
  <c r="E6"/>
  <c r="E26"/>
  <c r="E22"/>
  <c r="E18"/>
  <c r="E8"/>
  <c r="E24"/>
  <c r="E20"/>
  <c r="E3"/>
  <c r="E11"/>
  <c r="E15"/>
  <c r="E23"/>
  <c r="C26"/>
  <c r="B26"/>
  <c r="C25"/>
  <c r="B25"/>
  <c r="C24"/>
  <c r="B24"/>
  <c r="C23"/>
  <c r="A23" s="1"/>
  <c r="B23"/>
  <c r="C22"/>
  <c r="B22"/>
  <c r="C21"/>
  <c r="B21"/>
  <c r="C20"/>
  <c r="B20"/>
  <c r="C19"/>
  <c r="B19"/>
  <c r="C14"/>
  <c r="B14"/>
  <c r="C13"/>
  <c r="B13"/>
  <c r="C12"/>
  <c r="A12" s="1"/>
  <c r="B12"/>
  <c r="C11"/>
  <c r="B11"/>
  <c r="C10"/>
  <c r="B10"/>
  <c r="C9"/>
  <c r="B9"/>
  <c r="C8"/>
  <c r="B8"/>
  <c r="C7"/>
  <c r="B7"/>
  <c r="C18"/>
  <c r="B18"/>
  <c r="C17"/>
  <c r="B17"/>
  <c r="C16"/>
  <c r="A16" s="1"/>
  <c r="B16"/>
  <c r="C15"/>
  <c r="B15"/>
  <c r="C6"/>
  <c r="A6" s="1"/>
  <c r="B6"/>
  <c r="C5"/>
  <c r="B5"/>
  <c r="C4"/>
  <c r="A4" s="1"/>
  <c r="B4"/>
  <c r="C3"/>
  <c r="B3"/>
  <c r="AD2"/>
  <c r="AC2"/>
  <c r="AB2"/>
  <c r="AA2"/>
  <c r="Z2"/>
  <c r="Y2"/>
  <c r="X2"/>
  <c r="W2"/>
  <c r="V2"/>
  <c r="U2"/>
  <c r="T2"/>
  <c r="S2"/>
  <c r="R2"/>
  <c r="Q2"/>
  <c r="P2"/>
  <c r="O2"/>
  <c r="N2"/>
  <c r="M2"/>
  <c r="L2"/>
  <c r="K2"/>
  <c r="A14" l="1"/>
  <c r="A22"/>
  <c r="A13"/>
  <c r="A26"/>
  <c r="A3"/>
  <c r="A11"/>
  <c r="A19"/>
  <c r="A25"/>
  <c r="A20"/>
  <c r="A21"/>
  <c r="A24"/>
  <c r="A9"/>
  <c r="A10"/>
  <c r="A17"/>
  <c r="A18"/>
  <c r="A7"/>
  <c r="A5"/>
  <c r="A15"/>
  <c r="A8"/>
  <c r="X84" i="8" l="1"/>
  <c r="W84"/>
  <c r="V84"/>
  <c r="U84"/>
  <c r="T84"/>
  <c r="S84"/>
  <c r="R84"/>
  <c r="Q84"/>
  <c r="P84"/>
  <c r="O84"/>
  <c r="N84"/>
  <c r="M84"/>
  <c r="L84"/>
  <c r="K84"/>
  <c r="J84"/>
  <c r="I84"/>
  <c r="H84"/>
  <c r="G84"/>
  <c r="F84"/>
  <c r="E84"/>
  <c r="X105"/>
  <c r="W105"/>
  <c r="V105"/>
  <c r="U105"/>
  <c r="T105"/>
  <c r="S105"/>
  <c r="R105"/>
  <c r="Q105"/>
  <c r="P105"/>
  <c r="O105"/>
  <c r="N105"/>
  <c r="M105"/>
  <c r="L105"/>
  <c r="K105"/>
  <c r="J105"/>
  <c r="I105"/>
  <c r="H105"/>
  <c r="G105"/>
  <c r="F105"/>
  <c r="E105"/>
  <c r="X142"/>
  <c r="W142"/>
  <c r="V142"/>
  <c r="U142"/>
  <c r="T142"/>
  <c r="S142"/>
  <c r="R142"/>
  <c r="Q142"/>
  <c r="P142"/>
  <c r="O142"/>
  <c r="N142"/>
  <c r="M142"/>
  <c r="L142"/>
  <c r="K142"/>
  <c r="J142"/>
  <c r="I142"/>
  <c r="H142"/>
  <c r="G142"/>
  <c r="F142"/>
  <c r="E142"/>
  <c r="X115" i="9"/>
  <c r="W115"/>
  <c r="V115"/>
  <c r="U115"/>
  <c r="T115"/>
  <c r="S115"/>
  <c r="R115"/>
  <c r="Q115"/>
  <c r="P115"/>
  <c r="O115"/>
  <c r="N115"/>
  <c r="M115"/>
  <c r="L115"/>
  <c r="K115"/>
  <c r="J115"/>
  <c r="I115"/>
  <c r="H115"/>
  <c r="G115"/>
  <c r="F115"/>
  <c r="E115"/>
  <c r="X78"/>
  <c r="W78"/>
  <c r="V78"/>
  <c r="U78"/>
  <c r="T78"/>
  <c r="S78"/>
  <c r="R78"/>
  <c r="Q78"/>
  <c r="P78"/>
  <c r="O78"/>
  <c r="N78"/>
  <c r="M78"/>
  <c r="L78"/>
  <c r="K78"/>
  <c r="J78"/>
  <c r="I78"/>
  <c r="H78"/>
  <c r="G78"/>
  <c r="F78"/>
  <c r="E78"/>
  <c r="X59"/>
  <c r="W59"/>
  <c r="V59"/>
  <c r="U59"/>
  <c r="T59"/>
  <c r="S59"/>
  <c r="R59"/>
  <c r="Q59"/>
  <c r="P59"/>
  <c r="O59"/>
  <c r="N59"/>
  <c r="M59"/>
  <c r="L59"/>
  <c r="K59"/>
  <c r="J59"/>
  <c r="I59"/>
  <c r="H59"/>
  <c r="G59"/>
  <c r="F59"/>
  <c r="E59"/>
  <c r="B19" i="5" l="1"/>
  <c r="B24" s="1"/>
  <c r="B22" s="1"/>
  <c r="C9" i="8"/>
  <c r="C9" i="9"/>
  <c r="D93" i="8"/>
  <c r="J23" i="18" s="1"/>
  <c r="D89" i="8"/>
  <c r="J19" i="18" s="1"/>
  <c r="D85" i="8"/>
  <c r="J15" i="18" s="1"/>
  <c r="D52" i="9"/>
  <c r="D48"/>
  <c r="D44"/>
  <c r="BD19" i="18" l="1"/>
  <c r="F19"/>
  <c r="AU19"/>
  <c r="AS19"/>
  <c r="AG19"/>
  <c r="BB19"/>
  <c r="AM19"/>
  <c r="AH19"/>
  <c r="AY19"/>
  <c r="AL19"/>
  <c r="BC19"/>
  <c r="AJ19"/>
  <c r="BA19"/>
  <c r="AT19"/>
  <c r="AV19"/>
  <c r="AP19"/>
  <c r="AK19"/>
  <c r="AN19"/>
  <c r="AX19"/>
  <c r="AI19"/>
  <c r="AZ19"/>
  <c r="AF19"/>
  <c r="AQ19"/>
  <c r="AW19"/>
  <c r="AO19"/>
  <c r="BD23"/>
  <c r="F23"/>
  <c r="AU23"/>
  <c r="AT23"/>
  <c r="AN23"/>
  <c r="BB23"/>
  <c r="AQ23"/>
  <c r="AH23"/>
  <c r="AY23"/>
  <c r="AS23"/>
  <c r="AK23"/>
  <c r="AV23"/>
  <c r="AL23"/>
  <c r="BC23"/>
  <c r="AF23"/>
  <c r="AW23"/>
  <c r="AO23"/>
  <c r="AI23"/>
  <c r="AZ23"/>
  <c r="AP23"/>
  <c r="AG23"/>
  <c r="AJ23"/>
  <c r="BA23"/>
  <c r="AX23"/>
  <c r="AM23"/>
  <c r="BD15"/>
  <c r="AN15"/>
  <c r="AP15"/>
  <c r="AO15"/>
  <c r="AM15"/>
  <c r="BC15"/>
  <c r="AF15"/>
  <c r="AW15"/>
  <c r="AH15"/>
  <c r="AY15"/>
  <c r="AG15"/>
  <c r="AX15"/>
  <c r="AV15"/>
  <c r="F15"/>
  <c r="AS15"/>
  <c r="AT15"/>
  <c r="BA15"/>
  <c r="AL15"/>
  <c r="BB15"/>
  <c r="AI15"/>
  <c r="AJ15"/>
  <c r="AK15"/>
  <c r="AZ15"/>
  <c r="AU15"/>
  <c r="AQ15"/>
  <c r="D67" i="8"/>
  <c r="D65" i="9"/>
  <c r="J8" i="18" s="1"/>
  <c r="D50" i="8"/>
  <c r="D91"/>
  <c r="J21" i="18" s="1"/>
  <c r="D49" i="8"/>
  <c r="D66"/>
  <c r="D87"/>
  <c r="J17" i="18" s="1"/>
  <c r="D62" i="9"/>
  <c r="J5" i="18" s="1"/>
  <c r="D55" i="8"/>
  <c r="D86"/>
  <c r="J16" i="18" s="1"/>
  <c r="D45" i="9"/>
  <c r="D43"/>
  <c r="D66"/>
  <c r="J9" i="18" s="1"/>
  <c r="D51" i="8"/>
  <c r="D71"/>
  <c r="D70" i="9"/>
  <c r="J13" i="18" s="1"/>
  <c r="D54" i="8"/>
  <c r="D51" i="9"/>
  <c r="D60"/>
  <c r="J3" i="18" s="1"/>
  <c r="D64" i="9"/>
  <c r="J7" i="18" s="1"/>
  <c r="D68" i="9"/>
  <c r="J11" i="18" s="1"/>
  <c r="D50" i="9"/>
  <c r="D49"/>
  <c r="D63"/>
  <c r="J6" i="18" s="1"/>
  <c r="D67" i="9"/>
  <c r="J10" i="18" s="1"/>
  <c r="D71" i="9"/>
  <c r="J14" i="18" s="1"/>
  <c r="D52" i="8"/>
  <c r="D57"/>
  <c r="D59"/>
  <c r="D68"/>
  <c r="D72"/>
  <c r="D76"/>
  <c r="D88"/>
  <c r="J18" i="18" s="1"/>
  <c r="D92" i="8"/>
  <c r="J22" i="18" s="1"/>
  <c r="D96" i="8"/>
  <c r="J26" i="18" s="1"/>
  <c r="D56" i="8"/>
  <c r="D75"/>
  <c r="D95"/>
  <c r="J25" i="18" s="1"/>
  <c r="D42" i="9"/>
  <c r="D41"/>
  <c r="D61"/>
  <c r="J4" i="18" s="1"/>
  <c r="D69" i="9"/>
  <c r="J12" i="18" s="1"/>
  <c r="D70" i="8"/>
  <c r="D74"/>
  <c r="D90"/>
  <c r="J20" i="18" s="1"/>
  <c r="D94" i="8"/>
  <c r="J24" i="18" s="1"/>
  <c r="D48" i="8"/>
  <c r="D53"/>
  <c r="D58"/>
  <c r="D65"/>
  <c r="D69"/>
  <c r="D73"/>
  <c r="D47" i="9"/>
  <c r="D46"/>
  <c r="AX4" i="18" l="1"/>
  <c r="AN4"/>
  <c r="BB4"/>
  <c r="AT4"/>
  <c r="BA4"/>
  <c r="AV4"/>
  <c r="AU4"/>
  <c r="AW4"/>
  <c r="AJ4"/>
  <c r="AO4"/>
  <c r="AM4"/>
  <c r="BD4"/>
  <c r="AL4"/>
  <c r="F4"/>
  <c r="AG4"/>
  <c r="AZ4"/>
  <c r="AH4"/>
  <c r="AF4"/>
  <c r="AY4"/>
  <c r="BC4"/>
  <c r="AQ4"/>
  <c r="AK4"/>
  <c r="AS4"/>
  <c r="AP4"/>
  <c r="AI4"/>
  <c r="BD11"/>
  <c r="AP11"/>
  <c r="AO11"/>
  <c r="AJ11"/>
  <c r="BA11"/>
  <c r="AY11"/>
  <c r="AQ11"/>
  <c r="AG11"/>
  <c r="AX11"/>
  <c r="AS11"/>
  <c r="AL11"/>
  <c r="AI11"/>
  <c r="AZ11"/>
  <c r="AH11"/>
  <c r="AK11"/>
  <c r="BB11"/>
  <c r="AF11"/>
  <c r="AW11"/>
  <c r="AU11"/>
  <c r="AM11"/>
  <c r="BC11"/>
  <c r="AT11"/>
  <c r="AN11"/>
  <c r="F11"/>
  <c r="AV11"/>
  <c r="BD7"/>
  <c r="AK7"/>
  <c r="AN7"/>
  <c r="AU7"/>
  <c r="AG7"/>
  <c r="AI7"/>
  <c r="AZ7"/>
  <c r="F7"/>
  <c r="AF7"/>
  <c r="AW7"/>
  <c r="AL7"/>
  <c r="BC7"/>
  <c r="AX7"/>
  <c r="AQ7"/>
  <c r="AJ7"/>
  <c r="BA7"/>
  <c r="AP7"/>
  <c r="BB7"/>
  <c r="AV7"/>
  <c r="AH7"/>
  <c r="AM7"/>
  <c r="AO7"/>
  <c r="AT7"/>
  <c r="AS7"/>
  <c r="AY7"/>
  <c r="BC21"/>
  <c r="BD21"/>
  <c r="AX21"/>
  <c r="AS21"/>
  <c r="AM21"/>
  <c r="AG21"/>
  <c r="F21"/>
  <c r="BB21"/>
  <c r="AW21"/>
  <c r="AQ21"/>
  <c r="AK21"/>
  <c r="BA21"/>
  <c r="AO21"/>
  <c r="AF21"/>
  <c r="AZ21"/>
  <c r="AN21"/>
  <c r="AV21"/>
  <c r="AJ21"/>
  <c r="AT21"/>
  <c r="AI21"/>
  <c r="AU21"/>
  <c r="AL21"/>
  <c r="AP21"/>
  <c r="AH21"/>
  <c r="AY21"/>
  <c r="BC24"/>
  <c r="BA24"/>
  <c r="AS24"/>
  <c r="AJ24"/>
  <c r="AX24"/>
  <c r="AO24"/>
  <c r="AG24"/>
  <c r="F24"/>
  <c r="AN24"/>
  <c r="BB24"/>
  <c r="AK24"/>
  <c r="AW24"/>
  <c r="AF24"/>
  <c r="AT24"/>
  <c r="AI24"/>
  <c r="AZ24"/>
  <c r="AL24"/>
  <c r="AM24"/>
  <c r="BD24"/>
  <c r="AP24"/>
  <c r="AQ24"/>
  <c r="AU24"/>
  <c r="AV24"/>
  <c r="AH24"/>
  <c r="AY24"/>
  <c r="BC12"/>
  <c r="BA12"/>
  <c r="AV12"/>
  <c r="AO12"/>
  <c r="AJ12"/>
  <c r="BB12"/>
  <c r="AT12"/>
  <c r="AM12"/>
  <c r="AF12"/>
  <c r="AZ12"/>
  <c r="AS12"/>
  <c r="AK12"/>
  <c r="AX12"/>
  <c r="AQ12"/>
  <c r="AI12"/>
  <c r="F12"/>
  <c r="BD12"/>
  <c r="AW12"/>
  <c r="AN12"/>
  <c r="AG12"/>
  <c r="AL12"/>
  <c r="AU12"/>
  <c r="AH12"/>
  <c r="AY12"/>
  <c r="AP12"/>
  <c r="BC25"/>
  <c r="BD25"/>
  <c r="AX25"/>
  <c r="AS25"/>
  <c r="AM25"/>
  <c r="AG25"/>
  <c r="F25"/>
  <c r="BB25"/>
  <c r="AW25"/>
  <c r="AQ25"/>
  <c r="AK25"/>
  <c r="AF25"/>
  <c r="AT25"/>
  <c r="AI25"/>
  <c r="BA25"/>
  <c r="AO25"/>
  <c r="AZ25"/>
  <c r="AN25"/>
  <c r="AV25"/>
  <c r="AJ25"/>
  <c r="AP25"/>
  <c r="AU25"/>
  <c r="AH25"/>
  <c r="AY25"/>
  <c r="AL25"/>
  <c r="BA22"/>
  <c r="AQ22"/>
  <c r="BD22"/>
  <c r="AM22"/>
  <c r="AZ22"/>
  <c r="AV22"/>
  <c r="AI22"/>
  <c r="F22"/>
  <c r="BC22"/>
  <c r="AO22"/>
  <c r="AS22"/>
  <c r="AL22"/>
  <c r="AP22"/>
  <c r="AG22"/>
  <c r="AX22"/>
  <c r="AY22"/>
  <c r="AJ22"/>
  <c r="AU22"/>
  <c r="AK22"/>
  <c r="BB22"/>
  <c r="AN22"/>
  <c r="AH22"/>
  <c r="AW22"/>
  <c r="AF22"/>
  <c r="AT22"/>
  <c r="BA14"/>
  <c r="AQ14"/>
  <c r="BD14"/>
  <c r="AI14"/>
  <c r="AZ14"/>
  <c r="AV14"/>
  <c r="F14"/>
  <c r="AM14"/>
  <c r="AH14"/>
  <c r="AY14"/>
  <c r="AK14"/>
  <c r="BB14"/>
  <c r="AS14"/>
  <c r="AP14"/>
  <c r="AT14"/>
  <c r="AJ14"/>
  <c r="AU14"/>
  <c r="AG14"/>
  <c r="AX14"/>
  <c r="AN14"/>
  <c r="BC14"/>
  <c r="AW14"/>
  <c r="AL14"/>
  <c r="AF14"/>
  <c r="AO14"/>
  <c r="AO16"/>
  <c r="BB16"/>
  <c r="BA16"/>
  <c r="AW16"/>
  <c r="AK16"/>
  <c r="AI16"/>
  <c r="AZ16"/>
  <c r="AH16"/>
  <c r="AY16"/>
  <c r="AX16"/>
  <c r="AS16"/>
  <c r="AF16"/>
  <c r="AQ16"/>
  <c r="AP16"/>
  <c r="AJ16"/>
  <c r="AT16"/>
  <c r="BD16"/>
  <c r="AL16"/>
  <c r="AG16"/>
  <c r="F16"/>
  <c r="AM16"/>
  <c r="BC16"/>
  <c r="AV16"/>
  <c r="AN16"/>
  <c r="AU16"/>
  <c r="BC8"/>
  <c r="AT8"/>
  <c r="AG8"/>
  <c r="F8"/>
  <c r="BB8"/>
  <c r="AN8"/>
  <c r="AX8"/>
  <c r="AK8"/>
  <c r="AW8"/>
  <c r="AF8"/>
  <c r="AO8"/>
  <c r="AS8"/>
  <c r="AI8"/>
  <c r="AZ8"/>
  <c r="AU8"/>
  <c r="AQ8"/>
  <c r="AL8"/>
  <c r="AJ8"/>
  <c r="AV8"/>
  <c r="AP8"/>
  <c r="AM8"/>
  <c r="BA8"/>
  <c r="BD8"/>
  <c r="AH8"/>
  <c r="AY8"/>
  <c r="BC20"/>
  <c r="BA20"/>
  <c r="AS20"/>
  <c r="AJ20"/>
  <c r="AT20"/>
  <c r="AG20"/>
  <c r="BB20"/>
  <c r="AO20"/>
  <c r="AF20"/>
  <c r="AX20"/>
  <c r="AN20"/>
  <c r="AW20"/>
  <c r="AK20"/>
  <c r="F20"/>
  <c r="AM20"/>
  <c r="BD20"/>
  <c r="AH20"/>
  <c r="AY20"/>
  <c r="AV20"/>
  <c r="AP20"/>
  <c r="AI20"/>
  <c r="AZ20"/>
  <c r="AU20"/>
  <c r="AQ20"/>
  <c r="AL20"/>
  <c r="AV18"/>
  <c r="F18"/>
  <c r="AU18"/>
  <c r="AG18"/>
  <c r="AX18"/>
  <c r="AF18"/>
  <c r="AW18"/>
  <c r="AM18"/>
  <c r="AQ18"/>
  <c r="AL18"/>
  <c r="BC18"/>
  <c r="AO18"/>
  <c r="AN18"/>
  <c r="BD18"/>
  <c r="AI18"/>
  <c r="AH18"/>
  <c r="AK18"/>
  <c r="AJ18"/>
  <c r="AP18"/>
  <c r="AS18"/>
  <c r="BA18"/>
  <c r="AY18"/>
  <c r="BB18"/>
  <c r="AT18"/>
  <c r="AZ18"/>
  <c r="BA10"/>
  <c r="AI10"/>
  <c r="BD10"/>
  <c r="AZ10"/>
  <c r="F10"/>
  <c r="AM10"/>
  <c r="AP10"/>
  <c r="AK10"/>
  <c r="BB10"/>
  <c r="AN10"/>
  <c r="AV10"/>
  <c r="AH10"/>
  <c r="AY10"/>
  <c r="AT10"/>
  <c r="AF10"/>
  <c r="AW10"/>
  <c r="AL10"/>
  <c r="BC10"/>
  <c r="AG10"/>
  <c r="AX10"/>
  <c r="AU10"/>
  <c r="AS10"/>
  <c r="AO10"/>
  <c r="AJ10"/>
  <c r="AQ10"/>
  <c r="BC9"/>
  <c r="BA9"/>
  <c r="AS9"/>
  <c r="AK9"/>
  <c r="AW9"/>
  <c r="AM9"/>
  <c r="BD9"/>
  <c r="AV9"/>
  <c r="AJ9"/>
  <c r="F9"/>
  <c r="BB9"/>
  <c r="AQ9"/>
  <c r="AG9"/>
  <c r="AF9"/>
  <c r="AX9"/>
  <c r="AO9"/>
  <c r="AT9"/>
  <c r="AP9"/>
  <c r="AI9"/>
  <c r="AH9"/>
  <c r="AY9"/>
  <c r="AN9"/>
  <c r="AL9"/>
  <c r="AZ9"/>
  <c r="AU9"/>
  <c r="AM6"/>
  <c r="AV6"/>
  <c r="AZ6"/>
  <c r="BA6"/>
  <c r="BC6"/>
  <c r="AG6"/>
  <c r="AX6"/>
  <c r="AP6"/>
  <c r="AN6"/>
  <c r="AL6"/>
  <c r="AO6"/>
  <c r="F6"/>
  <c r="AF6"/>
  <c r="AW6"/>
  <c r="AQ6"/>
  <c r="AK6"/>
  <c r="AS6"/>
  <c r="AY6"/>
  <c r="BD6"/>
  <c r="AU6"/>
  <c r="AJ6"/>
  <c r="AI6"/>
  <c r="AT6"/>
  <c r="AH6"/>
  <c r="BB6"/>
  <c r="BB13"/>
  <c r="AW13"/>
  <c r="AN13"/>
  <c r="AF13"/>
  <c r="AV13"/>
  <c r="AJ13"/>
  <c r="F13"/>
  <c r="BD13"/>
  <c r="AS13"/>
  <c r="AI13"/>
  <c r="BA13"/>
  <c r="AQ13"/>
  <c r="AZ13"/>
  <c r="AM13"/>
  <c r="AU13"/>
  <c r="AG13"/>
  <c r="AX13"/>
  <c r="AL13"/>
  <c r="BC13"/>
  <c r="AO13"/>
  <c r="AP13"/>
  <c r="AT13"/>
  <c r="AH13"/>
  <c r="AK13"/>
  <c r="AY13"/>
  <c r="AZ5"/>
  <c r="AM5"/>
  <c r="AX5"/>
  <c r="BD5"/>
  <c r="BB5"/>
  <c r="AV5"/>
  <c r="AI5"/>
  <c r="AL5"/>
  <c r="AG5"/>
  <c r="AW5"/>
  <c r="AF5"/>
  <c r="AJ5"/>
  <c r="AT5"/>
  <c r="AU5"/>
  <c r="AS5"/>
  <c r="AQ5"/>
  <c r="AK5"/>
  <c r="BA5"/>
  <c r="AP5"/>
  <c r="AO5"/>
  <c r="AY5"/>
  <c r="F5"/>
  <c r="AH5"/>
  <c r="BC5"/>
  <c r="AN5"/>
  <c r="BA26"/>
  <c r="BD26"/>
  <c r="AM26"/>
  <c r="F26"/>
  <c r="AZ26"/>
  <c r="AI26"/>
  <c r="AV26"/>
  <c r="AQ26"/>
  <c r="AY26"/>
  <c r="AK26"/>
  <c r="BB26"/>
  <c r="AF26"/>
  <c r="AW26"/>
  <c r="AH26"/>
  <c r="BC26"/>
  <c r="AO26"/>
  <c r="AU26"/>
  <c r="AJ26"/>
  <c r="AL26"/>
  <c r="AT26"/>
  <c r="AN26"/>
  <c r="AP26"/>
  <c r="AG26"/>
  <c r="AX26"/>
  <c r="AS26"/>
  <c r="BD3"/>
  <c r="AY3"/>
  <c r="AO3"/>
  <c r="AJ3"/>
  <c r="BA3"/>
  <c r="AU3"/>
  <c r="AT3"/>
  <c r="AI3"/>
  <c r="AZ3"/>
  <c r="AH3"/>
  <c r="AS3"/>
  <c r="F3"/>
  <c r="AQ3"/>
  <c r="AN3"/>
  <c r="BC3"/>
  <c r="AX3"/>
  <c r="AP3"/>
  <c r="AF3"/>
  <c r="AL3"/>
  <c r="AK3"/>
  <c r="AV3"/>
  <c r="AG3"/>
  <c r="AW3"/>
  <c r="BB3"/>
  <c r="AM3"/>
  <c r="AW17"/>
  <c r="BB17"/>
  <c r="BA17"/>
  <c r="AZ17"/>
  <c r="AQ17"/>
  <c r="AI17"/>
  <c r="BD17"/>
  <c r="AS17"/>
  <c r="AP17"/>
  <c r="F17"/>
  <c r="AM17"/>
  <c r="AF17"/>
  <c r="AH17"/>
  <c r="AY17"/>
  <c r="AT17"/>
  <c r="AJ17"/>
  <c r="AN17"/>
  <c r="AG17"/>
  <c r="AO17"/>
  <c r="AV17"/>
  <c r="BC17"/>
  <c r="AX17"/>
  <c r="AK17"/>
  <c r="AL17"/>
  <c r="AU17"/>
  <c r="D14" i="1"/>
  <c r="D13"/>
  <c r="D12"/>
  <c r="D11"/>
  <c r="D10"/>
  <c r="D9"/>
  <c r="D8"/>
  <c r="C36" i="5" l="1"/>
  <c r="B43" i="9" l="1"/>
  <c r="C47"/>
  <c r="B47" s="1"/>
  <c r="C51" l="1"/>
  <c r="B51" s="1"/>
  <c r="C41" i="5"/>
  <c r="D36"/>
  <c r="D41" s="1"/>
  <c r="E36"/>
  <c r="E41" s="1"/>
  <c r="F36"/>
  <c r="F41" s="1"/>
  <c r="G36"/>
  <c r="G41" s="1"/>
  <c r="H36"/>
  <c r="H41" s="1"/>
  <c r="I36"/>
  <c r="I41" s="1"/>
  <c r="J36"/>
  <c r="J41" s="1"/>
  <c r="K36"/>
  <c r="K41" s="1"/>
  <c r="L36"/>
  <c r="L41" s="1"/>
  <c r="M36"/>
  <c r="M41" s="1"/>
  <c r="N36"/>
  <c r="N41" s="1"/>
  <c r="O36"/>
  <c r="O41" s="1"/>
  <c r="P36"/>
  <c r="P41" s="1"/>
  <c r="Q36"/>
  <c r="Q41" s="1"/>
  <c r="R36"/>
  <c r="R41" s="1"/>
  <c r="S36"/>
  <c r="S41" s="1"/>
  <c r="T36"/>
  <c r="T41" s="1"/>
  <c r="U36"/>
  <c r="U41" s="1"/>
  <c r="D37"/>
  <c r="D42" s="1"/>
  <c r="E37"/>
  <c r="E42" s="1"/>
  <c r="H37"/>
  <c r="L37"/>
  <c r="L42" s="1"/>
  <c r="M37"/>
  <c r="M42" s="1"/>
  <c r="P37"/>
  <c r="P42" s="1"/>
  <c r="T37"/>
  <c r="T42" s="1"/>
  <c r="U42"/>
  <c r="X12" i="8"/>
  <c r="W12"/>
  <c r="V12"/>
  <c r="U12"/>
  <c r="T12"/>
  <c r="S12"/>
  <c r="R12"/>
  <c r="Q12"/>
  <c r="P12"/>
  <c r="O12"/>
  <c r="N12"/>
  <c r="M12"/>
  <c r="L12"/>
  <c r="K12"/>
  <c r="J12"/>
  <c r="I12"/>
  <c r="H12"/>
  <c r="G12"/>
  <c r="F12"/>
  <c r="E12"/>
  <c r="X12" i="9"/>
  <c r="W12"/>
  <c r="V12"/>
  <c r="U12"/>
  <c r="T12"/>
  <c r="S12"/>
  <c r="R12"/>
  <c r="Q12"/>
  <c r="P12"/>
  <c r="O12"/>
  <c r="N12"/>
  <c r="M12"/>
  <c r="L12"/>
  <c r="K12"/>
  <c r="J12"/>
  <c r="I12"/>
  <c r="H12"/>
  <c r="G12"/>
  <c r="F12"/>
  <c r="E12"/>
  <c r="F13" i="1"/>
  <c r="J11" i="14"/>
  <c r="I11"/>
  <c r="H10"/>
  <c r="H9"/>
  <c r="H13" s="1"/>
  <c r="F14" i="1" s="1"/>
  <c r="H8" i="14"/>
  <c r="J3"/>
  <c r="I3"/>
  <c r="H3"/>
  <c r="J2"/>
  <c r="I2"/>
  <c r="I4" s="1"/>
  <c r="F8" i="1"/>
  <c r="H4" i="14" l="1"/>
  <c r="H11"/>
  <c r="F11" i="1"/>
  <c r="J4" i="14"/>
  <c r="H40" i="5"/>
  <c r="H42"/>
  <c r="T40"/>
  <c r="U40"/>
  <c r="P40"/>
  <c r="E40"/>
  <c r="M40"/>
  <c r="L40"/>
  <c r="D40"/>
  <c r="G37"/>
  <c r="K37"/>
  <c r="O37"/>
  <c r="S37"/>
  <c r="F37"/>
  <c r="J37"/>
  <c r="N37"/>
  <c r="R37"/>
  <c r="Q37"/>
  <c r="I37"/>
  <c r="K4" i="14"/>
  <c r="F10" i="1" l="1"/>
  <c r="F9"/>
  <c r="F12"/>
  <c r="K11" i="14"/>
  <c r="R40" i="5"/>
  <c r="R42"/>
  <c r="S40"/>
  <c r="S42"/>
  <c r="C40"/>
  <c r="C42"/>
  <c r="Q40"/>
  <c r="Q42"/>
  <c r="F40"/>
  <c r="F42"/>
  <c r="G40"/>
  <c r="G42"/>
  <c r="I40"/>
  <c r="I42"/>
  <c r="J40"/>
  <c r="J42"/>
  <c r="K40"/>
  <c r="K42"/>
  <c r="N40"/>
  <c r="N42"/>
  <c r="O40"/>
  <c r="O42"/>
  <c r="B61" i="9" l="1"/>
  <c r="H4" i="18" s="1"/>
  <c r="A68" i="9"/>
  <c r="G11" i="18" s="1"/>
  <c r="B69" i="9"/>
  <c r="H12" i="18" s="1"/>
  <c r="A71" i="9"/>
  <c r="G14" i="18" s="1"/>
  <c r="A70" i="9"/>
  <c r="G13" i="18" s="1"/>
  <c r="A69" i="9"/>
  <c r="G12" i="18" s="1"/>
  <c r="B68" i="9"/>
  <c r="H11" i="18" s="1"/>
  <c r="A67" i="9"/>
  <c r="G10" i="18" s="1"/>
  <c r="B66" i="9"/>
  <c r="H9" i="18" s="1"/>
  <c r="A65" i="9"/>
  <c r="G8" i="18" s="1"/>
  <c r="B64" i="9"/>
  <c r="H7" i="18" s="1"/>
  <c r="A63" i="9"/>
  <c r="G6" i="18" s="1"/>
  <c r="B62" i="9"/>
  <c r="H5" i="18" s="1"/>
  <c r="A61" i="9"/>
  <c r="G4" i="18" s="1"/>
  <c r="A60" i="9"/>
  <c r="G3" i="18" s="1"/>
  <c r="C63" i="9"/>
  <c r="I6" i="18" s="1"/>
  <c r="C71" i="9"/>
  <c r="I14" i="18" s="1"/>
  <c r="A96" i="8"/>
  <c r="G26" i="18" s="1"/>
  <c r="B95" i="8"/>
  <c r="H25" i="18" s="1"/>
  <c r="B94" i="8"/>
  <c r="H24" i="18" s="1"/>
  <c r="B93" i="8"/>
  <c r="H23" i="18" s="1"/>
  <c r="B92" i="8"/>
  <c r="H22" i="18" s="1"/>
  <c r="B91" i="8"/>
  <c r="H21" i="18" s="1"/>
  <c r="B90" i="8"/>
  <c r="H20" i="18" s="1"/>
  <c r="B89" i="8"/>
  <c r="H19" i="18" s="1"/>
  <c r="B88" i="8"/>
  <c r="H18" i="18" s="1"/>
  <c r="B87" i="8"/>
  <c r="H17" i="18" s="1"/>
  <c r="B86" i="8"/>
  <c r="H16" i="18" s="1"/>
  <c r="A85" i="8"/>
  <c r="G15" i="18" s="1"/>
  <c r="C34" i="9"/>
  <c r="C30"/>
  <c r="C67" s="1"/>
  <c r="I10" i="18" s="1"/>
  <c r="A9" i="3"/>
  <c r="A10"/>
  <c r="A8"/>
  <c r="Q22" i="2"/>
  <c r="Q23"/>
  <c r="Q24"/>
  <c r="C24"/>
  <c r="B10" i="3" s="1"/>
  <c r="C23" i="2"/>
  <c r="B9" i="3" s="1"/>
  <c r="C22" i="2"/>
  <c r="B8" i="3" s="1"/>
  <c r="B8" i="2"/>
  <c r="C8"/>
  <c r="D8"/>
  <c r="E8"/>
  <c r="F8"/>
  <c r="F13" s="1"/>
  <c r="G8"/>
  <c r="H8"/>
  <c r="I8"/>
  <c r="J8"/>
  <c r="K8"/>
  <c r="L8"/>
  <c r="M8"/>
  <c r="N8"/>
  <c r="O8"/>
  <c r="P8"/>
  <c r="B9"/>
  <c r="C9"/>
  <c r="D9"/>
  <c r="D11" s="1"/>
  <c r="D12" s="1"/>
  <c r="D24" s="1"/>
  <c r="C10" i="3" s="1"/>
  <c r="E9" i="2"/>
  <c r="F9"/>
  <c r="G9"/>
  <c r="H9"/>
  <c r="I9"/>
  <c r="J9"/>
  <c r="K9"/>
  <c r="L9"/>
  <c r="M9"/>
  <c r="N9"/>
  <c r="O9"/>
  <c r="P9"/>
  <c r="B11"/>
  <c r="C11"/>
  <c r="E11"/>
  <c r="F11"/>
  <c r="G11"/>
  <c r="H11"/>
  <c r="I11"/>
  <c r="J11"/>
  <c r="K11"/>
  <c r="L11"/>
  <c r="M11"/>
  <c r="N11"/>
  <c r="O11"/>
  <c r="P11"/>
  <c r="B13"/>
  <c r="C13"/>
  <c r="E13"/>
  <c r="G13"/>
  <c r="H13"/>
  <c r="I13"/>
  <c r="J13"/>
  <c r="K13"/>
  <c r="L13"/>
  <c r="M13"/>
  <c r="N13"/>
  <c r="O13"/>
  <c r="P13"/>
  <c r="F7"/>
  <c r="F22" s="1"/>
  <c r="E8" i="3" s="1"/>
  <c r="F10" i="2" l="1"/>
  <c r="F23" s="1"/>
  <c r="E9" i="3" s="1"/>
  <c r="A94" i="8"/>
  <c r="G24" i="18" s="1"/>
  <c r="A86" i="8"/>
  <c r="G16" i="18" s="1"/>
  <c r="B63" i="9"/>
  <c r="H6" i="18" s="1"/>
  <c r="A90" i="8"/>
  <c r="G20" i="18" s="1"/>
  <c r="B71" i="9"/>
  <c r="H14" i="18" s="1"/>
  <c r="B65" i="9"/>
  <c r="H8" i="18" s="1"/>
  <c r="B60" i="9"/>
  <c r="H3" i="18" s="1"/>
  <c r="B67" i="9"/>
  <c r="H10" i="18" s="1"/>
  <c r="A66" i="9"/>
  <c r="G9" i="18" s="1"/>
  <c r="A64" i="9"/>
  <c r="G7" i="18" s="1"/>
  <c r="A62" i="9"/>
  <c r="G5" i="18" s="1"/>
  <c r="B70" i="9"/>
  <c r="H13" i="18" s="1"/>
  <c r="A92" i="8"/>
  <c r="G22" i="18" s="1"/>
  <c r="A88" i="8"/>
  <c r="G18" i="18" s="1"/>
  <c r="B96" i="8"/>
  <c r="H26" i="18" s="1"/>
  <c r="B85" i="8"/>
  <c r="H15" i="18" s="1"/>
  <c r="A95" i="8"/>
  <c r="G25" i="18" s="1"/>
  <c r="A93" i="8"/>
  <c r="G23" i="18" s="1"/>
  <c r="A91" i="8"/>
  <c r="G21" i="18" s="1"/>
  <c r="A89" i="8"/>
  <c r="G19" i="18" s="1"/>
  <c r="A87" i="8"/>
  <c r="G17" i="18" s="1"/>
  <c r="F12" i="2"/>
  <c r="F24" s="1"/>
  <c r="E10" i="3" s="1"/>
  <c r="C31" i="8" l="1"/>
  <c r="C32"/>
  <c r="Z32" s="1"/>
  <c r="C53" i="10"/>
  <c r="Z31" i="8" l="1"/>
  <c r="B31"/>
  <c r="C48"/>
  <c r="Z48" s="1"/>
  <c r="C49"/>
  <c r="Z49" s="1"/>
  <c r="C40"/>
  <c r="Z40" s="1"/>
  <c r="C36"/>
  <c r="Z36" s="1"/>
  <c r="C39"/>
  <c r="Z39" s="1"/>
  <c r="C35"/>
  <c r="Z35" s="1"/>
  <c r="C67" i="11"/>
  <c r="B67"/>
  <c r="D66"/>
  <c r="C66"/>
  <c r="B66"/>
  <c r="C65"/>
  <c r="B65"/>
  <c r="B64"/>
  <c r="P63"/>
  <c r="O63"/>
  <c r="N63"/>
  <c r="M63"/>
  <c r="L63"/>
  <c r="K63"/>
  <c r="J63"/>
  <c r="I63"/>
  <c r="H63"/>
  <c r="G63"/>
  <c r="F63"/>
  <c r="E63"/>
  <c r="C63"/>
  <c r="B63"/>
  <c r="O62"/>
  <c r="L62"/>
  <c r="K62"/>
  <c r="H62"/>
  <c r="E62"/>
  <c r="O99" i="10"/>
  <c r="N99"/>
  <c r="M99"/>
  <c r="F99"/>
  <c r="E99"/>
  <c r="O98"/>
  <c r="N98"/>
  <c r="F98"/>
  <c r="E98"/>
  <c r="M97"/>
  <c r="E97"/>
  <c r="N96"/>
  <c r="L96"/>
  <c r="F96"/>
  <c r="D96"/>
  <c r="N95"/>
  <c r="G95"/>
  <c r="F95"/>
  <c r="L94"/>
  <c r="I94"/>
  <c r="O92"/>
  <c r="E122" s="1"/>
  <c r="N92"/>
  <c r="M92"/>
  <c r="F92"/>
  <c r="O91"/>
  <c r="F122" s="1"/>
  <c r="AD122" s="1"/>
  <c r="F91"/>
  <c r="E91"/>
  <c r="O90"/>
  <c r="G122" s="1"/>
  <c r="AE122" s="1"/>
  <c r="N90"/>
  <c r="M90"/>
  <c r="E90"/>
  <c r="D89"/>
  <c r="O88"/>
  <c r="J122" s="1"/>
  <c r="N88"/>
  <c r="F88"/>
  <c r="J114" s="1"/>
  <c r="D88"/>
  <c r="N85"/>
  <c r="M85"/>
  <c r="G85"/>
  <c r="E85"/>
  <c r="L84"/>
  <c r="H84"/>
  <c r="E84"/>
  <c r="D84"/>
  <c r="F83"/>
  <c r="E83"/>
  <c r="P82"/>
  <c r="O82"/>
  <c r="P81"/>
  <c r="O81"/>
  <c r="G81"/>
  <c r="H80"/>
  <c r="H73" s="1"/>
  <c r="M78"/>
  <c r="F78"/>
  <c r="E78"/>
  <c r="P77"/>
  <c r="O77"/>
  <c r="E77"/>
  <c r="P76"/>
  <c r="M76"/>
  <c r="D76"/>
  <c r="N75"/>
  <c r="D75"/>
  <c r="F74"/>
  <c r="D74"/>
  <c r="O70"/>
  <c r="P68"/>
  <c r="G68"/>
  <c r="P67"/>
  <c r="O67"/>
  <c r="H67"/>
  <c r="Q66"/>
  <c r="Q348" i="12"/>
  <c r="P348"/>
  <c r="N68" i="10" s="1"/>
  <c r="O348" i="12"/>
  <c r="N67" i="10" s="1"/>
  <c r="Q347" i="12"/>
  <c r="O347"/>
  <c r="F67" i="10" s="1"/>
  <c r="Q345" i="12"/>
  <c r="P345"/>
  <c r="F89" i="10" s="1"/>
  <c r="I114" s="1"/>
  <c r="O345" i="12"/>
  <c r="N345"/>
  <c r="M345"/>
  <c r="L345"/>
  <c r="F90" i="10" s="1"/>
  <c r="Q344" i="12"/>
  <c r="N344"/>
  <c r="M344"/>
  <c r="L344"/>
  <c r="N97" i="10" s="1"/>
  <c r="Q343" i="12"/>
  <c r="P343"/>
  <c r="O343"/>
  <c r="N74" i="10" s="1"/>
  <c r="N343" i="12"/>
  <c r="N78" i="10" s="1"/>
  <c r="M343" i="12"/>
  <c r="N77" i="10" s="1"/>
  <c r="L343" i="12"/>
  <c r="N76" i="10" s="1"/>
  <c r="Q342" i="12"/>
  <c r="P342"/>
  <c r="N82" i="10" s="1"/>
  <c r="O342" i="12"/>
  <c r="N81" i="10" s="1"/>
  <c r="N342" i="12"/>
  <c r="M342"/>
  <c r="N84" i="10" s="1"/>
  <c r="L342" i="12"/>
  <c r="N83" i="10" s="1"/>
  <c r="Q341" i="12"/>
  <c r="O341"/>
  <c r="N341"/>
  <c r="L341"/>
  <c r="F97" i="10" s="1"/>
  <c r="Q340" i="12"/>
  <c r="P340"/>
  <c r="F82" i="10" s="1"/>
  <c r="O340" i="12"/>
  <c r="F81" i="10" s="1"/>
  <c r="N340" i="12"/>
  <c r="F85" i="10" s="1"/>
  <c r="M340" i="12"/>
  <c r="F84" i="10" s="1"/>
  <c r="L340" i="12"/>
  <c r="Q339"/>
  <c r="P339"/>
  <c r="F75" i="10" s="1"/>
  <c r="O339" i="12"/>
  <c r="N339"/>
  <c r="M339"/>
  <c r="F77" i="10" s="1"/>
  <c r="L339" i="12"/>
  <c r="F76" i="10" s="1"/>
  <c r="H274" i="12"/>
  <c r="H273"/>
  <c r="H251"/>
  <c r="M84" i="10" s="1"/>
  <c r="H250" i="12"/>
  <c r="M83" i="10" s="1"/>
  <c r="H249" i="12"/>
  <c r="Z244"/>
  <c r="Y244"/>
  <c r="X244"/>
  <c r="W244"/>
  <c r="V244"/>
  <c r="Z243"/>
  <c r="Y243"/>
  <c r="X243"/>
  <c r="W243"/>
  <c r="V243"/>
  <c r="Z242"/>
  <c r="Y242"/>
  <c r="X242"/>
  <c r="W242"/>
  <c r="V242"/>
  <c r="Z241"/>
  <c r="Y241"/>
  <c r="X241"/>
  <c r="W241"/>
  <c r="V241"/>
  <c r="Z240"/>
  <c r="AF193" s="1"/>
  <c r="Y240"/>
  <c r="AE193" s="1"/>
  <c r="D95" i="10" s="1"/>
  <c r="X240" i="12"/>
  <c r="AD193" s="1"/>
  <c r="D99" i="10" s="1"/>
  <c r="W240" i="12"/>
  <c r="V240"/>
  <c r="AB193" s="1"/>
  <c r="D97" i="10" s="1"/>
  <c r="Z239" i="12"/>
  <c r="Y239"/>
  <c r="X239"/>
  <c r="W239"/>
  <c r="V239"/>
  <c r="Z238"/>
  <c r="AF192" s="1"/>
  <c r="D82" i="10" s="1"/>
  <c r="Y238" i="12"/>
  <c r="X238"/>
  <c r="AD192" s="1"/>
  <c r="D85" i="10" s="1"/>
  <c r="W238" i="12"/>
  <c r="AC192" s="1"/>
  <c r="V238"/>
  <c r="AB192" s="1"/>
  <c r="D83" i="10" s="1"/>
  <c r="Z237" i="12"/>
  <c r="Y237"/>
  <c r="X237"/>
  <c r="W237"/>
  <c r="AC191" s="1"/>
  <c r="D77" i="10" s="1"/>
  <c r="V237" i="12"/>
  <c r="Z236"/>
  <c r="AF191" s="1"/>
  <c r="Y236"/>
  <c r="AE191" s="1"/>
  <c r="X236"/>
  <c r="AD191" s="1"/>
  <c r="D78" i="10" s="1"/>
  <c r="W236" i="12"/>
  <c r="V236"/>
  <c r="AB191" s="1"/>
  <c r="Z235"/>
  <c r="Y235"/>
  <c r="X235"/>
  <c r="W235"/>
  <c r="V235"/>
  <c r="Z234"/>
  <c r="Y234"/>
  <c r="X234"/>
  <c r="W234"/>
  <c r="V234"/>
  <c r="Z233"/>
  <c r="Y233"/>
  <c r="X233"/>
  <c r="W233"/>
  <c r="V233"/>
  <c r="Z232"/>
  <c r="Y232"/>
  <c r="X232"/>
  <c r="W232"/>
  <c r="V232"/>
  <c r="Z231"/>
  <c r="Y231"/>
  <c r="X231"/>
  <c r="W231"/>
  <c r="V231"/>
  <c r="Z230"/>
  <c r="Y230"/>
  <c r="X230"/>
  <c r="W230"/>
  <c r="V230"/>
  <c r="Z229"/>
  <c r="Y229"/>
  <c r="X229"/>
  <c r="W229"/>
  <c r="V229"/>
  <c r="Z228"/>
  <c r="Y228"/>
  <c r="X228"/>
  <c r="W228"/>
  <c r="V228"/>
  <c r="Z227"/>
  <c r="Y227"/>
  <c r="X227"/>
  <c r="W227"/>
  <c r="V227"/>
  <c r="Z226"/>
  <c r="Y226"/>
  <c r="X226"/>
  <c r="W226"/>
  <c r="V226"/>
  <c r="Z225"/>
  <c r="Y225"/>
  <c r="L88" i="10" s="1"/>
  <c r="X225" i="12"/>
  <c r="L92" i="10" s="1"/>
  <c r="W225" i="12"/>
  <c r="L91" i="10" s="1"/>
  <c r="V225" i="12"/>
  <c r="L90" i="10" s="1"/>
  <c r="Z224" i="12"/>
  <c r="AF196" s="1"/>
  <c r="Y224"/>
  <c r="X224"/>
  <c r="AD196" s="1"/>
  <c r="L99" i="10" s="1"/>
  <c r="W224" i="12"/>
  <c r="V224"/>
  <c r="AB196" s="1"/>
  <c r="L97" i="10" s="1"/>
  <c r="Z223" i="12"/>
  <c r="Y223"/>
  <c r="X223"/>
  <c r="W223"/>
  <c r="V223"/>
  <c r="Z222"/>
  <c r="Y222"/>
  <c r="X222"/>
  <c r="W222"/>
  <c r="V222"/>
  <c r="AB195" s="1"/>
  <c r="L76" i="10" s="1"/>
  <c r="Z221" i="12"/>
  <c r="Y221"/>
  <c r="X221"/>
  <c r="AD195" s="1"/>
  <c r="L78" i="10" s="1"/>
  <c r="E121" s="1"/>
  <c r="W221" i="12"/>
  <c r="AC195" s="1"/>
  <c r="L77" i="10" s="1"/>
  <c r="V221" i="12"/>
  <c r="Z220"/>
  <c r="Y220"/>
  <c r="X220"/>
  <c r="W220"/>
  <c r="V220"/>
  <c r="Z219"/>
  <c r="Y219"/>
  <c r="X219"/>
  <c r="W219"/>
  <c r="V219"/>
  <c r="Z218"/>
  <c r="Y218"/>
  <c r="X218"/>
  <c r="W218"/>
  <c r="V218"/>
  <c r="Z217"/>
  <c r="Y217"/>
  <c r="X217"/>
  <c r="W217"/>
  <c r="V217"/>
  <c r="Z216"/>
  <c r="Y216"/>
  <c r="X216"/>
  <c r="AD199" s="1"/>
  <c r="D71" i="10" s="1"/>
  <c r="W216" i="12"/>
  <c r="V216"/>
  <c r="Z215"/>
  <c r="Y215"/>
  <c r="AE199" s="1"/>
  <c r="D67" i="10" s="1"/>
  <c r="X215" i="12"/>
  <c r="W215"/>
  <c r="V215"/>
  <c r="Z214"/>
  <c r="Y214"/>
  <c r="X214"/>
  <c r="W214"/>
  <c r="V214"/>
  <c r="Z213"/>
  <c r="Y213"/>
  <c r="X213"/>
  <c r="W213"/>
  <c r="V213"/>
  <c r="Z212"/>
  <c r="Y212"/>
  <c r="X212"/>
  <c r="AD194" s="1"/>
  <c r="L85" i="10" s="1"/>
  <c r="W212" i="12"/>
  <c r="V212"/>
  <c r="Z211"/>
  <c r="AF194" s="1"/>
  <c r="L82" i="10" s="1"/>
  <c r="I120" s="1"/>
  <c r="I65" i="11" s="1"/>
  <c r="M65" s="1"/>
  <c r="Y211" i="12"/>
  <c r="X211"/>
  <c r="W211"/>
  <c r="AC194" s="1"/>
  <c r="V211"/>
  <c r="AB194" s="1"/>
  <c r="L83" i="10" s="1"/>
  <c r="Z210" i="12"/>
  <c r="Y210"/>
  <c r="X210"/>
  <c r="W210"/>
  <c r="V210"/>
  <c r="Z209"/>
  <c r="Y209"/>
  <c r="X209"/>
  <c r="W209"/>
  <c r="V209"/>
  <c r="Z208"/>
  <c r="Y208"/>
  <c r="X208"/>
  <c r="W208"/>
  <c r="V208"/>
  <c r="Z207"/>
  <c r="AF200" s="1"/>
  <c r="L68" i="10" s="1"/>
  <c r="Y207" i="12"/>
  <c r="AE200" s="1"/>
  <c r="L67" i="10" s="1"/>
  <c r="X207" i="12"/>
  <c r="W207"/>
  <c r="AC200" s="1"/>
  <c r="L70" i="10" s="1"/>
  <c r="V207" i="12"/>
  <c r="AB200" s="1"/>
  <c r="L69" i="10" s="1"/>
  <c r="Z206" i="12"/>
  <c r="Y206"/>
  <c r="X206"/>
  <c r="W206"/>
  <c r="V206"/>
  <c r="Z205"/>
  <c r="Y205"/>
  <c r="X205"/>
  <c r="W205"/>
  <c r="V205"/>
  <c r="Z204"/>
  <c r="Y204"/>
  <c r="X204"/>
  <c r="W204"/>
  <c r="V204"/>
  <c r="Z203"/>
  <c r="Y203"/>
  <c r="X203"/>
  <c r="W203"/>
  <c r="V203"/>
  <c r="Z202"/>
  <c r="Y202"/>
  <c r="X202"/>
  <c r="W202"/>
  <c r="V202"/>
  <c r="Z201"/>
  <c r="Y201"/>
  <c r="X201"/>
  <c r="W201"/>
  <c r="V201"/>
  <c r="AD200"/>
  <c r="L71" i="10" s="1"/>
  <c r="Z200" i="12"/>
  <c r="Y200"/>
  <c r="X200"/>
  <c r="W200"/>
  <c r="V200"/>
  <c r="Z199"/>
  <c r="Y199"/>
  <c r="X199"/>
  <c r="W199"/>
  <c r="V199"/>
  <c r="Z198"/>
  <c r="Y198"/>
  <c r="X198"/>
  <c r="W198"/>
  <c r="V198"/>
  <c r="AF197"/>
  <c r="AE197"/>
  <c r="AD197"/>
  <c r="D92" i="10" s="1"/>
  <c r="AC197" i="12"/>
  <c r="D91" i="10" s="1"/>
  <c r="AB197" i="12"/>
  <c r="D90" i="10" s="1"/>
  <c r="Z197" i="12"/>
  <c r="Y197"/>
  <c r="X197"/>
  <c r="W197"/>
  <c r="V197"/>
  <c r="AE196"/>
  <c r="L95" i="10" s="1"/>
  <c r="AC196" i="12"/>
  <c r="L98" i="10" s="1"/>
  <c r="Z196" i="12"/>
  <c r="Y196"/>
  <c r="X196"/>
  <c r="W196"/>
  <c r="V196"/>
  <c r="AF195"/>
  <c r="L75" i="10" s="1"/>
  <c r="Z195" i="12"/>
  <c r="Y195"/>
  <c r="X195"/>
  <c r="W195"/>
  <c r="V195"/>
  <c r="AE194"/>
  <c r="L81" i="10" s="1"/>
  <c r="Z194" i="12"/>
  <c r="Y194"/>
  <c r="X194"/>
  <c r="W194"/>
  <c r="V194"/>
  <c r="AC193"/>
  <c r="D98" i="10" s="1"/>
  <c r="Z193" i="12"/>
  <c r="Y193"/>
  <c r="X193"/>
  <c r="W193"/>
  <c r="V193"/>
  <c r="AE192"/>
  <c r="D81" i="10" s="1"/>
  <c r="Z192" i="12"/>
  <c r="Y192"/>
  <c r="X192"/>
  <c r="W192"/>
  <c r="V192"/>
  <c r="Z191"/>
  <c r="Y191"/>
  <c r="X191"/>
  <c r="W191"/>
  <c r="V191"/>
  <c r="K137"/>
  <c r="K136"/>
  <c r="K134"/>
  <c r="I67" i="10" s="1"/>
  <c r="J110" s="1"/>
  <c r="AA120" i="12"/>
  <c r="P66" i="10" s="1"/>
  <c r="C54" s="1"/>
  <c r="Y120" i="12"/>
  <c r="X120"/>
  <c r="P71" i="10" s="1"/>
  <c r="W120" i="12"/>
  <c r="P70" i="10" s="1"/>
  <c r="V120" i="12"/>
  <c r="P69" i="10" s="1"/>
  <c r="Y119" i="12"/>
  <c r="AA115"/>
  <c r="P73" i="10" s="1"/>
  <c r="Z115" i="12"/>
  <c r="P75" i="10" s="1"/>
  <c r="Y115" i="12"/>
  <c r="P74" i="10" s="1"/>
  <c r="X115" i="12"/>
  <c r="P78" i="10" s="1"/>
  <c r="W115" i="12"/>
  <c r="V115"/>
  <c r="AA114"/>
  <c r="P80" i="10" s="1"/>
  <c r="Z114" i="12"/>
  <c r="Y114"/>
  <c r="X114"/>
  <c r="P85" i="10" s="1"/>
  <c r="W114" i="12"/>
  <c r="P84" i="10" s="1"/>
  <c r="V114" i="12"/>
  <c r="P83" i="10" s="1"/>
  <c r="AA112" i="12"/>
  <c r="Z112"/>
  <c r="H82" i="10" s="1"/>
  <c r="Y112" i="12"/>
  <c r="H81" i="10" s="1"/>
  <c r="X112" i="12"/>
  <c r="H85" i="10" s="1"/>
  <c r="W112" i="12"/>
  <c r="V112"/>
  <c r="H83" i="10" s="1"/>
  <c r="AA111" i="12"/>
  <c r="Z111"/>
  <c r="H75" i="10" s="1"/>
  <c r="Y111" i="12"/>
  <c r="H74" i="10" s="1"/>
  <c r="X111" i="12"/>
  <c r="H78" i="10" s="1"/>
  <c r="W111" i="12"/>
  <c r="H77" i="10" s="1"/>
  <c r="V111" i="12"/>
  <c r="H76" i="10" s="1"/>
  <c r="W65" i="12"/>
  <c r="O68" i="10" s="1"/>
  <c r="V65" i="12"/>
  <c r="U65"/>
  <c r="O71" i="10" s="1"/>
  <c r="T65" i="12"/>
  <c r="S65"/>
  <c r="O69" i="10" s="1"/>
  <c r="W64" i="12"/>
  <c r="O96" i="10" s="1"/>
  <c r="V64" i="12"/>
  <c r="O95" i="10" s="1"/>
  <c r="U64" i="12"/>
  <c r="T64"/>
  <c r="S64"/>
  <c r="O97" i="10" s="1"/>
  <c r="W63" i="12"/>
  <c r="O75" i="10" s="1"/>
  <c r="V63" i="12"/>
  <c r="O74" i="10" s="1"/>
  <c r="U63" i="12"/>
  <c r="O78" i="10" s="1"/>
  <c r="T63" i="12"/>
  <c r="S63"/>
  <c r="O76" i="10" s="1"/>
  <c r="W62" i="12"/>
  <c r="V62"/>
  <c r="U62"/>
  <c r="O85" i="10" s="1"/>
  <c r="T62" i="12"/>
  <c r="O84" i="10" s="1"/>
  <c r="S62" i="12"/>
  <c r="O83" i="10" s="1"/>
  <c r="Y47" i="12"/>
  <c r="X47"/>
  <c r="W47"/>
  <c r="V47"/>
  <c r="U47"/>
  <c r="Y46"/>
  <c r="X46"/>
  <c r="W46"/>
  <c r="V46"/>
  <c r="U46"/>
  <c r="R44"/>
  <c r="R43"/>
  <c r="R42"/>
  <c r="R41"/>
  <c r="R40"/>
  <c r="W31"/>
  <c r="G96" i="10" s="1"/>
  <c r="V31" i="12"/>
  <c r="U31"/>
  <c r="G99" i="10" s="1"/>
  <c r="W30" i="12"/>
  <c r="G82" i="10" s="1"/>
  <c r="V30" i="12"/>
  <c r="U30"/>
  <c r="T30"/>
  <c r="G84" i="10" s="1"/>
  <c r="S30" i="12"/>
  <c r="G83" i="10" s="1"/>
  <c r="W29" i="12"/>
  <c r="G75" i="10" s="1"/>
  <c r="V29" i="12"/>
  <c r="G74" i="10" s="1"/>
  <c r="U29" i="12"/>
  <c r="G78" i="10" s="1"/>
  <c r="T29" i="12"/>
  <c r="G77" i="10" s="1"/>
  <c r="S29" i="12"/>
  <c r="G76" i="10" s="1"/>
  <c r="N23" i="12"/>
  <c r="G71" i="10" s="1"/>
  <c r="N22" i="12"/>
  <c r="G70" i="10" s="1"/>
  <c r="N21" i="12"/>
  <c r="G69" i="10" s="1"/>
  <c r="N19" i="12"/>
  <c r="G67" i="10" s="1"/>
  <c r="F36" i="11"/>
  <c r="D10" s="1"/>
  <c r="I122" i="10"/>
  <c r="I67" i="11" s="1"/>
  <c r="M67" s="1"/>
  <c r="B10" i="2"/>
  <c r="C10"/>
  <c r="E10"/>
  <c r="E23" s="1"/>
  <c r="D9" i="3" s="1"/>
  <c r="G10" i="2"/>
  <c r="G23" s="1"/>
  <c r="F9" i="3" s="1"/>
  <c r="H10" i="2"/>
  <c r="H23" s="1"/>
  <c r="I10"/>
  <c r="I23" s="1"/>
  <c r="H9" i="3" s="1"/>
  <c r="J10" i="2"/>
  <c r="J23" s="1"/>
  <c r="I9" i="3" s="1"/>
  <c r="K10" i="2"/>
  <c r="K23" s="1"/>
  <c r="J9" i="3" s="1"/>
  <c r="L10" i="2"/>
  <c r="L23" s="1"/>
  <c r="K9" i="3" s="1"/>
  <c r="M10" i="2"/>
  <c r="M23" s="1"/>
  <c r="L9" i="3" s="1"/>
  <c r="N10" i="2"/>
  <c r="N23" s="1"/>
  <c r="M9" i="3" s="1"/>
  <c r="O10" i="2"/>
  <c r="O23" s="1"/>
  <c r="N9" i="3" s="1"/>
  <c r="P10" i="2"/>
  <c r="P23" s="1"/>
  <c r="O9" i="3" s="1"/>
  <c r="B12" i="2"/>
  <c r="C12"/>
  <c r="E12"/>
  <c r="E24" s="1"/>
  <c r="D10" i="3" s="1"/>
  <c r="G12" i="2"/>
  <c r="G24" s="1"/>
  <c r="F10" i="3" s="1"/>
  <c r="H12" i="2"/>
  <c r="H24" s="1"/>
  <c r="I12"/>
  <c r="I24" s="1"/>
  <c r="H10" i="3" s="1"/>
  <c r="J12" i="2"/>
  <c r="J24" s="1"/>
  <c r="I10" i="3" s="1"/>
  <c r="K12" i="2"/>
  <c r="K24" s="1"/>
  <c r="J10" i="3" s="1"/>
  <c r="L12" i="2"/>
  <c r="L24" s="1"/>
  <c r="K10" i="3" s="1"/>
  <c r="M12" i="2"/>
  <c r="M24" s="1"/>
  <c r="L10" i="3" s="1"/>
  <c r="N12" i="2"/>
  <c r="N24" s="1"/>
  <c r="M10" i="3" s="1"/>
  <c r="O12" i="2"/>
  <c r="O24" s="1"/>
  <c r="N10" i="3" s="1"/>
  <c r="P12" i="2"/>
  <c r="P24" s="1"/>
  <c r="O10" i="3" s="1"/>
  <c r="F114" i="10" l="1"/>
  <c r="AD114" s="1"/>
  <c r="I119"/>
  <c r="I64" i="11" s="1"/>
  <c r="E114" i="10"/>
  <c r="AC114" s="1"/>
  <c r="F112"/>
  <c r="AD112" s="1"/>
  <c r="G120"/>
  <c r="AE120" s="1"/>
  <c r="I112"/>
  <c r="M112" s="1"/>
  <c r="AK112" s="1"/>
  <c r="AC121"/>
  <c r="E66" i="11"/>
  <c r="S31" i="12"/>
  <c r="G97" i="10" s="1"/>
  <c r="G113" s="1"/>
  <c r="AE113" s="1"/>
  <c r="I121"/>
  <c r="I66" i="11" s="1"/>
  <c r="M66" s="1"/>
  <c r="E120" i="10"/>
  <c r="AC120" s="1"/>
  <c r="F67" i="11"/>
  <c r="J120" i="10"/>
  <c r="J65" i="11" s="1"/>
  <c r="AB199" i="12"/>
  <c r="D69" i="10" s="1"/>
  <c r="AF199" i="12"/>
  <c r="D68" i="10" s="1"/>
  <c r="F111"/>
  <c r="AD111" s="1"/>
  <c r="I113"/>
  <c r="M113" s="1"/>
  <c r="AK113" s="1"/>
  <c r="T31" i="12"/>
  <c r="G98" i="10" s="1"/>
  <c r="F113" s="1"/>
  <c r="AD113" s="1"/>
  <c r="AC199" i="12"/>
  <c r="D70" i="10" s="1"/>
  <c r="AE195" i="12"/>
  <c r="L74" i="10" s="1"/>
  <c r="J121" s="1"/>
  <c r="N65" i="11"/>
  <c r="AC122" i="10"/>
  <c r="E67" i="11"/>
  <c r="AH122" i="10"/>
  <c r="J67" i="11"/>
  <c r="E65"/>
  <c r="C53" i="8"/>
  <c r="Z53" s="1"/>
  <c r="C56"/>
  <c r="Z56" s="1"/>
  <c r="J119" i="10"/>
  <c r="J64" i="11" s="1"/>
  <c r="G121" i="10"/>
  <c r="J111"/>
  <c r="AH111" s="1"/>
  <c r="G111"/>
  <c r="AE111" s="1"/>
  <c r="E111"/>
  <c r="AC111" s="1"/>
  <c r="G114"/>
  <c r="AE114" s="1"/>
  <c r="J113"/>
  <c r="AH113" s="1"/>
  <c r="E113"/>
  <c r="AC113" s="1"/>
  <c r="C57" i="8"/>
  <c r="Z57" s="1"/>
  <c r="C85"/>
  <c r="I15" i="18" s="1"/>
  <c r="C52" i="8"/>
  <c r="Z52" s="1"/>
  <c r="C86"/>
  <c r="I16" i="18" s="1"/>
  <c r="J112" i="10"/>
  <c r="AH112" s="1"/>
  <c r="G112"/>
  <c r="AE112" s="1"/>
  <c r="F121"/>
  <c r="E112"/>
  <c r="AC112" s="1"/>
  <c r="I111"/>
  <c r="M111" s="1"/>
  <c r="AK111" s="1"/>
  <c r="F120"/>
  <c r="G67" i="11"/>
  <c r="H122" i="10"/>
  <c r="K122" s="1"/>
  <c r="AH119"/>
  <c r="H114"/>
  <c r="AF114" s="1"/>
  <c r="AG114"/>
  <c r="M114"/>
  <c r="AK114" s="1"/>
  <c r="M119"/>
  <c r="AH114"/>
  <c r="N114"/>
  <c r="AH110"/>
  <c r="N110"/>
  <c r="AL110" s="1"/>
  <c r="H110"/>
  <c r="AG121"/>
  <c r="C55"/>
  <c r="N111"/>
  <c r="AG120"/>
  <c r="M120"/>
  <c r="AK120" s="1"/>
  <c r="N113"/>
  <c r="N122"/>
  <c r="M122"/>
  <c r="AK122" s="1"/>
  <c r="AG122"/>
  <c r="X159" i="9"/>
  <c r="W159"/>
  <c r="T159"/>
  <c r="S159"/>
  <c r="P159"/>
  <c r="O159"/>
  <c r="L159"/>
  <c r="K159"/>
  <c r="H159"/>
  <c r="G159"/>
  <c r="C47" i="8"/>
  <c r="A11" i="9"/>
  <c r="E25" i="8"/>
  <c r="E24"/>
  <c r="E23"/>
  <c r="E22"/>
  <c r="A20"/>
  <c r="A11"/>
  <c r="X21"/>
  <c r="W21"/>
  <c r="V21"/>
  <c r="U21"/>
  <c r="T21"/>
  <c r="S21"/>
  <c r="R21"/>
  <c r="Q21"/>
  <c r="P21"/>
  <c r="O21"/>
  <c r="N21"/>
  <c r="M21"/>
  <c r="L21"/>
  <c r="K21"/>
  <c r="J21"/>
  <c r="I21"/>
  <c r="H21"/>
  <c r="G21"/>
  <c r="F21"/>
  <c r="E21"/>
  <c r="B83"/>
  <c r="B58" i="9"/>
  <c r="C163"/>
  <c r="C162"/>
  <c r="C161"/>
  <c r="C160"/>
  <c r="C115"/>
  <c r="X114"/>
  <c r="W114"/>
  <c r="V114"/>
  <c r="U114"/>
  <c r="T114"/>
  <c r="S114"/>
  <c r="R114"/>
  <c r="Q114"/>
  <c r="P114"/>
  <c r="O114"/>
  <c r="N114"/>
  <c r="M114"/>
  <c r="L114"/>
  <c r="K114"/>
  <c r="J114"/>
  <c r="I114"/>
  <c r="H114"/>
  <c r="G114"/>
  <c r="F114"/>
  <c r="E114"/>
  <c r="X77"/>
  <c r="W77"/>
  <c r="V77"/>
  <c r="U77"/>
  <c r="T77"/>
  <c r="S77"/>
  <c r="R77"/>
  <c r="Q77"/>
  <c r="P77"/>
  <c r="O77"/>
  <c r="N77"/>
  <c r="M77"/>
  <c r="L77"/>
  <c r="K77"/>
  <c r="J77"/>
  <c r="I77"/>
  <c r="H77"/>
  <c r="G77"/>
  <c r="F77"/>
  <c r="E77"/>
  <c r="X58"/>
  <c r="W58"/>
  <c r="V58"/>
  <c r="U58"/>
  <c r="T58"/>
  <c r="S58"/>
  <c r="R58"/>
  <c r="Q58"/>
  <c r="P58"/>
  <c r="O58"/>
  <c r="N58"/>
  <c r="M58"/>
  <c r="L58"/>
  <c r="K58"/>
  <c r="J58"/>
  <c r="I58"/>
  <c r="H58"/>
  <c r="G58"/>
  <c r="F58"/>
  <c r="E58"/>
  <c r="C57"/>
  <c r="C44"/>
  <c r="C40"/>
  <c r="C25"/>
  <c r="C24"/>
  <c r="C23"/>
  <c r="C22"/>
  <c r="V159"/>
  <c r="U159"/>
  <c r="R159"/>
  <c r="Q159"/>
  <c r="N159"/>
  <c r="M159"/>
  <c r="J159"/>
  <c r="I159"/>
  <c r="F159"/>
  <c r="E159"/>
  <c r="X141" i="8"/>
  <c r="W141"/>
  <c r="V141"/>
  <c r="U141"/>
  <c r="T141"/>
  <c r="S141"/>
  <c r="R141"/>
  <c r="Q141"/>
  <c r="P141"/>
  <c r="O141"/>
  <c r="N141"/>
  <c r="M141"/>
  <c r="L141"/>
  <c r="K141"/>
  <c r="J141"/>
  <c r="I141"/>
  <c r="H141"/>
  <c r="G141"/>
  <c r="F141"/>
  <c r="E141"/>
  <c r="X104"/>
  <c r="W104"/>
  <c r="V104"/>
  <c r="U104"/>
  <c r="T104"/>
  <c r="S104"/>
  <c r="R104"/>
  <c r="Q104"/>
  <c r="P104"/>
  <c r="O104"/>
  <c r="N104"/>
  <c r="M104"/>
  <c r="L104"/>
  <c r="K104"/>
  <c r="J104"/>
  <c r="I104"/>
  <c r="H104"/>
  <c r="G104"/>
  <c r="F104"/>
  <c r="E104"/>
  <c r="X83"/>
  <c r="W83"/>
  <c r="V83"/>
  <c r="U83"/>
  <c r="T83"/>
  <c r="S83"/>
  <c r="R83"/>
  <c r="Q83"/>
  <c r="P83"/>
  <c r="O83"/>
  <c r="N83"/>
  <c r="M83"/>
  <c r="L83"/>
  <c r="K83"/>
  <c r="J83"/>
  <c r="I83"/>
  <c r="H83"/>
  <c r="G83"/>
  <c r="F83"/>
  <c r="E83"/>
  <c r="C82"/>
  <c r="C68"/>
  <c r="C67"/>
  <c r="C66"/>
  <c r="C65"/>
  <c r="C34"/>
  <c r="C33"/>
  <c r="Z33" s="1"/>
  <c r="C30"/>
  <c r="H113" i="10" l="1"/>
  <c r="AF113" s="1"/>
  <c r="H119"/>
  <c r="H64" i="11" s="1"/>
  <c r="Z34" i="8"/>
  <c r="B34"/>
  <c r="G65" i="11"/>
  <c r="AG113" i="10"/>
  <c r="H120"/>
  <c r="AF120" s="1"/>
  <c r="AH120"/>
  <c r="AG112"/>
  <c r="N120"/>
  <c r="N112"/>
  <c r="L112" s="1"/>
  <c r="AJ112" s="1"/>
  <c r="AG119"/>
  <c r="H111"/>
  <c r="AF111" s="1"/>
  <c r="J66" i="11"/>
  <c r="N66" s="1"/>
  <c r="AH121" i="10"/>
  <c r="N121"/>
  <c r="A40" i="8"/>
  <c r="A36"/>
  <c r="A32"/>
  <c r="A34"/>
  <c r="A33"/>
  <c r="A39"/>
  <c r="A35"/>
  <c r="A31"/>
  <c r="C70"/>
  <c r="B66"/>
  <c r="B67"/>
  <c r="C71"/>
  <c r="H112" i="10"/>
  <c r="AF112" s="1"/>
  <c r="H121"/>
  <c r="H66" i="11" s="1"/>
  <c r="C72" i="8"/>
  <c r="B68"/>
  <c r="A24" i="9"/>
  <c r="A34"/>
  <c r="A30"/>
  <c r="A26"/>
  <c r="A25"/>
  <c r="A23"/>
  <c r="X40"/>
  <c r="T40"/>
  <c r="P40"/>
  <c r="L40"/>
  <c r="H40"/>
  <c r="W40"/>
  <c r="R40"/>
  <c r="M40"/>
  <c r="G40"/>
  <c r="V40"/>
  <c r="Q40"/>
  <c r="K40"/>
  <c r="F40"/>
  <c r="U40"/>
  <c r="O40"/>
  <c r="J40"/>
  <c r="E40"/>
  <c r="S40"/>
  <c r="N40"/>
  <c r="I40"/>
  <c r="B65" i="8"/>
  <c r="C69"/>
  <c r="C48" i="9"/>
  <c r="B44"/>
  <c r="A57" i="8"/>
  <c r="A53"/>
  <c r="A49"/>
  <c r="A56"/>
  <c r="A52"/>
  <c r="A48"/>
  <c r="M121" i="10"/>
  <c r="AK121" s="1"/>
  <c r="N119"/>
  <c r="N64" i="11" s="1"/>
  <c r="C33" i="9"/>
  <c r="A33" s="1"/>
  <c r="C29"/>
  <c r="A29" s="1"/>
  <c r="C62"/>
  <c r="I5" i="18" s="1"/>
  <c r="AK119" i="10"/>
  <c r="M64" i="11"/>
  <c r="C93" i="8"/>
  <c r="I23" i="18" s="1"/>
  <c r="C42" i="9"/>
  <c r="C61"/>
  <c r="I4" i="18" s="1"/>
  <c r="C32" i="9"/>
  <c r="A32" s="1"/>
  <c r="C28"/>
  <c r="A28" s="1"/>
  <c r="AD120" i="10"/>
  <c r="F65" i="11"/>
  <c r="C89" i="8"/>
  <c r="I19" i="18" s="1"/>
  <c r="C94" i="8"/>
  <c r="I24" i="18" s="1"/>
  <c r="K114" i="10"/>
  <c r="AI114" s="1"/>
  <c r="AG111"/>
  <c r="C51" i="8"/>
  <c r="Z51" s="1"/>
  <c r="AF122" i="10"/>
  <c r="H67" i="11"/>
  <c r="K67" s="1"/>
  <c r="AE121" i="10"/>
  <c r="G66" i="11"/>
  <c r="C50" i="8"/>
  <c r="Z50" s="1"/>
  <c r="C60" i="9"/>
  <c r="I3" i="18" s="1"/>
  <c r="C31" i="9"/>
  <c r="A31" s="1"/>
  <c r="C27"/>
  <c r="A27" s="1"/>
  <c r="AD121" i="10"/>
  <c r="F66" i="11"/>
  <c r="C90" i="8"/>
  <c r="I20" i="18" s="1"/>
  <c r="N67" i="11"/>
  <c r="C41" i="9"/>
  <c r="C38" i="8"/>
  <c r="Z38" s="1"/>
  <c r="C42"/>
  <c r="Z42" s="1"/>
  <c r="C41"/>
  <c r="Z41" s="1"/>
  <c r="C37"/>
  <c r="Z37" s="1"/>
  <c r="D141"/>
  <c r="AL114" i="10"/>
  <c r="K113"/>
  <c r="L114"/>
  <c r="AJ114" s="1"/>
  <c r="AI122"/>
  <c r="L110"/>
  <c r="AJ110" s="1"/>
  <c r="AF110"/>
  <c r="AL122"/>
  <c r="AL111"/>
  <c r="AL121"/>
  <c r="AL113"/>
  <c r="AL112"/>
  <c r="L113"/>
  <c r="AJ113" s="1"/>
  <c r="K111"/>
  <c r="L111"/>
  <c r="AJ111" s="1"/>
  <c r="L122"/>
  <c r="AJ122" s="1"/>
  <c r="A46" i="8"/>
  <c r="A21" i="9"/>
  <c r="A39"/>
  <c r="A29" i="8"/>
  <c r="C64"/>
  <c r="E64" s="1"/>
  <c r="AF119" i="10" l="1"/>
  <c r="H65" i="11"/>
  <c r="L119" i="10"/>
  <c r="AL119"/>
  <c r="AL120"/>
  <c r="K66" i="11"/>
  <c r="O112" i="10"/>
  <c r="AM112" s="1"/>
  <c r="L120"/>
  <c r="AJ120" s="1"/>
  <c r="AF121"/>
  <c r="K121"/>
  <c r="AI121" s="1"/>
  <c r="O113"/>
  <c r="AM113" s="1"/>
  <c r="K120"/>
  <c r="AI120" s="1"/>
  <c r="K65" i="11"/>
  <c r="K68" s="1"/>
  <c r="A50" i="8"/>
  <c r="C74"/>
  <c r="B74" s="1"/>
  <c r="B70"/>
  <c r="A38"/>
  <c r="L121" i="10"/>
  <c r="AJ121" s="1"/>
  <c r="C75" i="8"/>
  <c r="B75" s="1"/>
  <c r="B71"/>
  <c r="A37"/>
  <c r="A42"/>
  <c r="C52" i="9"/>
  <c r="B52" s="1"/>
  <c r="B48"/>
  <c r="B72" i="8"/>
  <c r="C76"/>
  <c r="B76" s="1"/>
  <c r="A41"/>
  <c r="A63"/>
  <c r="X64"/>
  <c r="T64"/>
  <c r="P64"/>
  <c r="L64"/>
  <c r="H64"/>
  <c r="S64"/>
  <c r="N64"/>
  <c r="I64"/>
  <c r="W64"/>
  <c r="R64"/>
  <c r="M64"/>
  <c r="G64"/>
  <c r="V64"/>
  <c r="Q64"/>
  <c r="K64"/>
  <c r="F64"/>
  <c r="U64"/>
  <c r="O64"/>
  <c r="J64"/>
  <c r="K112" i="10"/>
  <c r="AI112" s="1"/>
  <c r="A51" i="8"/>
  <c r="C73"/>
  <c r="B73" s="1"/>
  <c r="B69"/>
  <c r="AJ119" i="10"/>
  <c r="L64" i="11"/>
  <c r="C58" i="8"/>
  <c r="C65" i="9"/>
  <c r="I8" i="18" s="1"/>
  <c r="B42" i="9"/>
  <c r="C46"/>
  <c r="C54" i="8"/>
  <c r="C87"/>
  <c r="I17" i="18" s="1"/>
  <c r="L66" i="11"/>
  <c r="O66" s="1"/>
  <c r="P66" s="1"/>
  <c r="L67"/>
  <c r="O67" s="1"/>
  <c r="P67" s="1"/>
  <c r="L65"/>
  <c r="O65" s="1"/>
  <c r="C55" i="8"/>
  <c r="B41" i="9"/>
  <c r="C45"/>
  <c r="C66"/>
  <c r="I9" i="18" s="1"/>
  <c r="C70" i="9"/>
  <c r="I13" i="18" s="1"/>
  <c r="C68" i="9"/>
  <c r="I11" i="18" s="1"/>
  <c r="C59" i="8"/>
  <c r="C64" i="9"/>
  <c r="I7" i="18" s="1"/>
  <c r="C88" i="8"/>
  <c r="I18" i="18" s="1"/>
  <c r="C69" i="9"/>
  <c r="I12" i="18" s="1"/>
  <c r="O114" i="10"/>
  <c r="K123"/>
  <c r="AI123" s="1"/>
  <c r="AI113"/>
  <c r="AI111"/>
  <c r="O111"/>
  <c r="P111" s="1"/>
  <c r="AN111" s="1"/>
  <c r="O122"/>
  <c r="C7" i="2"/>
  <c r="D7"/>
  <c r="E7"/>
  <c r="E22" s="1"/>
  <c r="D8" i="3" s="1"/>
  <c r="G7" i="2"/>
  <c r="G22" s="1"/>
  <c r="F8" i="3" s="1"/>
  <c r="H7" i="2"/>
  <c r="H22" s="1"/>
  <c r="I7"/>
  <c r="I22" s="1"/>
  <c r="H8" i="3" s="1"/>
  <c r="J7" i="2"/>
  <c r="J22" s="1"/>
  <c r="I8" i="3" s="1"/>
  <c r="K7" i="2"/>
  <c r="K22" s="1"/>
  <c r="J8" i="3" s="1"/>
  <c r="L7" i="2"/>
  <c r="L22" s="1"/>
  <c r="K8" i="3" s="1"/>
  <c r="M7" i="2"/>
  <c r="M22" s="1"/>
  <c r="L8" i="3" s="1"/>
  <c r="N7" i="2"/>
  <c r="N22" s="1"/>
  <c r="M8" i="3" s="1"/>
  <c r="O7" i="2"/>
  <c r="O22" s="1"/>
  <c r="N8" i="3" s="1"/>
  <c r="P7" i="2"/>
  <c r="P22" s="1"/>
  <c r="O8" i="3" s="1"/>
  <c r="B7" i="2"/>
  <c r="K115" i="10" l="1"/>
  <c r="P112"/>
  <c r="AN112" s="1"/>
  <c r="O120"/>
  <c r="P120" s="1"/>
  <c r="AN120" s="1"/>
  <c r="P113"/>
  <c r="AN113" s="1"/>
  <c r="O121"/>
  <c r="AM121" s="1"/>
  <c r="Z55" i="8"/>
  <c r="A55"/>
  <c r="Z59"/>
  <c r="A59"/>
  <c r="Z54"/>
  <c r="A54"/>
  <c r="Z58"/>
  <c r="A58"/>
  <c r="C96"/>
  <c r="I26" i="18" s="1"/>
  <c r="C95" i="8"/>
  <c r="I25" i="18" s="1"/>
  <c r="C92" i="8"/>
  <c r="I22" i="18" s="1"/>
  <c r="C91" i="8"/>
  <c r="I21" i="18" s="1"/>
  <c r="C50" i="9"/>
  <c r="B50" s="1"/>
  <c r="B46"/>
  <c r="B45"/>
  <c r="C49"/>
  <c r="B49" s="1"/>
  <c r="P65" i="11"/>
  <c r="P68" s="1"/>
  <c r="D11" s="1"/>
  <c r="O68"/>
  <c r="D13" i="2"/>
  <c r="D22"/>
  <c r="C8" i="3" s="1"/>
  <c r="D10" i="2"/>
  <c r="AM114" i="10"/>
  <c r="P114"/>
  <c r="AN114" s="1"/>
  <c r="AM122"/>
  <c r="P122"/>
  <c r="AN122" s="1"/>
  <c r="AI115"/>
  <c r="O115"/>
  <c r="AM115" s="1"/>
  <c r="AM111"/>
  <c r="P121"/>
  <c r="AN121" s="1"/>
  <c r="AM120" l="1"/>
  <c r="O123"/>
  <c r="AM123" s="1"/>
  <c r="D23" i="2"/>
  <c r="C9" i="3" s="1"/>
  <c r="P123" i="10"/>
  <c r="C57" s="1"/>
  <c r="P115"/>
  <c r="C58" s="1"/>
  <c r="AN123"/>
  <c r="AN115" l="1"/>
  <c r="C59"/>
  <c r="B52" i="8" l="1"/>
  <c r="B27" i="9"/>
  <c r="E52" i="8" l="1"/>
  <c r="B23" i="9" l="1"/>
  <c r="B48" i="8"/>
  <c r="B31" i="9"/>
  <c r="B56" i="8"/>
  <c r="E56" l="1"/>
  <c r="E48"/>
  <c r="C5" i="5" l="1"/>
  <c r="C11" s="1"/>
  <c r="C4"/>
  <c r="C10" s="1"/>
  <c r="C20" l="1"/>
  <c r="C23" s="1"/>
  <c r="C14"/>
  <c r="C15"/>
  <c r="B36" i="8" s="1"/>
  <c r="D4" i="5"/>
  <c r="D10" s="1"/>
  <c r="C19"/>
  <c r="D5"/>
  <c r="D11" s="1"/>
  <c r="B32" i="8" l="1"/>
  <c r="C13" i="5"/>
  <c r="B40" i="8" s="1"/>
  <c r="D20" i="5"/>
  <c r="D14"/>
  <c r="B49" i="8"/>
  <c r="B24" i="9"/>
  <c r="D15" i="5"/>
  <c r="B37" i="8" s="1"/>
  <c r="C24" i="5"/>
  <c r="C22" s="1"/>
  <c r="D19"/>
  <c r="D23"/>
  <c r="B33" i="8" l="1"/>
  <c r="D13" i="5"/>
  <c r="B41" i="8" s="1"/>
  <c r="B57"/>
  <c r="B32" i="9"/>
  <c r="D24" i="5"/>
  <c r="D22" s="1"/>
  <c r="B53" i="8"/>
  <c r="B28" i="9"/>
  <c r="B25"/>
  <c r="B50" i="8"/>
  <c r="E49"/>
  <c r="B33" i="9" l="1"/>
  <c r="B58" i="8"/>
  <c r="E57"/>
  <c r="E50"/>
  <c r="E53"/>
  <c r="B54"/>
  <c r="B29" i="9"/>
  <c r="E54" i="8" l="1"/>
  <c r="E58"/>
  <c r="E4" i="5" l="1"/>
  <c r="E10" s="1"/>
  <c r="E5"/>
  <c r="E15" l="1"/>
  <c r="E23"/>
  <c r="E19"/>
  <c r="B38" i="8" l="1"/>
  <c r="E13" i="5"/>
  <c r="B42" i="8" s="1"/>
  <c r="E24" i="5"/>
  <c r="E22" s="1"/>
  <c r="B26" i="9"/>
  <c r="B51" i="8"/>
  <c r="B4" i="5"/>
  <c r="B10" s="1"/>
  <c r="B5"/>
  <c r="B30" i="9" l="1"/>
  <c r="B55" i="8"/>
  <c r="B59"/>
  <c r="B34" i="9"/>
  <c r="B15" i="5"/>
  <c r="E51" i="8"/>
  <c r="B35" l="1"/>
  <c r="B13" i="5"/>
  <c r="B39" i="8" s="1"/>
  <c r="E59"/>
  <c r="E55"/>
  <c r="E61" l="1"/>
  <c r="I14" i="9" l="1"/>
  <c r="P16"/>
  <c r="L13"/>
  <c r="R16"/>
  <c r="J16"/>
  <c r="K16"/>
  <c r="G16"/>
  <c r="O13"/>
  <c r="E14"/>
  <c r="T13"/>
  <c r="N16"/>
  <c r="L16"/>
  <c r="W13"/>
  <c r="J13"/>
  <c r="X13"/>
  <c r="I16"/>
  <c r="K13"/>
  <c r="G13"/>
  <c r="R13"/>
  <c r="X16"/>
  <c r="F16"/>
  <c r="O16"/>
  <c r="E16"/>
  <c r="Q16"/>
  <c r="M13"/>
  <c r="X14"/>
  <c r="V14"/>
  <c r="U14"/>
  <c r="E13"/>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O14" i="8"/>
  <c r="G15"/>
  <c r="X16"/>
  <c r="H15"/>
  <c r="S16"/>
  <c r="X14"/>
  <c r="R16"/>
  <c r="L16"/>
  <c r="V14"/>
  <c r="F15"/>
  <c r="Q15"/>
  <c r="X15"/>
  <c r="N15"/>
  <c r="W16"/>
  <c r="M13"/>
  <c r="N14"/>
  <c r="R13"/>
  <c r="T16"/>
  <c r="U15"/>
  <c r="M15"/>
  <c r="I15"/>
  <c r="P14"/>
  <c r="N13"/>
  <c r="I16"/>
  <c r="R14"/>
  <c r="E15"/>
  <c r="G13"/>
  <c r="F14"/>
  <c r="U13"/>
  <c r="H16"/>
  <c r="P13"/>
  <c r="V13"/>
  <c r="Q16"/>
  <c r="V16"/>
  <c r="O15"/>
  <c r="H14"/>
  <c r="K16"/>
  <c r="E14"/>
  <c r="H13"/>
  <c r="J16"/>
  <c r="M16"/>
  <c r="L15"/>
  <c r="V15"/>
  <c r="M14"/>
  <c r="T14"/>
  <c r="X13"/>
  <c r="L14"/>
  <c r="U16"/>
  <c r="S15"/>
  <c r="P16"/>
  <c r="U14"/>
  <c r="K15"/>
  <c r="J15"/>
  <c r="G16"/>
  <c r="Q13"/>
  <c r="S13"/>
  <c r="G14"/>
  <c r="O16"/>
  <c r="I13"/>
  <c r="R15"/>
  <c r="Q14"/>
  <c r="F16"/>
  <c r="J13"/>
  <c r="E13"/>
  <c r="T15"/>
  <c r="E16"/>
  <c r="F13"/>
  <c r="S14"/>
  <c r="J14"/>
  <c r="N16"/>
  <c r="K14"/>
  <c r="W15"/>
  <c r="K13"/>
  <c r="P15"/>
  <c r="W14"/>
  <c r="I14"/>
  <c r="O13"/>
  <c r="L13"/>
  <c r="T13"/>
  <c r="W13"/>
  <c r="K24" i="9" l="1"/>
  <c r="K42" s="1"/>
  <c r="K61" s="1"/>
  <c r="Q4" i="18" s="1"/>
  <c r="K32" i="9"/>
  <c r="K50" s="1"/>
  <c r="K69" s="1"/>
  <c r="Q12" i="18" s="1"/>
  <c r="K28" i="9"/>
  <c r="K46" s="1"/>
  <c r="K65" s="1"/>
  <c r="Q8" i="18" s="1"/>
  <c r="W25" i="9"/>
  <c r="W43" s="1"/>
  <c r="W62" s="1"/>
  <c r="AC5" i="18" s="1"/>
  <c r="W33" i="9"/>
  <c r="W51" s="1"/>
  <c r="W70" s="1"/>
  <c r="AC13" i="18" s="1"/>
  <c r="W29" i="9"/>
  <c r="W47" s="1"/>
  <c r="W66" s="1"/>
  <c r="AC9" i="18" s="1"/>
  <c r="H25" i="9"/>
  <c r="H43" s="1"/>
  <c r="H62" s="1"/>
  <c r="N5" i="18" s="1"/>
  <c r="H33" i="9"/>
  <c r="H51" s="1"/>
  <c r="H70" s="1"/>
  <c r="N13" i="18" s="1"/>
  <c r="H29" i="9"/>
  <c r="H47" s="1"/>
  <c r="H66" s="1"/>
  <c r="N9" i="18" s="1"/>
  <c r="N18" i="9"/>
  <c r="N27"/>
  <c r="N45" s="1"/>
  <c r="N64" s="1"/>
  <c r="T7" i="18" s="1"/>
  <c r="N23" i="9"/>
  <c r="N31"/>
  <c r="N49" s="1"/>
  <c r="N68" s="1"/>
  <c r="T11" i="18" s="1"/>
  <c r="Q24" i="9"/>
  <c r="Q42" s="1"/>
  <c r="Q61" s="1"/>
  <c r="W4" i="18" s="1"/>
  <c r="Q32" i="9"/>
  <c r="Q50" s="1"/>
  <c r="Q69" s="1"/>
  <c r="W12" i="18" s="1"/>
  <c r="Q28" i="9"/>
  <c r="Q46" s="1"/>
  <c r="Q65" s="1"/>
  <c r="W8" i="18" s="1"/>
  <c r="F24" i="9"/>
  <c r="F42" s="1"/>
  <c r="F61" s="1"/>
  <c r="L4" i="18" s="1"/>
  <c r="F28" i="9"/>
  <c r="F46" s="1"/>
  <c r="F65" s="1"/>
  <c r="L8" i="18" s="1"/>
  <c r="F32" i="9"/>
  <c r="F50" s="1"/>
  <c r="F69" s="1"/>
  <c r="L12" i="18" s="1"/>
  <c r="AA13" i="9"/>
  <c r="E18"/>
  <c r="E27"/>
  <c r="E31"/>
  <c r="E23"/>
  <c r="F26"/>
  <c r="F44" s="1"/>
  <c r="F63" s="1"/>
  <c r="L6" i="18" s="1"/>
  <c r="F34" i="9"/>
  <c r="F52" s="1"/>
  <c r="F71" s="1"/>
  <c r="L14" i="18" s="1"/>
  <c r="F30" i="9"/>
  <c r="F48" s="1"/>
  <c r="F67" s="1"/>
  <c r="L10" i="18" s="1"/>
  <c r="W18" i="9"/>
  <c r="W27"/>
  <c r="W45" s="1"/>
  <c r="W64" s="1"/>
  <c r="AC7" i="18" s="1"/>
  <c r="W31" i="9"/>
  <c r="W49" s="1"/>
  <c r="W68" s="1"/>
  <c r="AC11" i="18" s="1"/>
  <c r="W23" i="9"/>
  <c r="J26"/>
  <c r="J44" s="1"/>
  <c r="J63" s="1"/>
  <c r="P6" i="18" s="1"/>
  <c r="J30" i="9"/>
  <c r="J48" s="1"/>
  <c r="J67" s="1"/>
  <c r="P10" i="18" s="1"/>
  <c r="J34" i="9"/>
  <c r="J52" s="1"/>
  <c r="J71" s="1"/>
  <c r="P14" i="18" s="1"/>
  <c r="N25" i="9"/>
  <c r="N43" s="1"/>
  <c r="N62" s="1"/>
  <c r="T5" i="18" s="1"/>
  <c r="N29" i="9"/>
  <c r="N47" s="1"/>
  <c r="N66" s="1"/>
  <c r="T9" i="18" s="1"/>
  <c r="N33" i="9"/>
  <c r="N51" s="1"/>
  <c r="N70" s="1"/>
  <c r="T13" i="18" s="1"/>
  <c r="H24" i="9"/>
  <c r="H42" s="1"/>
  <c r="H61" s="1"/>
  <c r="N4" i="18" s="1"/>
  <c r="H32" i="9"/>
  <c r="H50" s="1"/>
  <c r="H69" s="1"/>
  <c r="N12" i="18" s="1"/>
  <c r="H28" i="9"/>
  <c r="H46" s="1"/>
  <c r="H65" s="1"/>
  <c r="N8" i="18" s="1"/>
  <c r="W24" i="9"/>
  <c r="W42" s="1"/>
  <c r="W61" s="1"/>
  <c r="AC4" i="18" s="1"/>
  <c r="W28" i="9"/>
  <c r="W46" s="1"/>
  <c r="W65" s="1"/>
  <c r="AC8" i="18" s="1"/>
  <c r="W32" i="9"/>
  <c r="W50" s="1"/>
  <c r="W69" s="1"/>
  <c r="AC12" i="18" s="1"/>
  <c r="L24" i="9"/>
  <c r="L42" s="1"/>
  <c r="L61" s="1"/>
  <c r="R4" i="18" s="1"/>
  <c r="L32" i="9"/>
  <c r="L50" s="1"/>
  <c r="L69" s="1"/>
  <c r="R12" i="18" s="1"/>
  <c r="L28" i="9"/>
  <c r="L46" s="1"/>
  <c r="L65" s="1"/>
  <c r="R8" i="18" s="1"/>
  <c r="Q25" i="9"/>
  <c r="Q43" s="1"/>
  <c r="Q62" s="1"/>
  <c r="W5" i="18" s="1"/>
  <c r="Q29" i="9"/>
  <c r="Q47" s="1"/>
  <c r="Q66" s="1"/>
  <c r="W9" i="18" s="1"/>
  <c r="Q33" i="9"/>
  <c r="Q51" s="1"/>
  <c r="Q70" s="1"/>
  <c r="W13" i="18" s="1"/>
  <c r="H18" i="9"/>
  <c r="H27"/>
  <c r="H45" s="1"/>
  <c r="H64" s="1"/>
  <c r="N7" i="18" s="1"/>
  <c r="H31" i="9"/>
  <c r="H49" s="1"/>
  <c r="H68" s="1"/>
  <c r="N11" i="18" s="1"/>
  <c r="H23" i="9"/>
  <c r="M26"/>
  <c r="M44" s="1"/>
  <c r="M63" s="1"/>
  <c r="S6" i="18" s="1"/>
  <c r="M30" i="9"/>
  <c r="M48" s="1"/>
  <c r="M67" s="1"/>
  <c r="S10" i="18" s="1"/>
  <c r="M34" i="9"/>
  <c r="M52" s="1"/>
  <c r="M71" s="1"/>
  <c r="S14" i="18" s="1"/>
  <c r="X24" i="9"/>
  <c r="X42" s="1"/>
  <c r="X61" s="1"/>
  <c r="AD4" i="18" s="1"/>
  <c r="X28" i="9"/>
  <c r="X46" s="1"/>
  <c r="X65" s="1"/>
  <c r="AD8" i="18" s="1"/>
  <c r="X32" i="9"/>
  <c r="X50" s="1"/>
  <c r="X69" s="1"/>
  <c r="AD12" i="18" s="1"/>
  <c r="G18" i="9"/>
  <c r="G27"/>
  <c r="G45" s="1"/>
  <c r="G64" s="1"/>
  <c r="M7" i="18" s="1"/>
  <c r="G31" i="9"/>
  <c r="G49" s="1"/>
  <c r="G68" s="1"/>
  <c r="M11" i="18" s="1"/>
  <c r="G23" i="9"/>
  <c r="J18"/>
  <c r="J27"/>
  <c r="J45" s="1"/>
  <c r="J64" s="1"/>
  <c r="P7" i="18" s="1"/>
  <c r="J31" i="9"/>
  <c r="J49" s="1"/>
  <c r="J68" s="1"/>
  <c r="P11" i="18" s="1"/>
  <c r="J23" i="9"/>
  <c r="K26"/>
  <c r="K44" s="1"/>
  <c r="K63" s="1"/>
  <c r="Q6" i="18" s="1"/>
  <c r="K34" i="9"/>
  <c r="K52" s="1"/>
  <c r="K71" s="1"/>
  <c r="Q14" i="18" s="1"/>
  <c r="K30" i="9"/>
  <c r="K48" s="1"/>
  <c r="K67" s="1"/>
  <c r="Q10" i="18" s="1"/>
  <c r="P26" i="9"/>
  <c r="P44" s="1"/>
  <c r="P63" s="1"/>
  <c r="V6" i="18" s="1"/>
  <c r="P34" i="9"/>
  <c r="P52" s="1"/>
  <c r="P71" s="1"/>
  <c r="V14" i="18" s="1"/>
  <c r="P30" i="9"/>
  <c r="P48" s="1"/>
  <c r="P67" s="1"/>
  <c r="V10" i="18" s="1"/>
  <c r="X25" i="9"/>
  <c r="X43" s="1"/>
  <c r="X62" s="1"/>
  <c r="AD5" i="18" s="1"/>
  <c r="X33" i="9"/>
  <c r="X51" s="1"/>
  <c r="X70" s="1"/>
  <c r="AD13" i="18" s="1"/>
  <c r="X29" i="9"/>
  <c r="X47" s="1"/>
  <c r="X66" s="1"/>
  <c r="AD9" i="18" s="1"/>
  <c r="R24" i="9"/>
  <c r="R42" s="1"/>
  <c r="R61" s="1"/>
  <c r="X4" i="18" s="1"/>
  <c r="R32" i="9"/>
  <c r="R50" s="1"/>
  <c r="R69" s="1"/>
  <c r="X12" i="18" s="1"/>
  <c r="R28" i="9"/>
  <c r="R46" s="1"/>
  <c r="R65" s="1"/>
  <c r="X8" i="18" s="1"/>
  <c r="P25" i="9"/>
  <c r="P43" s="1"/>
  <c r="P62" s="1"/>
  <c r="V5" i="18" s="1"/>
  <c r="P29" i="9"/>
  <c r="P47" s="1"/>
  <c r="P66" s="1"/>
  <c r="V9" i="18" s="1"/>
  <c r="P33" i="9"/>
  <c r="P51" s="1"/>
  <c r="P70" s="1"/>
  <c r="V13" i="18" s="1"/>
  <c r="U25" i="9"/>
  <c r="U43" s="1"/>
  <c r="U62" s="1"/>
  <c r="AA5" i="18" s="1"/>
  <c r="U29" i="9"/>
  <c r="U47" s="1"/>
  <c r="U66" s="1"/>
  <c r="AA9" i="18" s="1"/>
  <c r="U33" i="9"/>
  <c r="U51" s="1"/>
  <c r="U70" s="1"/>
  <c r="AA13" i="18" s="1"/>
  <c r="S18" i="9"/>
  <c r="S27"/>
  <c r="S45" s="1"/>
  <c r="S64" s="1"/>
  <c r="Y7" i="18" s="1"/>
  <c r="S23" i="9"/>
  <c r="S31"/>
  <c r="S49" s="1"/>
  <c r="S68" s="1"/>
  <c r="Y11" i="18" s="1"/>
  <c r="S26" i="9"/>
  <c r="S44" s="1"/>
  <c r="S63" s="1"/>
  <c r="Y6" i="18" s="1"/>
  <c r="S34" i="9"/>
  <c r="S52" s="1"/>
  <c r="S71" s="1"/>
  <c r="Y14" i="18" s="1"/>
  <c r="S30" i="9"/>
  <c r="S48" s="1"/>
  <c r="S67" s="1"/>
  <c r="Y10" i="18" s="1"/>
  <c r="S24" i="9"/>
  <c r="S42" s="1"/>
  <c r="S61" s="1"/>
  <c r="Y4" i="18" s="1"/>
  <c r="S28" i="9"/>
  <c r="S46" s="1"/>
  <c r="S65" s="1"/>
  <c r="Y8" i="18" s="1"/>
  <c r="S32" i="9"/>
  <c r="S50" s="1"/>
  <c r="S69" s="1"/>
  <c r="Y12" i="18" s="1"/>
  <c r="P24" i="9"/>
  <c r="P42" s="1"/>
  <c r="P61" s="1"/>
  <c r="V4" i="18" s="1"/>
  <c r="P32" i="9"/>
  <c r="P50" s="1"/>
  <c r="P69" s="1"/>
  <c r="V12" i="18" s="1"/>
  <c r="P28" i="9"/>
  <c r="P46" s="1"/>
  <c r="P65" s="1"/>
  <c r="V8" i="18" s="1"/>
  <c r="P18" i="9"/>
  <c r="P27"/>
  <c r="P45" s="1"/>
  <c r="P64" s="1"/>
  <c r="V7" i="18" s="1"/>
  <c r="P31" i="9"/>
  <c r="P49" s="1"/>
  <c r="P68" s="1"/>
  <c r="V11" i="18" s="1"/>
  <c r="P23" i="9"/>
  <c r="J24"/>
  <c r="J42" s="1"/>
  <c r="J61" s="1"/>
  <c r="P4" i="18" s="1"/>
  <c r="J28" i="9"/>
  <c r="J46" s="1"/>
  <c r="J65" s="1"/>
  <c r="P8" i="18" s="1"/>
  <c r="J32" i="9"/>
  <c r="J50" s="1"/>
  <c r="J69" s="1"/>
  <c r="P12" i="18" s="1"/>
  <c r="R25" i="9"/>
  <c r="R43" s="1"/>
  <c r="R62" s="1"/>
  <c r="X5" i="18" s="1"/>
  <c r="R33" i="9"/>
  <c r="R51" s="1"/>
  <c r="R70" s="1"/>
  <c r="X13" i="18" s="1"/>
  <c r="R29" i="9"/>
  <c r="R47" s="1"/>
  <c r="R66" s="1"/>
  <c r="X9" i="18" s="1"/>
  <c r="V26" i="9"/>
  <c r="V44" s="1"/>
  <c r="V63" s="1"/>
  <c r="AB6" i="18" s="1"/>
  <c r="V30" i="9"/>
  <c r="V48" s="1"/>
  <c r="V67" s="1"/>
  <c r="AB10" i="18" s="1"/>
  <c r="V34" i="9"/>
  <c r="V52" s="1"/>
  <c r="V71" s="1"/>
  <c r="AB14" i="18" s="1"/>
  <c r="V18" i="9"/>
  <c r="V27"/>
  <c r="V45" s="1"/>
  <c r="V64" s="1"/>
  <c r="AB7" i="18" s="1"/>
  <c r="V23" i="9"/>
  <c r="V31"/>
  <c r="V49" s="1"/>
  <c r="V68" s="1"/>
  <c r="AB11" i="18" s="1"/>
  <c r="V24" i="9"/>
  <c r="V42" s="1"/>
  <c r="V61" s="1"/>
  <c r="AB4" i="18" s="1"/>
  <c r="V32" i="9"/>
  <c r="V50" s="1"/>
  <c r="V69" s="1"/>
  <c r="AB12" i="18" s="1"/>
  <c r="V28" i="9"/>
  <c r="V46" s="1"/>
  <c r="V65" s="1"/>
  <c r="AB8" i="18" s="1"/>
  <c r="AA16" i="9"/>
  <c r="E26"/>
  <c r="E30"/>
  <c r="E34"/>
  <c r="R18"/>
  <c r="R27"/>
  <c r="R45" s="1"/>
  <c r="R64" s="1"/>
  <c r="X7" i="18" s="1"/>
  <c r="R31" i="9"/>
  <c r="R49" s="1"/>
  <c r="R68" s="1"/>
  <c r="X11" i="18" s="1"/>
  <c r="R23" i="9"/>
  <c r="X18"/>
  <c r="X27"/>
  <c r="X45" s="1"/>
  <c r="X64" s="1"/>
  <c r="AD7" i="18" s="1"/>
  <c r="X31" i="9"/>
  <c r="X49" s="1"/>
  <c r="X68" s="1"/>
  <c r="AD11" i="18" s="1"/>
  <c r="X23" i="9"/>
  <c r="N26"/>
  <c r="N44" s="1"/>
  <c r="N63" s="1"/>
  <c r="T6" i="18" s="1"/>
  <c r="N34" i="9"/>
  <c r="N52" s="1"/>
  <c r="N71" s="1"/>
  <c r="T14" i="18" s="1"/>
  <c r="N30" i="9"/>
  <c r="N48" s="1"/>
  <c r="N67" s="1"/>
  <c r="T10" i="18" s="1"/>
  <c r="G26" i="9"/>
  <c r="G44" s="1"/>
  <c r="G63" s="1"/>
  <c r="M6" i="18" s="1"/>
  <c r="G30" i="9"/>
  <c r="G48" s="1"/>
  <c r="G67" s="1"/>
  <c r="M10" i="18" s="1"/>
  <c r="G34" i="9"/>
  <c r="G52" s="1"/>
  <c r="G71" s="1"/>
  <c r="M14" i="18" s="1"/>
  <c r="L18" i="9"/>
  <c r="L27"/>
  <c r="L45" s="1"/>
  <c r="L64" s="1"/>
  <c r="R7" i="18" s="1"/>
  <c r="L31" i="9"/>
  <c r="L49" s="1"/>
  <c r="L68" s="1"/>
  <c r="R11" i="18" s="1"/>
  <c r="L23" i="9"/>
  <c r="S25"/>
  <c r="S43" s="1"/>
  <c r="S62" s="1"/>
  <c r="Y5" i="18" s="1"/>
  <c r="S29" i="9"/>
  <c r="S47" s="1"/>
  <c r="S66" s="1"/>
  <c r="Y9" i="18" s="1"/>
  <c r="S33" i="9"/>
  <c r="S51" s="1"/>
  <c r="S70" s="1"/>
  <c r="Y13" i="18" s="1"/>
  <c r="M24" i="9"/>
  <c r="M42" s="1"/>
  <c r="M61" s="1"/>
  <c r="S4" i="18" s="1"/>
  <c r="M28" i="9"/>
  <c r="M46" s="1"/>
  <c r="M65" s="1"/>
  <c r="S8" i="18" s="1"/>
  <c r="M32" i="9"/>
  <c r="M50" s="1"/>
  <c r="M69" s="1"/>
  <c r="S12" i="18" s="1"/>
  <c r="Q18" i="9"/>
  <c r="Q27"/>
  <c r="Q45" s="1"/>
  <c r="Q64" s="1"/>
  <c r="W7" i="18" s="1"/>
  <c r="Q23" i="9"/>
  <c r="Q31"/>
  <c r="Q49" s="1"/>
  <c r="Q68" s="1"/>
  <c r="W11" i="18" s="1"/>
  <c r="O24" i="9"/>
  <c r="O42" s="1"/>
  <c r="O61" s="1"/>
  <c r="U4" i="18" s="1"/>
  <c r="O28" i="9"/>
  <c r="O46" s="1"/>
  <c r="O65" s="1"/>
  <c r="U8" i="18" s="1"/>
  <c r="O32" i="9"/>
  <c r="O50" s="1"/>
  <c r="O69" s="1"/>
  <c r="U12" i="18" s="1"/>
  <c r="L25" i="9"/>
  <c r="L43" s="1"/>
  <c r="L62" s="1"/>
  <c r="R5" i="18" s="1"/>
  <c r="L29" i="9"/>
  <c r="L47" s="1"/>
  <c r="L66" s="1"/>
  <c r="R9" i="18" s="1"/>
  <c r="L33" i="9"/>
  <c r="L51" s="1"/>
  <c r="L70" s="1"/>
  <c r="R13" i="18" s="1"/>
  <c r="W26" i="9"/>
  <c r="W44" s="1"/>
  <c r="W63" s="1"/>
  <c r="AC6" i="18" s="1"/>
  <c r="W34" i="9"/>
  <c r="W52" s="1"/>
  <c r="W71" s="1"/>
  <c r="AC14" i="18" s="1"/>
  <c r="W30" i="9"/>
  <c r="W48" s="1"/>
  <c r="W67" s="1"/>
  <c r="AC10" i="18" s="1"/>
  <c r="M18" i="9"/>
  <c r="M27"/>
  <c r="M45" s="1"/>
  <c r="M64" s="1"/>
  <c r="S7" i="18" s="1"/>
  <c r="M31" i="9"/>
  <c r="M49" s="1"/>
  <c r="M68" s="1"/>
  <c r="S11" i="18" s="1"/>
  <c r="M23" i="9"/>
  <c r="K18"/>
  <c r="K27"/>
  <c r="K45" s="1"/>
  <c r="K64" s="1"/>
  <c r="Q7" i="18" s="1"/>
  <c r="K23" i="9"/>
  <c r="K31"/>
  <c r="K49" s="1"/>
  <c r="K68" s="1"/>
  <c r="Q11" i="18" s="1"/>
  <c r="AA14" i="9"/>
  <c r="E24"/>
  <c r="E28"/>
  <c r="E32"/>
  <c r="I24"/>
  <c r="I42" s="1"/>
  <c r="I61" s="1"/>
  <c r="O4" i="18" s="1"/>
  <c r="I28" i="9"/>
  <c r="I46" s="1"/>
  <c r="I65" s="1"/>
  <c r="O8" i="18" s="1"/>
  <c r="I32" i="9"/>
  <c r="I50" s="1"/>
  <c r="I69" s="1"/>
  <c r="O12" i="18" s="1"/>
  <c r="K25" i="9"/>
  <c r="K43" s="1"/>
  <c r="K62" s="1"/>
  <c r="Q5" i="18" s="1"/>
  <c r="K33" i="9"/>
  <c r="K51" s="1"/>
  <c r="K70" s="1"/>
  <c r="Q13" i="18" s="1"/>
  <c r="K29" i="9"/>
  <c r="K47" s="1"/>
  <c r="K66" s="1"/>
  <c r="Q9" i="18" s="1"/>
  <c r="I18" i="9"/>
  <c r="I27"/>
  <c r="I45" s="1"/>
  <c r="I64" s="1"/>
  <c r="O7" i="18" s="1"/>
  <c r="I31" i="9"/>
  <c r="I49" s="1"/>
  <c r="I68" s="1"/>
  <c r="O11" i="18" s="1"/>
  <c r="I23" i="9"/>
  <c r="U26"/>
  <c r="U44" s="1"/>
  <c r="U63" s="1"/>
  <c r="AA6" i="18" s="1"/>
  <c r="U34" i="9"/>
  <c r="U52" s="1"/>
  <c r="U71" s="1"/>
  <c r="AA14" i="18" s="1"/>
  <c r="U30" i="9"/>
  <c r="U48" s="1"/>
  <c r="U67" s="1"/>
  <c r="AA10" i="18" s="1"/>
  <c r="T25" i="9"/>
  <c r="T43" s="1"/>
  <c r="T62" s="1"/>
  <c r="Z5" i="18" s="1"/>
  <c r="T33" i="9"/>
  <c r="T51" s="1"/>
  <c r="T70" s="1"/>
  <c r="Z13" i="18" s="1"/>
  <c r="T29" i="9"/>
  <c r="T47" s="1"/>
  <c r="T66" s="1"/>
  <c r="Z9" i="18" s="1"/>
  <c r="J25" i="9"/>
  <c r="J43" s="1"/>
  <c r="J62" s="1"/>
  <c r="P5" i="18" s="1"/>
  <c r="J33" i="9"/>
  <c r="J51" s="1"/>
  <c r="J70" s="1"/>
  <c r="P13" i="18" s="1"/>
  <c r="J29" i="9"/>
  <c r="J47" s="1"/>
  <c r="J66" s="1"/>
  <c r="P9" i="18" s="1"/>
  <c r="U18" i="9"/>
  <c r="U27"/>
  <c r="U45" s="1"/>
  <c r="U64" s="1"/>
  <c r="AA7" i="18" s="1"/>
  <c r="U31" i="9"/>
  <c r="U49" s="1"/>
  <c r="U68" s="1"/>
  <c r="AA11" i="18" s="1"/>
  <c r="U23" i="9"/>
  <c r="O26"/>
  <c r="O44" s="1"/>
  <c r="O63" s="1"/>
  <c r="U6" i="18" s="1"/>
  <c r="O30" i="9"/>
  <c r="O48" s="1"/>
  <c r="O67" s="1"/>
  <c r="U10" i="18" s="1"/>
  <c r="O34" i="9"/>
  <c r="O52" s="1"/>
  <c r="O71" s="1"/>
  <c r="U14" i="18" s="1"/>
  <c r="T18" i="9"/>
  <c r="T27"/>
  <c r="T45" s="1"/>
  <c r="T64" s="1"/>
  <c r="Z7" i="18" s="1"/>
  <c r="T23" i="9"/>
  <c r="T31"/>
  <c r="T49" s="1"/>
  <c r="T68" s="1"/>
  <c r="Z11" i="18" s="1"/>
  <c r="G25" i="9"/>
  <c r="G43" s="1"/>
  <c r="G62" s="1"/>
  <c r="M5" i="18" s="1"/>
  <c r="G29" i="9"/>
  <c r="G47" s="1"/>
  <c r="G66" s="1"/>
  <c r="M9" i="18" s="1"/>
  <c r="G33" i="9"/>
  <c r="G51" s="1"/>
  <c r="G70" s="1"/>
  <c r="M13" i="18" s="1"/>
  <c r="F25" i="9"/>
  <c r="F43" s="1"/>
  <c r="F62" s="1"/>
  <c r="L5" i="18" s="1"/>
  <c r="F33" i="9"/>
  <c r="F51" s="1"/>
  <c r="F70" s="1"/>
  <c r="L13" i="18" s="1"/>
  <c r="F29" i="9"/>
  <c r="F47" s="1"/>
  <c r="F66" s="1"/>
  <c r="L9" i="18" s="1"/>
  <c r="AA15" i="9"/>
  <c r="E25"/>
  <c r="E29"/>
  <c r="E33"/>
  <c r="M25"/>
  <c r="M43" s="1"/>
  <c r="M62" s="1"/>
  <c r="S5" i="18" s="1"/>
  <c r="M33" i="9"/>
  <c r="M51" s="1"/>
  <c r="M70" s="1"/>
  <c r="S13" i="18" s="1"/>
  <c r="M29" i="9"/>
  <c r="M47" s="1"/>
  <c r="M66" s="1"/>
  <c r="S9" i="18" s="1"/>
  <c r="G24" i="9"/>
  <c r="G42" s="1"/>
  <c r="G61" s="1"/>
  <c r="M4" i="18" s="1"/>
  <c r="G28" i="9"/>
  <c r="G46" s="1"/>
  <c r="G65" s="1"/>
  <c r="M8" i="18" s="1"/>
  <c r="G32" i="9"/>
  <c r="G50" s="1"/>
  <c r="G69" s="1"/>
  <c r="M12" i="18" s="1"/>
  <c r="N24" i="9"/>
  <c r="N42" s="1"/>
  <c r="N61" s="1"/>
  <c r="T4" i="18" s="1"/>
  <c r="N32" i="9"/>
  <c r="N50" s="1"/>
  <c r="N69" s="1"/>
  <c r="T12" i="18" s="1"/>
  <c r="N28" i="9"/>
  <c r="N46" s="1"/>
  <c r="N65" s="1"/>
  <c r="T8" i="18" s="1"/>
  <c r="T24" i="9"/>
  <c r="T42" s="1"/>
  <c r="T61" s="1"/>
  <c r="Z4" i="18" s="1"/>
  <c r="T32" i="9"/>
  <c r="T50" s="1"/>
  <c r="T69" s="1"/>
  <c r="Z12" i="18" s="1"/>
  <c r="T28" i="9"/>
  <c r="T46" s="1"/>
  <c r="T65" s="1"/>
  <c r="Z8" i="18" s="1"/>
  <c r="O25" i="9"/>
  <c r="O43" s="1"/>
  <c r="O62" s="1"/>
  <c r="U5" i="18" s="1"/>
  <c r="O29" i="9"/>
  <c r="O47" s="1"/>
  <c r="O66" s="1"/>
  <c r="U9" i="18" s="1"/>
  <c r="O33" i="9"/>
  <c r="O51" s="1"/>
  <c r="O70" s="1"/>
  <c r="U13" i="18" s="1"/>
  <c r="T26" i="9"/>
  <c r="T44" s="1"/>
  <c r="T63" s="1"/>
  <c r="Z6" i="18" s="1"/>
  <c r="T34" i="9"/>
  <c r="T52" s="1"/>
  <c r="T71" s="1"/>
  <c r="Z14" i="18" s="1"/>
  <c r="T30" i="9"/>
  <c r="T48" s="1"/>
  <c r="T67" s="1"/>
  <c r="Z10" i="18" s="1"/>
  <c r="I25" i="9"/>
  <c r="I43" s="1"/>
  <c r="I62" s="1"/>
  <c r="O5" i="18" s="1"/>
  <c r="I29" i="9"/>
  <c r="I47" s="1"/>
  <c r="I66" s="1"/>
  <c r="O9" i="18" s="1"/>
  <c r="I33" i="9"/>
  <c r="I51" s="1"/>
  <c r="I70" s="1"/>
  <c r="O13" i="18" s="1"/>
  <c r="V25" i="9"/>
  <c r="V43" s="1"/>
  <c r="V62" s="1"/>
  <c r="AB5" i="18" s="1"/>
  <c r="V29" i="9"/>
  <c r="V47" s="1"/>
  <c r="V66" s="1"/>
  <c r="AB9" i="18" s="1"/>
  <c r="V33" i="9"/>
  <c r="V51" s="1"/>
  <c r="V70" s="1"/>
  <c r="AB13" i="18" s="1"/>
  <c r="H26" i="9"/>
  <c r="H44" s="1"/>
  <c r="H63" s="1"/>
  <c r="N6" i="18" s="1"/>
  <c r="H34" i="9"/>
  <c r="H52" s="1"/>
  <c r="H71" s="1"/>
  <c r="N14" i="18" s="1"/>
  <c r="H30" i="9"/>
  <c r="H48" s="1"/>
  <c r="H67" s="1"/>
  <c r="N10" i="18" s="1"/>
  <c r="F18" i="9"/>
  <c r="F27"/>
  <c r="F45" s="1"/>
  <c r="F64" s="1"/>
  <c r="L7" i="18" s="1"/>
  <c r="F31" i="9"/>
  <c r="F49" s="1"/>
  <c r="F68" s="1"/>
  <c r="L11" i="18" s="1"/>
  <c r="F23" i="9"/>
  <c r="U24"/>
  <c r="U42" s="1"/>
  <c r="U61" s="1"/>
  <c r="AA4" i="18" s="1"/>
  <c r="U28" i="9"/>
  <c r="U46" s="1"/>
  <c r="U65" s="1"/>
  <c r="AA8" i="18" s="1"/>
  <c r="U32" i="9"/>
  <c r="U50" s="1"/>
  <c r="U69" s="1"/>
  <c r="AA12" i="18" s="1"/>
  <c r="Q26" i="9"/>
  <c r="Q44" s="1"/>
  <c r="Q63" s="1"/>
  <c r="W6" i="18" s="1"/>
  <c r="Q30" i="9"/>
  <c r="Q48" s="1"/>
  <c r="Q67" s="1"/>
  <c r="W10" i="18" s="1"/>
  <c r="Q34" i="9"/>
  <c r="Q52" s="1"/>
  <c r="Q71" s="1"/>
  <c r="W14" i="18" s="1"/>
  <c r="X26" i="9"/>
  <c r="X44" s="1"/>
  <c r="X63" s="1"/>
  <c r="AD6" i="18" s="1"/>
  <c r="X34" i="9"/>
  <c r="X52" s="1"/>
  <c r="X71" s="1"/>
  <c r="AD14" i="18" s="1"/>
  <c r="X30" i="9"/>
  <c r="X48" s="1"/>
  <c r="X67" s="1"/>
  <c r="AD10" i="18" s="1"/>
  <c r="I26" i="9"/>
  <c r="I44" s="1"/>
  <c r="I63" s="1"/>
  <c r="O6" i="18" s="1"/>
  <c r="I34" i="9"/>
  <c r="I52" s="1"/>
  <c r="I71" s="1"/>
  <c r="O14" i="18" s="1"/>
  <c r="I30" i="9"/>
  <c r="I48" s="1"/>
  <c r="I67" s="1"/>
  <c r="O10" i="18" s="1"/>
  <c r="L26" i="9"/>
  <c r="L44" s="1"/>
  <c r="L63" s="1"/>
  <c r="R6" i="18" s="1"/>
  <c r="L34" i="9"/>
  <c r="L52" s="1"/>
  <c r="L71" s="1"/>
  <c r="R14" i="18" s="1"/>
  <c r="L30" i="9"/>
  <c r="L48" s="1"/>
  <c r="L67" s="1"/>
  <c r="R10" i="18" s="1"/>
  <c r="O18" i="9"/>
  <c r="O27"/>
  <c r="O45" s="1"/>
  <c r="O64" s="1"/>
  <c r="U7" i="18" s="1"/>
  <c r="O23" i="9"/>
  <c r="O31"/>
  <c r="O49" s="1"/>
  <c r="O68" s="1"/>
  <c r="U11" i="18" s="1"/>
  <c r="R26" i="9"/>
  <c r="R44" s="1"/>
  <c r="R63" s="1"/>
  <c r="X6" i="18" s="1"/>
  <c r="R30" i="9"/>
  <c r="R48" s="1"/>
  <c r="R67" s="1"/>
  <c r="X10" i="18" s="1"/>
  <c r="R34" i="9"/>
  <c r="R52" s="1"/>
  <c r="R71" s="1"/>
  <c r="X14" i="18" s="1"/>
  <c r="O18" i="8"/>
  <c r="O31"/>
  <c r="O35"/>
  <c r="O39"/>
  <c r="J36"/>
  <c r="J40"/>
  <c r="J32"/>
  <c r="Q36"/>
  <c r="Q32"/>
  <c r="Q40"/>
  <c r="J37"/>
  <c r="J41"/>
  <c r="J33"/>
  <c r="T36"/>
  <c r="T40"/>
  <c r="T32"/>
  <c r="K34"/>
  <c r="K38"/>
  <c r="K42"/>
  <c r="U18"/>
  <c r="U31"/>
  <c r="U35"/>
  <c r="U39"/>
  <c r="I37"/>
  <c r="I33"/>
  <c r="I41"/>
  <c r="N37"/>
  <c r="N33"/>
  <c r="N41"/>
  <c r="S34"/>
  <c r="S38"/>
  <c r="S42"/>
  <c r="P37"/>
  <c r="P41"/>
  <c r="P33"/>
  <c r="E34"/>
  <c r="E68" s="1"/>
  <c r="E38"/>
  <c r="E72" s="1"/>
  <c r="E42"/>
  <c r="E76" s="1"/>
  <c r="F34"/>
  <c r="F38"/>
  <c r="F42"/>
  <c r="G34"/>
  <c r="G38"/>
  <c r="G42"/>
  <c r="X18"/>
  <c r="AA31"/>
  <c r="X31"/>
  <c r="AA35"/>
  <c r="X35"/>
  <c r="X39"/>
  <c r="AA39"/>
  <c r="E36"/>
  <c r="E70" s="1"/>
  <c r="E40"/>
  <c r="E74" s="1"/>
  <c r="E32"/>
  <c r="E66" s="1"/>
  <c r="H34"/>
  <c r="H42"/>
  <c r="H38"/>
  <c r="P36"/>
  <c r="P40"/>
  <c r="P32"/>
  <c r="T34"/>
  <c r="T38"/>
  <c r="T42"/>
  <c r="F37"/>
  <c r="F41"/>
  <c r="F33"/>
  <c r="X36"/>
  <c r="AA36"/>
  <c r="X40"/>
  <c r="AA32"/>
  <c r="AA40"/>
  <c r="X32"/>
  <c r="G37"/>
  <c r="G41"/>
  <c r="G33"/>
  <c r="T18"/>
  <c r="T31"/>
  <c r="T39"/>
  <c r="T35"/>
  <c r="W36"/>
  <c r="W32"/>
  <c r="W40"/>
  <c r="K40"/>
  <c r="K36"/>
  <c r="K32"/>
  <c r="F18"/>
  <c r="F31"/>
  <c r="F35"/>
  <c r="F39"/>
  <c r="J18"/>
  <c r="J31"/>
  <c r="J39"/>
  <c r="J35"/>
  <c r="I18"/>
  <c r="I31"/>
  <c r="I35"/>
  <c r="I39"/>
  <c r="Q18"/>
  <c r="Q31"/>
  <c r="Q39"/>
  <c r="Q35"/>
  <c r="U40"/>
  <c r="U36"/>
  <c r="U32"/>
  <c r="L36"/>
  <c r="L32"/>
  <c r="L40"/>
  <c r="V37"/>
  <c r="V33"/>
  <c r="V41"/>
  <c r="H18"/>
  <c r="H31"/>
  <c r="H35"/>
  <c r="H39"/>
  <c r="O37"/>
  <c r="O33"/>
  <c r="O41"/>
  <c r="P18"/>
  <c r="P31"/>
  <c r="P39"/>
  <c r="P35"/>
  <c r="G18"/>
  <c r="G31"/>
  <c r="G39"/>
  <c r="G35"/>
  <c r="N18"/>
  <c r="N31"/>
  <c r="N35"/>
  <c r="N39"/>
  <c r="U37"/>
  <c r="U41"/>
  <c r="U33"/>
  <c r="M18"/>
  <c r="M31"/>
  <c r="M39"/>
  <c r="M35"/>
  <c r="Q37"/>
  <c r="Q41"/>
  <c r="Q33"/>
  <c r="R34"/>
  <c r="R38"/>
  <c r="R42"/>
  <c r="AA34"/>
  <c r="X34"/>
  <c r="X38"/>
  <c r="AA42"/>
  <c r="X42"/>
  <c r="AA38"/>
  <c r="K18"/>
  <c r="K31"/>
  <c r="K39"/>
  <c r="K35"/>
  <c r="T37"/>
  <c r="T33"/>
  <c r="T41"/>
  <c r="G36"/>
  <c r="G40"/>
  <c r="G32"/>
  <c r="S37"/>
  <c r="S41"/>
  <c r="S33"/>
  <c r="M34"/>
  <c r="M38"/>
  <c r="M42"/>
  <c r="Q34"/>
  <c r="Q42"/>
  <c r="Q38"/>
  <c r="R36"/>
  <c r="R40"/>
  <c r="R32"/>
  <c r="R18"/>
  <c r="R31"/>
  <c r="R35"/>
  <c r="R39"/>
  <c r="V36"/>
  <c r="V32"/>
  <c r="V40"/>
  <c r="O36"/>
  <c r="O40"/>
  <c r="O32"/>
  <c r="L18"/>
  <c r="L31"/>
  <c r="L35"/>
  <c r="L39"/>
  <c r="N34"/>
  <c r="N38"/>
  <c r="N42"/>
  <c r="O34"/>
  <c r="O38"/>
  <c r="O42"/>
  <c r="P34"/>
  <c r="P38"/>
  <c r="P42"/>
  <c r="L37"/>
  <c r="L41"/>
  <c r="L33"/>
  <c r="V34"/>
  <c r="V42"/>
  <c r="V38"/>
  <c r="E37"/>
  <c r="E71" s="1"/>
  <c r="E33"/>
  <c r="E67" s="1"/>
  <c r="E41"/>
  <c r="E75" s="1"/>
  <c r="W34"/>
  <c r="W38"/>
  <c r="W42"/>
  <c r="W18"/>
  <c r="W31"/>
  <c r="W35"/>
  <c r="W39"/>
  <c r="I36"/>
  <c r="I40"/>
  <c r="I32"/>
  <c r="W37"/>
  <c r="W41"/>
  <c r="W33"/>
  <c r="S36"/>
  <c r="S32"/>
  <c r="S40"/>
  <c r="E31"/>
  <c r="E18"/>
  <c r="E27" s="1"/>
  <c r="E35"/>
  <c r="E69" s="1"/>
  <c r="E39"/>
  <c r="E73" s="1"/>
  <c r="R37"/>
  <c r="R41"/>
  <c r="R33"/>
  <c r="S18"/>
  <c r="S31"/>
  <c r="S39"/>
  <c r="S35"/>
  <c r="K37"/>
  <c r="K41"/>
  <c r="K33"/>
  <c r="U34"/>
  <c r="U42"/>
  <c r="U38"/>
  <c r="M36"/>
  <c r="M32"/>
  <c r="M40"/>
  <c r="J34"/>
  <c r="J42"/>
  <c r="J38"/>
  <c r="H36"/>
  <c r="H40"/>
  <c r="H32"/>
  <c r="V18"/>
  <c r="V31"/>
  <c r="V39"/>
  <c r="V35"/>
  <c r="F36"/>
  <c r="F40"/>
  <c r="F32"/>
  <c r="I34"/>
  <c r="I38"/>
  <c r="I42"/>
  <c r="M37"/>
  <c r="M33"/>
  <c r="M41"/>
  <c r="N36"/>
  <c r="N40"/>
  <c r="N32"/>
  <c r="AA37"/>
  <c r="X37"/>
  <c r="AA33"/>
  <c r="X33"/>
  <c r="AA41"/>
  <c r="X41"/>
  <c r="L34"/>
  <c r="L38"/>
  <c r="L42"/>
  <c r="H37"/>
  <c r="H33"/>
  <c r="H41"/>
  <c r="N162" i="9" l="1"/>
  <c r="O24" i="8" s="1"/>
  <c r="X162" i="9"/>
  <c r="S161"/>
  <c r="T23" i="8" s="1"/>
  <c r="S163" i="9"/>
  <c r="T25" i="8" s="1"/>
  <c r="U162" i="9"/>
  <c r="V24" i="8" s="1"/>
  <c r="P162" i="9"/>
  <c r="Q24" i="8" s="1"/>
  <c r="R161" i="9"/>
  <c r="S23" i="8" s="1"/>
  <c r="P163" i="9"/>
  <c r="Q25" i="8" s="1"/>
  <c r="K163" i="9"/>
  <c r="L25" i="8" s="1"/>
  <c r="T163" i="9"/>
  <c r="U25" i="8" s="1"/>
  <c r="P161" i="9"/>
  <c r="Q23" i="8" s="1"/>
  <c r="O163" i="9"/>
  <c r="P25" i="8" s="1"/>
  <c r="J162" i="9"/>
  <c r="K24" i="8" s="1"/>
  <c r="H161" i="9"/>
  <c r="I23" i="8" s="1"/>
  <c r="J163" i="9"/>
  <c r="K25" i="8" s="1"/>
  <c r="F163" i="9"/>
  <c r="G25" i="8" s="1"/>
  <c r="T161" i="9"/>
  <c r="U23" i="8" s="1"/>
  <c r="N161" i="9"/>
  <c r="O23" i="8" s="1"/>
  <c r="G161" i="9"/>
  <c r="H23" i="8" s="1"/>
  <c r="U163" i="9"/>
  <c r="V25" i="8" s="1"/>
  <c r="L162" i="9"/>
  <c r="M24" i="8" s="1"/>
  <c r="V161" i="9"/>
  <c r="W23" i="8" s="1"/>
  <c r="Q162" i="9"/>
  <c r="R24" i="8" s="1"/>
  <c r="H162" i="9"/>
  <c r="I24" i="8" s="1"/>
  <c r="I161" i="9"/>
  <c r="J23" i="8" s="1"/>
  <c r="W163" i="9"/>
  <c r="X25" i="8" s="1"/>
  <c r="O161" i="9"/>
  <c r="P23" i="8" s="1"/>
  <c r="M161" i="9"/>
  <c r="N23" i="8" s="1"/>
  <c r="L161" i="9"/>
  <c r="M23" i="8" s="1"/>
  <c r="W161" i="9"/>
  <c r="X23" i="8" s="1"/>
  <c r="R163" i="9"/>
  <c r="S25" i="8" s="1"/>
  <c r="L163" i="9"/>
  <c r="M25" i="8" s="1"/>
  <c r="I163" i="9"/>
  <c r="J25" i="8" s="1"/>
  <c r="X163" i="9"/>
  <c r="Q163"/>
  <c r="R25" i="8" s="1"/>
  <c r="U161" i="9"/>
  <c r="V23" i="8" s="1"/>
  <c r="H163" i="9"/>
  <c r="I25" i="8" s="1"/>
  <c r="V162" i="9"/>
  <c r="W24" i="8" s="1"/>
  <c r="W162" i="9"/>
  <c r="X24" i="8" s="1"/>
  <c r="K161" i="9"/>
  <c r="L23" i="8" s="1"/>
  <c r="O41" i="9"/>
  <c r="O36"/>
  <c r="F41"/>
  <c r="F36"/>
  <c r="AA34"/>
  <c r="E52"/>
  <c r="J41"/>
  <c r="J36"/>
  <c r="E41"/>
  <c r="AA23"/>
  <c r="E36"/>
  <c r="AA25"/>
  <c r="E43"/>
  <c r="U41"/>
  <c r="U36"/>
  <c r="W41"/>
  <c r="W36"/>
  <c r="N41"/>
  <c r="N36"/>
  <c r="AA33"/>
  <c r="E51"/>
  <c r="AA32"/>
  <c r="E50"/>
  <c r="Q41"/>
  <c r="Q36"/>
  <c r="L41"/>
  <c r="L36"/>
  <c r="AA30"/>
  <c r="E48"/>
  <c r="G41"/>
  <c r="G36"/>
  <c r="E49"/>
  <c r="AA31"/>
  <c r="F162"/>
  <c r="G24" i="8" s="1"/>
  <c r="AA18" i="9"/>
  <c r="G162"/>
  <c r="H24" i="8" s="1"/>
  <c r="T162" i="9"/>
  <c r="U24" i="8" s="1"/>
  <c r="S162" i="9"/>
  <c r="T24" i="8" s="1"/>
  <c r="G163" i="9"/>
  <c r="H25" i="8" s="1"/>
  <c r="N163" i="9"/>
  <c r="O25" i="8" s="1"/>
  <c r="V163" i="9"/>
  <c r="W25" i="8" s="1"/>
  <c r="J161" i="9"/>
  <c r="K23" i="8" s="1"/>
  <c r="X161" i="9"/>
  <c r="M163"/>
  <c r="N25" i="8" s="1"/>
  <c r="F161" i="9"/>
  <c r="G23" i="8" s="1"/>
  <c r="Q161" i="9"/>
  <c r="R23" i="8" s="1"/>
  <c r="I41" i="9"/>
  <c r="I36"/>
  <c r="S41"/>
  <c r="S36"/>
  <c r="T41"/>
  <c r="T36"/>
  <c r="AA24"/>
  <c r="E42"/>
  <c r="K41"/>
  <c r="K36"/>
  <c r="M41"/>
  <c r="M36"/>
  <c r="R41"/>
  <c r="R36"/>
  <c r="AA29"/>
  <c r="E47"/>
  <c r="AA28"/>
  <c r="E46"/>
  <c r="X41"/>
  <c r="X36"/>
  <c r="E44"/>
  <c r="AA26"/>
  <c r="V41"/>
  <c r="V36"/>
  <c r="P41"/>
  <c r="P36"/>
  <c r="H41"/>
  <c r="H36"/>
  <c r="E45"/>
  <c r="AA27"/>
  <c r="I162"/>
  <c r="J24" i="8" s="1"/>
  <c r="O162" i="9"/>
  <c r="P24" i="8" s="1"/>
  <c r="M162" i="9"/>
  <c r="N24" i="8" s="1"/>
  <c r="K162" i="9"/>
  <c r="L24" i="8" s="1"/>
  <c r="R162" i="9"/>
  <c r="S24" i="8" s="1"/>
  <c r="V44"/>
  <c r="E93"/>
  <c r="L44"/>
  <c r="M44"/>
  <c r="E86"/>
  <c r="E96"/>
  <c r="S44"/>
  <c r="E65"/>
  <c r="E44"/>
  <c r="W44"/>
  <c r="N44"/>
  <c r="G44"/>
  <c r="P44"/>
  <c r="Q44"/>
  <c r="J44"/>
  <c r="F44"/>
  <c r="E89"/>
  <c r="E87"/>
  <c r="T44"/>
  <c r="E94"/>
  <c r="E92"/>
  <c r="U44"/>
  <c r="E95"/>
  <c r="K44"/>
  <c r="AA44"/>
  <c r="O44"/>
  <c r="I44"/>
  <c r="X44"/>
  <c r="E91"/>
  <c r="R44"/>
  <c r="H44"/>
  <c r="E90"/>
  <c r="E88"/>
  <c r="AA46" i="9" l="1"/>
  <c r="E65"/>
  <c r="AA47"/>
  <c r="E66"/>
  <c r="E67"/>
  <c r="AA48"/>
  <c r="E60"/>
  <c r="AA41"/>
  <c r="E54"/>
  <c r="E160"/>
  <c r="AA45"/>
  <c r="E64"/>
  <c r="X60"/>
  <c r="X54"/>
  <c r="X160"/>
  <c r="X165" s="1"/>
  <c r="AA42"/>
  <c r="E61"/>
  <c r="E161"/>
  <c r="G60"/>
  <c r="G54"/>
  <c r="G160"/>
  <c r="L60"/>
  <c r="L54"/>
  <c r="L160"/>
  <c r="N60"/>
  <c r="N54"/>
  <c r="N160"/>
  <c r="H60"/>
  <c r="H54"/>
  <c r="H160"/>
  <c r="P60"/>
  <c r="P54"/>
  <c r="P160"/>
  <c r="AA44"/>
  <c r="E63"/>
  <c r="E163"/>
  <c r="AA49"/>
  <c r="E68"/>
  <c r="Q60"/>
  <c r="Q54"/>
  <c r="Q160"/>
  <c r="W60"/>
  <c r="W54"/>
  <c r="W160"/>
  <c r="U60"/>
  <c r="U54"/>
  <c r="U160"/>
  <c r="E71"/>
  <c r="AA52"/>
  <c r="O60"/>
  <c r="O54"/>
  <c r="O160"/>
  <c r="M60"/>
  <c r="M54"/>
  <c r="M160"/>
  <c r="I60"/>
  <c r="I54"/>
  <c r="I160"/>
  <c r="AA51"/>
  <c r="E70"/>
  <c r="V60"/>
  <c r="V54"/>
  <c r="V160"/>
  <c r="S60"/>
  <c r="S54"/>
  <c r="S160"/>
  <c r="F60"/>
  <c r="F54"/>
  <c r="F160"/>
  <c r="R60"/>
  <c r="R54"/>
  <c r="R160"/>
  <c r="K60"/>
  <c r="K54"/>
  <c r="K160"/>
  <c r="T60"/>
  <c r="T54"/>
  <c r="T160"/>
  <c r="E69"/>
  <c r="AA50"/>
  <c r="E62"/>
  <c r="AA43"/>
  <c r="E162"/>
  <c r="J60"/>
  <c r="J54"/>
  <c r="J160"/>
  <c r="AA36"/>
  <c r="K20" i="18"/>
  <c r="K22"/>
  <c r="K26"/>
  <c r="K18"/>
  <c r="K21"/>
  <c r="K24"/>
  <c r="K17"/>
  <c r="K16"/>
  <c r="K25"/>
  <c r="K19"/>
  <c r="E85" i="8"/>
  <c r="E78"/>
  <c r="K23" i="18"/>
  <c r="P3" l="1"/>
  <c r="J107" i="9"/>
  <c r="J144" s="1"/>
  <c r="J108"/>
  <c r="J106"/>
  <c r="J103"/>
  <c r="J88"/>
  <c r="J89"/>
  <c r="J86"/>
  <c r="J95"/>
  <c r="J101"/>
  <c r="J100"/>
  <c r="J91"/>
  <c r="J73"/>
  <c r="J96"/>
  <c r="J80"/>
  <c r="J85"/>
  <c r="J83"/>
  <c r="J90"/>
  <c r="J92"/>
  <c r="J129" s="1"/>
  <c r="J98"/>
  <c r="J87"/>
  <c r="J124" s="1"/>
  <c r="J82"/>
  <c r="J105"/>
  <c r="J104"/>
  <c r="J109"/>
  <c r="J97"/>
  <c r="J134" s="1"/>
  <c r="J99"/>
  <c r="J136" s="1"/>
  <c r="J102"/>
  <c r="J81"/>
  <c r="J93"/>
  <c r="J94"/>
  <c r="J79"/>
  <c r="J116" s="1"/>
  <c r="J84"/>
  <c r="J121" s="1"/>
  <c r="J110"/>
  <c r="U22" i="8"/>
  <c r="U27" s="1"/>
  <c r="T165" i="9"/>
  <c r="T22" i="8"/>
  <c r="T27" s="1"/>
  <c r="S165" i="9"/>
  <c r="AA3" i="18"/>
  <c r="U86" i="9"/>
  <c r="U89"/>
  <c r="U95"/>
  <c r="U106"/>
  <c r="U100"/>
  <c r="U104"/>
  <c r="U103"/>
  <c r="U85"/>
  <c r="U110"/>
  <c r="U97"/>
  <c r="U107"/>
  <c r="U83"/>
  <c r="U101"/>
  <c r="U138" s="1"/>
  <c r="U105"/>
  <c r="U142" s="1"/>
  <c r="U102"/>
  <c r="U108"/>
  <c r="U109"/>
  <c r="U80"/>
  <c r="U94"/>
  <c r="U73"/>
  <c r="U87"/>
  <c r="U124" s="1"/>
  <c r="U91"/>
  <c r="U90"/>
  <c r="U96"/>
  <c r="U98"/>
  <c r="U79"/>
  <c r="U116" s="1"/>
  <c r="U93"/>
  <c r="U92"/>
  <c r="U99"/>
  <c r="U136" s="1"/>
  <c r="U82"/>
  <c r="U81"/>
  <c r="U88"/>
  <c r="U84"/>
  <c r="R22" i="8"/>
  <c r="R27" s="1"/>
  <c r="Q165" i="9"/>
  <c r="N3" i="18"/>
  <c r="H81" i="9"/>
  <c r="H92"/>
  <c r="H101"/>
  <c r="H106"/>
  <c r="H105"/>
  <c r="H100"/>
  <c r="H107"/>
  <c r="H110"/>
  <c r="H96"/>
  <c r="H83"/>
  <c r="H80"/>
  <c r="H93"/>
  <c r="H94"/>
  <c r="H98"/>
  <c r="H91"/>
  <c r="H88"/>
  <c r="H73"/>
  <c r="H99"/>
  <c r="H104"/>
  <c r="H108"/>
  <c r="H109"/>
  <c r="H103"/>
  <c r="H102"/>
  <c r="H139" s="1"/>
  <c r="H90"/>
  <c r="H84"/>
  <c r="H89"/>
  <c r="H82"/>
  <c r="H119" s="1"/>
  <c r="H97"/>
  <c r="H87"/>
  <c r="H85"/>
  <c r="H95"/>
  <c r="H132" s="1"/>
  <c r="H79"/>
  <c r="H116" s="1"/>
  <c r="H86"/>
  <c r="O22" i="8"/>
  <c r="O27" s="1"/>
  <c r="N165" i="9"/>
  <c r="K4" i="18"/>
  <c r="Y61" i="9"/>
  <c r="AE4" i="18" s="1"/>
  <c r="AA61" i="9"/>
  <c r="AD3" i="18"/>
  <c r="X99" i="9"/>
  <c r="X73"/>
  <c r="X93"/>
  <c r="X98"/>
  <c r="X85"/>
  <c r="X80"/>
  <c r="X83"/>
  <c r="X105"/>
  <c r="X81"/>
  <c r="X95"/>
  <c r="X89"/>
  <c r="X79"/>
  <c r="X116" s="1"/>
  <c r="X108"/>
  <c r="X102"/>
  <c r="X101"/>
  <c r="X109"/>
  <c r="X106"/>
  <c r="X97"/>
  <c r="X96"/>
  <c r="X90"/>
  <c r="X88"/>
  <c r="X84"/>
  <c r="X92"/>
  <c r="X87"/>
  <c r="X104"/>
  <c r="X100"/>
  <c r="X86"/>
  <c r="X110"/>
  <c r="X147" s="1"/>
  <c r="X94"/>
  <c r="X107"/>
  <c r="X91"/>
  <c r="X82"/>
  <c r="X103"/>
  <c r="X140" s="1"/>
  <c r="W22" i="8"/>
  <c r="W27" s="1"/>
  <c r="V165" i="9"/>
  <c r="J22" i="8"/>
  <c r="J27" s="1"/>
  <c r="I165" i="9"/>
  <c r="U3" i="18"/>
  <c r="O97" i="9"/>
  <c r="O92"/>
  <c r="O89"/>
  <c r="O79"/>
  <c r="O116" s="1"/>
  <c r="O109"/>
  <c r="O101"/>
  <c r="O103"/>
  <c r="O104"/>
  <c r="O98"/>
  <c r="O135" s="1"/>
  <c r="O99"/>
  <c r="O94"/>
  <c r="O83"/>
  <c r="O100"/>
  <c r="O106"/>
  <c r="O107"/>
  <c r="O105"/>
  <c r="O142" s="1"/>
  <c r="O93"/>
  <c r="O80"/>
  <c r="O117" s="1"/>
  <c r="O84"/>
  <c r="O121" s="1"/>
  <c r="O87"/>
  <c r="O95"/>
  <c r="O73"/>
  <c r="O81"/>
  <c r="O85"/>
  <c r="O108"/>
  <c r="O91"/>
  <c r="O86"/>
  <c r="O82"/>
  <c r="O96"/>
  <c r="O133" s="1"/>
  <c r="O90"/>
  <c r="O88"/>
  <c r="O125" s="1"/>
  <c r="O102"/>
  <c r="O110"/>
  <c r="O147" s="1"/>
  <c r="AC3" i="18"/>
  <c r="W89" i="9"/>
  <c r="W96"/>
  <c r="W90"/>
  <c r="W94"/>
  <c r="W100"/>
  <c r="W109"/>
  <c r="W101"/>
  <c r="W106"/>
  <c r="W105"/>
  <c r="W79"/>
  <c r="W116" s="1"/>
  <c r="W99"/>
  <c r="W82"/>
  <c r="W85"/>
  <c r="W81"/>
  <c r="W80"/>
  <c r="W93"/>
  <c r="W88"/>
  <c r="W87"/>
  <c r="W107"/>
  <c r="W102"/>
  <c r="W104"/>
  <c r="W73"/>
  <c r="W91"/>
  <c r="W128" s="1"/>
  <c r="W83"/>
  <c r="W120" s="1"/>
  <c r="W84"/>
  <c r="W108"/>
  <c r="W98"/>
  <c r="W97"/>
  <c r="W134" s="1"/>
  <c r="W110"/>
  <c r="W92"/>
  <c r="W103"/>
  <c r="W86"/>
  <c r="W95"/>
  <c r="K11" i="18"/>
  <c r="Y68" i="9"/>
  <c r="AE11" i="18" s="1"/>
  <c r="AA68" i="9"/>
  <c r="Q22" i="8"/>
  <c r="Q27" s="1"/>
  <c r="P165" i="9"/>
  <c r="M22" i="8"/>
  <c r="M27" s="1"/>
  <c r="L165" i="9"/>
  <c r="AA161"/>
  <c r="F23" i="8"/>
  <c r="AA67" i="9"/>
  <c r="Y67"/>
  <c r="AE10" i="18" s="1"/>
  <c r="K10"/>
  <c r="K8"/>
  <c r="AA65" i="9"/>
  <c r="Y65"/>
  <c r="AE8" i="18" s="1"/>
  <c r="K22" i="8"/>
  <c r="K27" s="1"/>
  <c r="J165" i="9"/>
  <c r="Z3" i="18"/>
  <c r="T85" i="9"/>
  <c r="T91"/>
  <c r="T81"/>
  <c r="T80"/>
  <c r="T82"/>
  <c r="T97"/>
  <c r="T88"/>
  <c r="T106"/>
  <c r="T84"/>
  <c r="T99"/>
  <c r="T86"/>
  <c r="T73"/>
  <c r="T96"/>
  <c r="T90"/>
  <c r="T92"/>
  <c r="T79"/>
  <c r="T116" s="1"/>
  <c r="T95"/>
  <c r="T105"/>
  <c r="T109"/>
  <c r="T100"/>
  <c r="T103"/>
  <c r="T93"/>
  <c r="T87"/>
  <c r="T124" s="1"/>
  <c r="T94"/>
  <c r="T101"/>
  <c r="T98"/>
  <c r="T135" s="1"/>
  <c r="T102"/>
  <c r="T104"/>
  <c r="T107"/>
  <c r="T108"/>
  <c r="T83"/>
  <c r="T89"/>
  <c r="T126" s="1"/>
  <c r="T110"/>
  <c r="T147" s="1"/>
  <c r="S22" i="8"/>
  <c r="S27" s="1"/>
  <c r="R165" i="9"/>
  <c r="L3" i="18"/>
  <c r="F91" i="9"/>
  <c r="F128" s="1"/>
  <c r="F105"/>
  <c r="F90"/>
  <c r="F109"/>
  <c r="F84"/>
  <c r="F110"/>
  <c r="F79"/>
  <c r="F116" s="1"/>
  <c r="F83"/>
  <c r="F102"/>
  <c r="F104"/>
  <c r="F106"/>
  <c r="F85"/>
  <c r="F97"/>
  <c r="F99"/>
  <c r="F92"/>
  <c r="F88"/>
  <c r="F73"/>
  <c r="F80"/>
  <c r="F81"/>
  <c r="F87"/>
  <c r="F100"/>
  <c r="F107"/>
  <c r="F98"/>
  <c r="F89"/>
  <c r="F126" s="1"/>
  <c r="F95"/>
  <c r="F94"/>
  <c r="F103"/>
  <c r="F93"/>
  <c r="F130" s="1"/>
  <c r="F86"/>
  <c r="F96"/>
  <c r="F101"/>
  <c r="F82"/>
  <c r="F119" s="1"/>
  <c r="F108"/>
  <c r="Y3" i="18"/>
  <c r="S109" i="9"/>
  <c r="S107"/>
  <c r="S102"/>
  <c r="S84"/>
  <c r="S110"/>
  <c r="S147" s="1"/>
  <c r="S92"/>
  <c r="S106"/>
  <c r="S90"/>
  <c r="S97"/>
  <c r="S105"/>
  <c r="S81"/>
  <c r="S96"/>
  <c r="S88"/>
  <c r="S91"/>
  <c r="S89"/>
  <c r="S126" s="1"/>
  <c r="S94"/>
  <c r="S86"/>
  <c r="S108"/>
  <c r="S145" s="1"/>
  <c r="S100"/>
  <c r="S93"/>
  <c r="S87"/>
  <c r="S124" s="1"/>
  <c r="S103"/>
  <c r="S101"/>
  <c r="S83"/>
  <c r="S99"/>
  <c r="S98"/>
  <c r="S135" s="1"/>
  <c r="S80"/>
  <c r="S104"/>
  <c r="S73"/>
  <c r="S95"/>
  <c r="S82"/>
  <c r="S119" s="1"/>
  <c r="S79"/>
  <c r="S116" s="1"/>
  <c r="S85"/>
  <c r="N22" i="8"/>
  <c r="N27" s="1"/>
  <c r="M165" i="9"/>
  <c r="V22" i="8"/>
  <c r="V27" s="1"/>
  <c r="U165" i="9"/>
  <c r="W3" i="18"/>
  <c r="Q98" i="9"/>
  <c r="Q104"/>
  <c r="Q103"/>
  <c r="Q106"/>
  <c r="Q101"/>
  <c r="Q73"/>
  <c r="Q105"/>
  <c r="Q94"/>
  <c r="Q95"/>
  <c r="Q81"/>
  <c r="Q100"/>
  <c r="Q108"/>
  <c r="Q80"/>
  <c r="Q91"/>
  <c r="Q84"/>
  <c r="Q96"/>
  <c r="Q110"/>
  <c r="Q86"/>
  <c r="Q89"/>
  <c r="Q87"/>
  <c r="Q83"/>
  <c r="Q82"/>
  <c r="Q119" s="1"/>
  <c r="Q109"/>
  <c r="Q107"/>
  <c r="Q144" s="1"/>
  <c r="Q102"/>
  <c r="Q139" s="1"/>
  <c r="Q99"/>
  <c r="Q97"/>
  <c r="Q93"/>
  <c r="Q79"/>
  <c r="Q116" s="1"/>
  <c r="Q90"/>
  <c r="Q85"/>
  <c r="Q122" s="1"/>
  <c r="Q88"/>
  <c r="Q125" s="1"/>
  <c r="Q92"/>
  <c r="I22" i="8"/>
  <c r="I27" s="1"/>
  <c r="H165" i="9"/>
  <c r="T3" i="18"/>
  <c r="N109" i="9"/>
  <c r="N83"/>
  <c r="N88"/>
  <c r="N73"/>
  <c r="N80"/>
  <c r="N96"/>
  <c r="N90"/>
  <c r="N86"/>
  <c r="N97"/>
  <c r="N92"/>
  <c r="N85"/>
  <c r="N87"/>
  <c r="N124" s="1"/>
  <c r="N82"/>
  <c r="N79"/>
  <c r="N116" s="1"/>
  <c r="N98"/>
  <c r="N95"/>
  <c r="N107"/>
  <c r="N106"/>
  <c r="N100"/>
  <c r="N101"/>
  <c r="N102"/>
  <c r="N91"/>
  <c r="N94"/>
  <c r="N81"/>
  <c r="N110"/>
  <c r="N147" s="1"/>
  <c r="N89"/>
  <c r="N108"/>
  <c r="N103"/>
  <c r="N104"/>
  <c r="N99"/>
  <c r="N105"/>
  <c r="N93"/>
  <c r="N84"/>
  <c r="H22" i="8"/>
  <c r="H27" s="1"/>
  <c r="G165" i="9"/>
  <c r="AA160"/>
  <c r="F22" i="8"/>
  <c r="E165" i="9"/>
  <c r="AA54"/>
  <c r="X3" i="18"/>
  <c r="R108" i="9"/>
  <c r="R105"/>
  <c r="R106"/>
  <c r="R91"/>
  <c r="R82"/>
  <c r="R92"/>
  <c r="R98"/>
  <c r="R95"/>
  <c r="R97"/>
  <c r="R94"/>
  <c r="R80"/>
  <c r="R110"/>
  <c r="R89"/>
  <c r="R87"/>
  <c r="R109"/>
  <c r="R107"/>
  <c r="R144" s="1"/>
  <c r="R100"/>
  <c r="R101"/>
  <c r="R93"/>
  <c r="R102"/>
  <c r="R99"/>
  <c r="R136" s="1"/>
  <c r="R84"/>
  <c r="R73"/>
  <c r="R81"/>
  <c r="R118" s="1"/>
  <c r="R90"/>
  <c r="R127" s="1"/>
  <c r="R88"/>
  <c r="R125" s="1"/>
  <c r="R103"/>
  <c r="R83"/>
  <c r="R79"/>
  <c r="R116" s="1"/>
  <c r="R85"/>
  <c r="R122" s="1"/>
  <c r="R96"/>
  <c r="R104"/>
  <c r="R141" s="1"/>
  <c r="R86"/>
  <c r="G22" i="8"/>
  <c r="G27" s="1"/>
  <c r="F165" i="9"/>
  <c r="S3" i="18"/>
  <c r="M93" i="9"/>
  <c r="M130" s="1"/>
  <c r="M83"/>
  <c r="M92"/>
  <c r="M99"/>
  <c r="M73"/>
  <c r="M89"/>
  <c r="M94"/>
  <c r="M88"/>
  <c r="M90"/>
  <c r="M110"/>
  <c r="M97"/>
  <c r="M82"/>
  <c r="M81"/>
  <c r="M95"/>
  <c r="M96"/>
  <c r="M84"/>
  <c r="M86"/>
  <c r="M85"/>
  <c r="M100"/>
  <c r="M108"/>
  <c r="M104"/>
  <c r="M107"/>
  <c r="M106"/>
  <c r="M80"/>
  <c r="M98"/>
  <c r="M135" s="1"/>
  <c r="M102"/>
  <c r="M105"/>
  <c r="M103"/>
  <c r="M109"/>
  <c r="M101"/>
  <c r="M91"/>
  <c r="M79"/>
  <c r="M116" s="1"/>
  <c r="M87"/>
  <c r="M124" s="1"/>
  <c r="AA163"/>
  <c r="F25" i="8"/>
  <c r="M3" i="18"/>
  <c r="G100" i="9"/>
  <c r="G104"/>
  <c r="G107"/>
  <c r="G101"/>
  <c r="G105"/>
  <c r="G82"/>
  <c r="G86"/>
  <c r="G92"/>
  <c r="G89"/>
  <c r="G88"/>
  <c r="G94"/>
  <c r="G80"/>
  <c r="G110"/>
  <c r="G90"/>
  <c r="G93"/>
  <c r="G102"/>
  <c r="G139" s="1"/>
  <c r="G85"/>
  <c r="G106"/>
  <c r="G103"/>
  <c r="G108"/>
  <c r="G145" s="1"/>
  <c r="G109"/>
  <c r="G96"/>
  <c r="G81"/>
  <c r="G98"/>
  <c r="G91"/>
  <c r="G79"/>
  <c r="G116" s="1"/>
  <c r="G87"/>
  <c r="G124" s="1"/>
  <c r="G73"/>
  <c r="G99"/>
  <c r="G84"/>
  <c r="G97"/>
  <c r="G83"/>
  <c r="G95"/>
  <c r="G132" s="1"/>
  <c r="AA62"/>
  <c r="K5" i="18"/>
  <c r="Y62" i="9"/>
  <c r="AE5" i="18" s="1"/>
  <c r="L22" i="8"/>
  <c r="L27" s="1"/>
  <c r="K165" i="9"/>
  <c r="AA162"/>
  <c r="F24" i="8"/>
  <c r="AA69" i="9"/>
  <c r="Y69"/>
  <c r="AE12" i="18" s="1"/>
  <c r="K12"/>
  <c r="Q3"/>
  <c r="K108" i="9"/>
  <c r="K93"/>
  <c r="K95"/>
  <c r="K81"/>
  <c r="K73"/>
  <c r="K96"/>
  <c r="K97"/>
  <c r="K84"/>
  <c r="K99"/>
  <c r="K86"/>
  <c r="K91"/>
  <c r="K90"/>
  <c r="K82"/>
  <c r="K94"/>
  <c r="K131" s="1"/>
  <c r="K89"/>
  <c r="K92"/>
  <c r="K110"/>
  <c r="K80"/>
  <c r="K101"/>
  <c r="K104"/>
  <c r="K107"/>
  <c r="K100"/>
  <c r="K103"/>
  <c r="K87"/>
  <c r="K88"/>
  <c r="K83"/>
  <c r="K102"/>
  <c r="K139" s="1"/>
  <c r="K79"/>
  <c r="K116" s="1"/>
  <c r="K109"/>
  <c r="K146" s="1"/>
  <c r="K98"/>
  <c r="K85"/>
  <c r="K105"/>
  <c r="K106"/>
  <c r="AB3" i="18"/>
  <c r="V106" i="9"/>
  <c r="V105"/>
  <c r="V101"/>
  <c r="V108"/>
  <c r="V73"/>
  <c r="V100"/>
  <c r="V96"/>
  <c r="V98"/>
  <c r="V84"/>
  <c r="V87"/>
  <c r="V93"/>
  <c r="V80"/>
  <c r="V99"/>
  <c r="V86"/>
  <c r="V79"/>
  <c r="V116" s="1"/>
  <c r="V82"/>
  <c r="V103"/>
  <c r="V109"/>
  <c r="V104"/>
  <c r="V141" s="1"/>
  <c r="V102"/>
  <c r="V107"/>
  <c r="V144" s="1"/>
  <c r="V90"/>
  <c r="V95"/>
  <c r="V97"/>
  <c r="V83"/>
  <c r="V88"/>
  <c r="V125" s="1"/>
  <c r="V92"/>
  <c r="V89"/>
  <c r="V110"/>
  <c r="V81"/>
  <c r="V91"/>
  <c r="V94"/>
  <c r="V85"/>
  <c r="V122" s="1"/>
  <c r="AA70"/>
  <c r="Y70"/>
  <c r="AE13" i="18" s="1"/>
  <c r="K13"/>
  <c r="O3"/>
  <c r="I73" i="9"/>
  <c r="I98"/>
  <c r="I101"/>
  <c r="I100"/>
  <c r="I102"/>
  <c r="I108"/>
  <c r="I81"/>
  <c r="I106"/>
  <c r="I80"/>
  <c r="I84"/>
  <c r="I83"/>
  <c r="I92"/>
  <c r="I95"/>
  <c r="I93"/>
  <c r="I130" s="1"/>
  <c r="I96"/>
  <c r="I91"/>
  <c r="I88"/>
  <c r="I110"/>
  <c r="I147" s="1"/>
  <c r="I107"/>
  <c r="I109"/>
  <c r="I105"/>
  <c r="I104"/>
  <c r="I103"/>
  <c r="I87"/>
  <c r="I97"/>
  <c r="I89"/>
  <c r="I85"/>
  <c r="I79"/>
  <c r="I116" s="1"/>
  <c r="I82"/>
  <c r="I94"/>
  <c r="I131" s="1"/>
  <c r="I90"/>
  <c r="I86"/>
  <c r="I99"/>
  <c r="P22" i="8"/>
  <c r="P27" s="1"/>
  <c r="O165" i="9"/>
  <c r="AA71"/>
  <c r="Y71"/>
  <c r="AE14" i="18" s="1"/>
  <c r="K14"/>
  <c r="X22" i="8"/>
  <c r="X27" s="1"/>
  <c r="W165" i="9"/>
  <c r="K6" i="18"/>
  <c r="Y63" i="9"/>
  <c r="AE6" i="18" s="1"/>
  <c r="AA63" i="9"/>
  <c r="V3" i="18"/>
  <c r="P89" i="9"/>
  <c r="P82"/>
  <c r="P79"/>
  <c r="P116" s="1"/>
  <c r="P73"/>
  <c r="P85"/>
  <c r="P98"/>
  <c r="P92"/>
  <c r="P91"/>
  <c r="P83"/>
  <c r="P96"/>
  <c r="P107"/>
  <c r="P103"/>
  <c r="P101"/>
  <c r="P108"/>
  <c r="P109"/>
  <c r="P94"/>
  <c r="P81"/>
  <c r="P93"/>
  <c r="P99"/>
  <c r="P110"/>
  <c r="P80"/>
  <c r="P105"/>
  <c r="P142" s="1"/>
  <c r="P84"/>
  <c r="P97"/>
  <c r="P90"/>
  <c r="P127" s="1"/>
  <c r="P95"/>
  <c r="P132" s="1"/>
  <c r="P102"/>
  <c r="P88"/>
  <c r="P100"/>
  <c r="P87"/>
  <c r="P86"/>
  <c r="P104"/>
  <c r="P141" s="1"/>
  <c r="P106"/>
  <c r="R3" i="18"/>
  <c r="L88" i="9"/>
  <c r="L87"/>
  <c r="L82"/>
  <c r="L103"/>
  <c r="L94"/>
  <c r="L100"/>
  <c r="L84"/>
  <c r="L101"/>
  <c r="L138" s="1"/>
  <c r="L108"/>
  <c r="L79"/>
  <c r="L116" s="1"/>
  <c r="L96"/>
  <c r="L91"/>
  <c r="L95"/>
  <c r="L132" s="1"/>
  <c r="L89"/>
  <c r="L107"/>
  <c r="L90"/>
  <c r="L127" s="1"/>
  <c r="L110"/>
  <c r="L85"/>
  <c r="L86"/>
  <c r="L81"/>
  <c r="L118" s="1"/>
  <c r="L104"/>
  <c r="L92"/>
  <c r="L93"/>
  <c r="L105"/>
  <c r="L73"/>
  <c r="L97"/>
  <c r="L83"/>
  <c r="L120" s="1"/>
  <c r="L98"/>
  <c r="L135" s="1"/>
  <c r="L99"/>
  <c r="L80"/>
  <c r="L117" s="1"/>
  <c r="L109"/>
  <c r="L106"/>
  <c r="L143" s="1"/>
  <c r="L102"/>
  <c r="Y64"/>
  <c r="AE7" i="18" s="1"/>
  <c r="AA64" i="9"/>
  <c r="K7" i="18"/>
  <c r="K3"/>
  <c r="AA60" i="9"/>
  <c r="Y60"/>
  <c r="E82"/>
  <c r="E79"/>
  <c r="E80"/>
  <c r="E83"/>
  <c r="E81"/>
  <c r="E92"/>
  <c r="E73"/>
  <c r="E93"/>
  <c r="E88"/>
  <c r="E108"/>
  <c r="E109"/>
  <c r="E107"/>
  <c r="E97"/>
  <c r="E95"/>
  <c r="E86"/>
  <c r="E110"/>
  <c r="E87"/>
  <c r="E90"/>
  <c r="E89"/>
  <c r="E100"/>
  <c r="E84"/>
  <c r="E94"/>
  <c r="E85"/>
  <c r="E91"/>
  <c r="E96"/>
  <c r="E105"/>
  <c r="E99"/>
  <c r="E98"/>
  <c r="E103"/>
  <c r="E106"/>
  <c r="E102"/>
  <c r="E104"/>
  <c r="E101"/>
  <c r="AA66"/>
  <c r="Y66"/>
  <c r="AE9" i="18" s="1"/>
  <c r="K9"/>
  <c r="K15"/>
  <c r="E107" i="8"/>
  <c r="E109"/>
  <c r="E108"/>
  <c r="E110"/>
  <c r="E147" s="1"/>
  <c r="E106"/>
  <c r="E143" s="1"/>
  <c r="E121"/>
  <c r="E126"/>
  <c r="E123"/>
  <c r="E122"/>
  <c r="E133"/>
  <c r="E132"/>
  <c r="E129"/>
  <c r="E115"/>
  <c r="E111"/>
  <c r="E130"/>
  <c r="E98"/>
  <c r="E135"/>
  <c r="E136"/>
  <c r="E119"/>
  <c r="E116"/>
  <c r="E134"/>
  <c r="E113"/>
  <c r="E112"/>
  <c r="E149" s="1"/>
  <c r="E118"/>
  <c r="E120"/>
  <c r="E124"/>
  <c r="E128"/>
  <c r="E137"/>
  <c r="E114"/>
  <c r="E117"/>
  <c r="E127"/>
  <c r="E125"/>
  <c r="E162" s="1"/>
  <c r="E131"/>
  <c r="E153" l="1"/>
  <c r="E160"/>
  <c r="L142" i="9"/>
  <c r="L140"/>
  <c r="P124"/>
  <c r="P130"/>
  <c r="P145"/>
  <c r="I141"/>
  <c r="I121"/>
  <c r="I145"/>
  <c r="V132"/>
  <c r="K143"/>
  <c r="K136"/>
  <c r="G128"/>
  <c r="G122"/>
  <c r="G126"/>
  <c r="G142"/>
  <c r="M123"/>
  <c r="M127"/>
  <c r="R123"/>
  <c r="R126"/>
  <c r="N121"/>
  <c r="N144"/>
  <c r="N134"/>
  <c r="Q129"/>
  <c r="W123"/>
  <c r="O127"/>
  <c r="X119"/>
  <c r="X146"/>
  <c r="H144"/>
  <c r="U130"/>
  <c r="U144"/>
  <c r="J130"/>
  <c r="J127"/>
  <c r="J138"/>
  <c r="K142"/>
  <c r="H136"/>
  <c r="I126"/>
  <c r="V128"/>
  <c r="K119"/>
  <c r="G136"/>
  <c r="G146"/>
  <c r="M141"/>
  <c r="M118"/>
  <c r="R145"/>
  <c r="N139"/>
  <c r="Q132"/>
  <c r="S143"/>
  <c r="F123"/>
  <c r="T138"/>
  <c r="W139"/>
  <c r="O136"/>
  <c r="X127"/>
  <c r="H141"/>
  <c r="H138"/>
  <c r="U127"/>
  <c r="J147"/>
  <c r="V138"/>
  <c r="M146"/>
  <c r="F121"/>
  <c r="T144"/>
  <c r="O138"/>
  <c r="X124"/>
  <c r="U118"/>
  <c r="J119"/>
  <c r="J133"/>
  <c r="V126"/>
  <c r="K135"/>
  <c r="K117"/>
  <c r="G121"/>
  <c r="M138"/>
  <c r="M122"/>
  <c r="M132"/>
  <c r="R129"/>
  <c r="N136"/>
  <c r="N126"/>
  <c r="N128"/>
  <c r="Q127"/>
  <c r="Q141"/>
  <c r="S141"/>
  <c r="S130"/>
  <c r="F131"/>
  <c r="F144"/>
  <c r="F117"/>
  <c r="F136"/>
  <c r="F141"/>
  <c r="F147"/>
  <c r="T130"/>
  <c r="W147"/>
  <c r="O131"/>
  <c r="X131"/>
  <c r="H127"/>
  <c r="H130"/>
  <c r="U129"/>
  <c r="K125"/>
  <c r="N141"/>
  <c r="J141"/>
  <c r="N138"/>
  <c r="N123"/>
  <c r="Q143"/>
  <c r="P135"/>
  <c r="P119"/>
  <c r="I135"/>
  <c r="R134"/>
  <c r="R119"/>
  <c r="N119"/>
  <c r="N117"/>
  <c r="N146"/>
  <c r="Q120"/>
  <c r="Q147"/>
  <c r="Q138"/>
  <c r="Q135"/>
  <c r="S117"/>
  <c r="S137"/>
  <c r="F145"/>
  <c r="F132"/>
  <c r="F137"/>
  <c r="F134"/>
  <c r="F139"/>
  <c r="T140"/>
  <c r="T132"/>
  <c r="T121"/>
  <c r="T119"/>
  <c r="W130"/>
  <c r="W119"/>
  <c r="W143"/>
  <c r="O143"/>
  <c r="X142"/>
  <c r="X135"/>
  <c r="H128"/>
  <c r="H117"/>
  <c r="U139"/>
  <c r="J125"/>
  <c r="E151" i="8"/>
  <c r="E171"/>
  <c r="L147" i="9"/>
  <c r="L145"/>
  <c r="L131"/>
  <c r="L125"/>
  <c r="P123"/>
  <c r="P139"/>
  <c r="P121"/>
  <c r="P144"/>
  <c r="P129"/>
  <c r="I140"/>
  <c r="I144"/>
  <c r="I133"/>
  <c r="I120"/>
  <c r="I118"/>
  <c r="I138"/>
  <c r="V119"/>
  <c r="V145"/>
  <c r="K123"/>
  <c r="K133"/>
  <c r="K130"/>
  <c r="G125"/>
  <c r="G119"/>
  <c r="G141"/>
  <c r="M144"/>
  <c r="M126"/>
  <c r="M120"/>
  <c r="R121"/>
  <c r="R131"/>
  <c r="R142"/>
  <c r="N143"/>
  <c r="N133"/>
  <c r="Q123"/>
  <c r="S133"/>
  <c r="T142"/>
  <c r="T127"/>
  <c r="W141"/>
  <c r="W125"/>
  <c r="O123"/>
  <c r="O140"/>
  <c r="X145"/>
  <c r="X118"/>
  <c r="X122"/>
  <c r="H134"/>
  <c r="H125"/>
  <c r="H147"/>
  <c r="H143"/>
  <c r="U125"/>
  <c r="U122"/>
  <c r="J142"/>
  <c r="E156" i="8"/>
  <c r="E167"/>
  <c r="E169"/>
  <c r="E163"/>
  <c r="E145"/>
  <c r="E144"/>
  <c r="W137" i="9"/>
  <c r="U120"/>
  <c r="U143"/>
  <c r="J117"/>
  <c r="V129"/>
  <c r="S138"/>
  <c r="L134"/>
  <c r="L122"/>
  <c r="L124"/>
  <c r="P128"/>
  <c r="I143"/>
  <c r="I137"/>
  <c r="V147"/>
  <c r="V143"/>
  <c r="K122"/>
  <c r="K128"/>
  <c r="G118"/>
  <c r="G140"/>
  <c r="G130"/>
  <c r="M137"/>
  <c r="R133"/>
  <c r="R140"/>
  <c r="Q134"/>
  <c r="Q146"/>
  <c r="W129"/>
  <c r="W145"/>
  <c r="W118"/>
  <c r="X121"/>
  <c r="X134"/>
  <c r="X139"/>
  <c r="H123"/>
  <c r="H121"/>
  <c r="U135"/>
  <c r="Y101"/>
  <c r="E138"/>
  <c r="Y96"/>
  <c r="E133"/>
  <c r="Y84"/>
  <c r="E121"/>
  <c r="Y87"/>
  <c r="E124"/>
  <c r="F52" i="8"/>
  <c r="F48"/>
  <c r="F56"/>
  <c r="F27"/>
  <c r="Y106" i="9"/>
  <c r="E143"/>
  <c r="E142"/>
  <c r="Y105"/>
  <c r="Y94"/>
  <c r="E131"/>
  <c r="Y90"/>
  <c r="E127"/>
  <c r="Y95"/>
  <c r="E132"/>
  <c r="Y108"/>
  <c r="E145"/>
  <c r="Y92"/>
  <c r="E129"/>
  <c r="Y79"/>
  <c r="E116"/>
  <c r="P133"/>
  <c r="V133"/>
  <c r="K147"/>
  <c r="K145"/>
  <c r="G147"/>
  <c r="G137"/>
  <c r="S118"/>
  <c r="S139"/>
  <c r="O128"/>
  <c r="O129"/>
  <c r="U140"/>
  <c r="U132"/>
  <c r="L139"/>
  <c r="L136"/>
  <c r="L141"/>
  <c r="P136"/>
  <c r="P146"/>
  <c r="I127"/>
  <c r="I122"/>
  <c r="V131"/>
  <c r="V134"/>
  <c r="V139"/>
  <c r="V117"/>
  <c r="V135"/>
  <c r="K120"/>
  <c r="K137"/>
  <c r="G133"/>
  <c r="G143"/>
  <c r="G127"/>
  <c r="M139"/>
  <c r="M147"/>
  <c r="R138"/>
  <c r="R124"/>
  <c r="AA165"/>
  <c r="N129"/>
  <c r="N120"/>
  <c r="Q136"/>
  <c r="Q128"/>
  <c r="Q118"/>
  <c r="S120"/>
  <c r="S131"/>
  <c r="S127"/>
  <c r="S121"/>
  <c r="F133"/>
  <c r="F142"/>
  <c r="T145"/>
  <c r="T136"/>
  <c r="T134"/>
  <c r="T128"/>
  <c r="W132"/>
  <c r="W121"/>
  <c r="W122"/>
  <c r="W142"/>
  <c r="W126"/>
  <c r="O118"/>
  <c r="O144"/>
  <c r="O126"/>
  <c r="X141"/>
  <c r="X125"/>
  <c r="X143"/>
  <c r="X136"/>
  <c r="H145"/>
  <c r="U133"/>
  <c r="U145"/>
  <c r="J131"/>
  <c r="J137"/>
  <c r="J126"/>
  <c r="J145"/>
  <c r="Y103"/>
  <c r="E140"/>
  <c r="Y97"/>
  <c r="E134"/>
  <c r="Y88"/>
  <c r="E125"/>
  <c r="Y81"/>
  <c r="E118"/>
  <c r="E119"/>
  <c r="Y82"/>
  <c r="L128"/>
  <c r="V130"/>
  <c r="K144"/>
  <c r="R137"/>
  <c r="Q117"/>
  <c r="T133"/>
  <c r="T122"/>
  <c r="B73"/>
  <c r="W131"/>
  <c r="U131"/>
  <c r="Y104"/>
  <c r="E141"/>
  <c r="Y98"/>
  <c r="E135"/>
  <c r="E128"/>
  <c r="Y91"/>
  <c r="Y100"/>
  <c r="E137"/>
  <c r="Y110"/>
  <c r="E147"/>
  <c r="Y107"/>
  <c r="E144"/>
  <c r="Y93"/>
  <c r="E130"/>
  <c r="E120"/>
  <c r="Y83"/>
  <c r="AE3" i="18"/>
  <c r="Y73" i="9"/>
  <c r="C10" s="1"/>
  <c r="F58" i="8"/>
  <c r="F54"/>
  <c r="F50"/>
  <c r="E173"/>
  <c r="L146" i="9"/>
  <c r="L130"/>
  <c r="L123"/>
  <c r="L144"/>
  <c r="L133"/>
  <c r="L121"/>
  <c r="L119"/>
  <c r="P143"/>
  <c r="P137"/>
  <c r="P117"/>
  <c r="P118"/>
  <c r="P138"/>
  <c r="P120"/>
  <c r="P122"/>
  <c r="P126"/>
  <c r="I136"/>
  <c r="I119"/>
  <c r="I134"/>
  <c r="I142"/>
  <c r="I125"/>
  <c r="I132"/>
  <c r="I117"/>
  <c r="I139"/>
  <c r="V118"/>
  <c r="V127"/>
  <c r="V146"/>
  <c r="V123"/>
  <c r="V124"/>
  <c r="V137"/>
  <c r="V142"/>
  <c r="K124"/>
  <c r="K141"/>
  <c r="K129"/>
  <c r="K127"/>
  <c r="K121"/>
  <c r="K118"/>
  <c r="G120"/>
  <c r="G135"/>
  <c r="G117"/>
  <c r="G129"/>
  <c r="G138"/>
  <c r="M140"/>
  <c r="M117"/>
  <c r="M145"/>
  <c r="M121"/>
  <c r="M119"/>
  <c r="M125"/>
  <c r="M136"/>
  <c r="R120"/>
  <c r="R139"/>
  <c r="R147"/>
  <c r="R132"/>
  <c r="R128"/>
  <c r="N130"/>
  <c r="N140"/>
  <c r="N118"/>
  <c r="N132"/>
  <c r="Q130"/>
  <c r="Q124"/>
  <c r="Q133"/>
  <c r="Q145"/>
  <c r="Q131"/>
  <c r="S132"/>
  <c r="S140"/>
  <c r="S128"/>
  <c r="S142"/>
  <c r="S129"/>
  <c r="S144"/>
  <c r="F124"/>
  <c r="F125"/>
  <c r="F122"/>
  <c r="F120"/>
  <c r="F146"/>
  <c r="T141"/>
  <c r="T131"/>
  <c r="T137"/>
  <c r="T143"/>
  <c r="T117"/>
  <c r="W140"/>
  <c r="W135"/>
  <c r="W144"/>
  <c r="W117"/>
  <c r="W136"/>
  <c r="W138"/>
  <c r="W127"/>
  <c r="O145"/>
  <c r="O132"/>
  <c r="O130"/>
  <c r="O137"/>
  <c r="O146"/>
  <c r="O134"/>
  <c r="X128"/>
  <c r="X123"/>
  <c r="X129"/>
  <c r="X133"/>
  <c r="X138"/>
  <c r="X126"/>
  <c r="X120"/>
  <c r="X130"/>
  <c r="H122"/>
  <c r="H126"/>
  <c r="H140"/>
  <c r="H135"/>
  <c r="H120"/>
  <c r="H137"/>
  <c r="H129"/>
  <c r="U119"/>
  <c r="U128"/>
  <c r="U117"/>
  <c r="U134"/>
  <c r="U141"/>
  <c r="U126"/>
  <c r="J118"/>
  <c r="J146"/>
  <c r="J120"/>
  <c r="J132"/>
  <c r="J140"/>
  <c r="E139"/>
  <c r="Y102"/>
  <c r="Y99"/>
  <c r="E136"/>
  <c r="Y85"/>
  <c r="E122"/>
  <c r="Y89"/>
  <c r="E126"/>
  <c r="Y86"/>
  <c r="E123"/>
  <c r="Y109"/>
  <c r="E146"/>
  <c r="E74"/>
  <c r="F74" s="1"/>
  <c r="G74" s="1"/>
  <c r="H74" s="1"/>
  <c r="I74" s="1"/>
  <c r="J74" s="1"/>
  <c r="K74" s="1"/>
  <c r="L74" s="1"/>
  <c r="M74" s="1"/>
  <c r="N74" s="1"/>
  <c r="O74" s="1"/>
  <c r="P74" s="1"/>
  <c r="Q74" s="1"/>
  <c r="R74" s="1"/>
  <c r="S74" s="1"/>
  <c r="T74" s="1"/>
  <c r="U74" s="1"/>
  <c r="V74" s="1"/>
  <c r="W74" s="1"/>
  <c r="X74" s="1"/>
  <c r="AA73"/>
  <c r="Y80"/>
  <c r="E117"/>
  <c r="F51" i="8"/>
  <c r="F59"/>
  <c r="F55"/>
  <c r="F57"/>
  <c r="F49"/>
  <c r="F53"/>
  <c r="L129" i="9"/>
  <c r="L126"/>
  <c r="L137"/>
  <c r="P125"/>
  <c r="P134"/>
  <c r="P147"/>
  <c r="P131"/>
  <c r="P140"/>
  <c r="I123"/>
  <c r="I124"/>
  <c r="I146"/>
  <c r="I128"/>
  <c r="I129"/>
  <c r="V120"/>
  <c r="V140"/>
  <c r="V136"/>
  <c r="V121"/>
  <c r="K140"/>
  <c r="K138"/>
  <c r="K126"/>
  <c r="K134"/>
  <c r="K132"/>
  <c r="G134"/>
  <c r="G131"/>
  <c r="G123"/>
  <c r="G144"/>
  <c r="M128"/>
  <c r="M142"/>
  <c r="M143"/>
  <c r="M133"/>
  <c r="M134"/>
  <c r="M131"/>
  <c r="M129"/>
  <c r="R130"/>
  <c r="R146"/>
  <c r="R117"/>
  <c r="R135"/>
  <c r="R143"/>
  <c r="N142"/>
  <c r="N145"/>
  <c r="N131"/>
  <c r="N137"/>
  <c r="N135"/>
  <c r="N122"/>
  <c r="N127"/>
  <c r="N125"/>
  <c r="Q126"/>
  <c r="Q121"/>
  <c r="Q137"/>
  <c r="Q142"/>
  <c r="Q140"/>
  <c r="S122"/>
  <c r="S136"/>
  <c r="S123"/>
  <c r="S125"/>
  <c r="S134"/>
  <c r="S146"/>
  <c r="F138"/>
  <c r="F140"/>
  <c r="F135"/>
  <c r="F118"/>
  <c r="F129"/>
  <c r="F143"/>
  <c r="F127"/>
  <c r="T120"/>
  <c r="T139"/>
  <c r="T146"/>
  <c r="T129"/>
  <c r="T123"/>
  <c r="T125"/>
  <c r="T118"/>
  <c r="W124"/>
  <c r="W146"/>
  <c r="W133"/>
  <c r="O139"/>
  <c r="O119"/>
  <c r="O122"/>
  <c r="O124"/>
  <c r="O120"/>
  <c r="O141"/>
  <c r="X144"/>
  <c r="X137"/>
  <c r="X132"/>
  <c r="X117"/>
  <c r="H124"/>
  <c r="H146"/>
  <c r="H131"/>
  <c r="H133"/>
  <c r="H142"/>
  <c r="H118"/>
  <c r="U121"/>
  <c r="U146"/>
  <c r="U147"/>
  <c r="U137"/>
  <c r="U123"/>
  <c r="J139"/>
  <c r="J135"/>
  <c r="J122"/>
  <c r="J128"/>
  <c r="J123"/>
  <c r="J143"/>
  <c r="E100" i="8"/>
  <c r="E168"/>
  <c r="E157"/>
  <c r="E172"/>
  <c r="E152"/>
  <c r="E159"/>
  <c r="E146"/>
  <c r="E165"/>
  <c r="E164"/>
  <c r="E139"/>
  <c r="E174"/>
  <c r="E155"/>
  <c r="E154"/>
  <c r="E166"/>
  <c r="E161"/>
  <c r="E150"/>
  <c r="E148"/>
  <c r="E170"/>
  <c r="E158"/>
  <c r="L149" i="9" l="1"/>
  <c r="F149"/>
  <c r="S149"/>
  <c r="I149"/>
  <c r="W149"/>
  <c r="X149"/>
  <c r="R149"/>
  <c r="Q149"/>
  <c r="N149"/>
  <c r="Y125"/>
  <c r="G149"/>
  <c r="O149"/>
  <c r="H149"/>
  <c r="K149"/>
  <c r="P149"/>
  <c r="T149"/>
  <c r="M149"/>
  <c r="V149"/>
  <c r="J149"/>
  <c r="U149"/>
  <c r="G51" i="8"/>
  <c r="F68"/>
  <c r="Y139" i="9"/>
  <c r="Y144"/>
  <c r="Y135"/>
  <c r="G49" i="8"/>
  <c r="F66"/>
  <c r="G54"/>
  <c r="F71"/>
  <c r="G52"/>
  <c r="F69"/>
  <c r="F70"/>
  <c r="G53"/>
  <c r="G59"/>
  <c r="F76"/>
  <c r="G50"/>
  <c r="F67"/>
  <c r="G48"/>
  <c r="F61"/>
  <c r="F65"/>
  <c r="G55"/>
  <c r="F72"/>
  <c r="G56"/>
  <c r="F73"/>
  <c r="G57"/>
  <c r="F74"/>
  <c r="G58"/>
  <c r="F75"/>
  <c r="Y116" i="9"/>
  <c r="E149"/>
  <c r="E150" s="1"/>
  <c r="F150" s="1"/>
  <c r="Y137"/>
  <c r="Y140"/>
  <c r="Y123"/>
  <c r="Y122"/>
  <c r="Y128"/>
  <c r="Y129"/>
  <c r="Y132"/>
  <c r="Y131"/>
  <c r="Y143"/>
  <c r="Y121"/>
  <c r="Y138"/>
  <c r="Y130"/>
  <c r="Y147"/>
  <c r="Y141"/>
  <c r="Y118"/>
  <c r="Y134"/>
  <c r="Y142"/>
  <c r="E176" i="8"/>
  <c r="E177" s="1"/>
  <c r="Y117" i="9"/>
  <c r="Y146"/>
  <c r="Y126"/>
  <c r="Y136"/>
  <c r="Y120"/>
  <c r="Y119"/>
  <c r="Y145"/>
  <c r="Y127"/>
  <c r="Y124"/>
  <c r="Y133"/>
  <c r="G150" l="1"/>
  <c r="H150" s="1"/>
  <c r="I150" s="1"/>
  <c r="J150" s="1"/>
  <c r="K150" s="1"/>
  <c r="L150" s="1"/>
  <c r="M150" s="1"/>
  <c r="N150" s="1"/>
  <c r="O150" s="1"/>
  <c r="P150" s="1"/>
  <c r="Q150" s="1"/>
  <c r="R150" s="1"/>
  <c r="S150" s="1"/>
  <c r="T150" s="1"/>
  <c r="U150" s="1"/>
  <c r="V150" s="1"/>
  <c r="W150" s="1"/>
  <c r="X150" s="1"/>
  <c r="G72" i="8"/>
  <c r="G92" s="1"/>
  <c r="M22" i="18" s="1"/>
  <c r="H55" i="8"/>
  <c r="F87"/>
  <c r="H51"/>
  <c r="G68"/>
  <c r="G88" s="1"/>
  <c r="M18" i="18" s="1"/>
  <c r="H48" i="8"/>
  <c r="G61"/>
  <c r="G65"/>
  <c r="H49"/>
  <c r="G66"/>
  <c r="G86" s="1"/>
  <c r="M16" i="18" s="1"/>
  <c r="G75" i="8"/>
  <c r="G95" s="1"/>
  <c r="M25" i="18" s="1"/>
  <c r="H58" i="8"/>
  <c r="H56"/>
  <c r="G73"/>
  <c r="G93" s="1"/>
  <c r="M23" i="18" s="1"/>
  <c r="F96" i="8"/>
  <c r="F89"/>
  <c r="F86"/>
  <c r="Y150" i="9"/>
  <c r="H57" i="8"/>
  <c r="G74"/>
  <c r="G94" s="1"/>
  <c r="M24" i="18" s="1"/>
  <c r="H53" i="8"/>
  <c r="G70"/>
  <c r="G90" s="1"/>
  <c r="M20" i="18" s="1"/>
  <c r="F91" i="8"/>
  <c r="F94"/>
  <c r="F92"/>
  <c r="G76"/>
  <c r="G96" s="1"/>
  <c r="M26" i="18" s="1"/>
  <c r="H59" i="8"/>
  <c r="H52"/>
  <c r="G69"/>
  <c r="G89" s="1"/>
  <c r="M19" i="18" s="1"/>
  <c r="F88" i="8"/>
  <c r="F95"/>
  <c r="F93"/>
  <c r="F78"/>
  <c r="F85"/>
  <c r="G67"/>
  <c r="G87" s="1"/>
  <c r="M17" i="18" s="1"/>
  <c r="H50" i="8"/>
  <c r="F90"/>
  <c r="G71"/>
  <c r="G91" s="1"/>
  <c r="M21" i="18" s="1"/>
  <c r="H54" i="8"/>
  <c r="L23" i="18" l="1"/>
  <c r="L18"/>
  <c r="L24"/>
  <c r="H75" i="8"/>
  <c r="I58"/>
  <c r="G78"/>
  <c r="G85"/>
  <c r="H76"/>
  <c r="H96" s="1"/>
  <c r="N26" i="18" s="1"/>
  <c r="I59" i="8"/>
  <c r="L19" i="18"/>
  <c r="I49" i="8"/>
  <c r="H66"/>
  <c r="I55"/>
  <c r="H72"/>
  <c r="H92" s="1"/>
  <c r="N22" i="18" s="1"/>
  <c r="I54" i="8"/>
  <c r="H71"/>
  <c r="H91" s="1"/>
  <c r="N21" i="18" s="1"/>
  <c r="I50" i="8"/>
  <c r="H67"/>
  <c r="H87" s="1"/>
  <c r="N17" i="18" s="1"/>
  <c r="L25"/>
  <c r="I52" i="8"/>
  <c r="H69"/>
  <c r="H89" s="1"/>
  <c r="N19" i="18" s="1"/>
  <c r="L22"/>
  <c r="L21"/>
  <c r="H74" i="8"/>
  <c r="I57"/>
  <c r="I48"/>
  <c r="H61"/>
  <c r="H65"/>
  <c r="L17" i="18"/>
  <c r="F107" i="8"/>
  <c r="F131"/>
  <c r="F111"/>
  <c r="F110"/>
  <c r="F123"/>
  <c r="F108"/>
  <c r="F137"/>
  <c r="F112"/>
  <c r="F149" s="1"/>
  <c r="L15" i="18"/>
  <c r="F124" i="8"/>
  <c r="F119"/>
  <c r="F126"/>
  <c r="F118"/>
  <c r="F136"/>
  <c r="F125"/>
  <c r="F130"/>
  <c r="F132"/>
  <c r="F113"/>
  <c r="F134"/>
  <c r="F98"/>
  <c r="F122"/>
  <c r="F128"/>
  <c r="F115"/>
  <c r="F117"/>
  <c r="F116"/>
  <c r="F106"/>
  <c r="F143" s="1"/>
  <c r="F133"/>
  <c r="F127"/>
  <c r="F164" s="1"/>
  <c r="F129"/>
  <c r="F120"/>
  <c r="F157" s="1"/>
  <c r="F114"/>
  <c r="F135"/>
  <c r="F172" s="1"/>
  <c r="F121"/>
  <c r="F109"/>
  <c r="F146" s="1"/>
  <c r="I53"/>
  <c r="H70"/>
  <c r="I51"/>
  <c r="H68"/>
  <c r="I56"/>
  <c r="H73"/>
  <c r="L20" i="18"/>
  <c r="L16"/>
  <c r="L26"/>
  <c r="F158" i="8" l="1"/>
  <c r="F166"/>
  <c r="F153"/>
  <c r="F169"/>
  <c r="F155"/>
  <c r="F144"/>
  <c r="F165"/>
  <c r="F150"/>
  <c r="F173"/>
  <c r="F168"/>
  <c r="F148"/>
  <c r="J51"/>
  <c r="I68"/>
  <c r="I88" s="1"/>
  <c r="O18" i="18" s="1"/>
  <c r="J48" i="8"/>
  <c r="I61"/>
  <c r="I65"/>
  <c r="J52"/>
  <c r="I69"/>
  <c r="I89" s="1"/>
  <c r="O19" i="18" s="1"/>
  <c r="J55" i="8"/>
  <c r="I72"/>
  <c r="M15" i="18"/>
  <c r="G120" i="8"/>
  <c r="G111"/>
  <c r="G106"/>
  <c r="G143" s="1"/>
  <c r="G109"/>
  <c r="G136"/>
  <c r="G132"/>
  <c r="G128"/>
  <c r="G121"/>
  <c r="G158" s="1"/>
  <c r="G131"/>
  <c r="G133"/>
  <c r="G123"/>
  <c r="G124"/>
  <c r="G125"/>
  <c r="G108"/>
  <c r="G134"/>
  <c r="G118"/>
  <c r="G110"/>
  <c r="G114"/>
  <c r="G137"/>
  <c r="G117"/>
  <c r="G130"/>
  <c r="G115"/>
  <c r="G152" s="1"/>
  <c r="G113"/>
  <c r="G119"/>
  <c r="G156" s="1"/>
  <c r="G98"/>
  <c r="G107"/>
  <c r="G144" s="1"/>
  <c r="G112"/>
  <c r="G116"/>
  <c r="G135"/>
  <c r="G122"/>
  <c r="G129"/>
  <c r="G166" s="1"/>
  <c r="G127"/>
  <c r="G126"/>
  <c r="G163" s="1"/>
  <c r="J56"/>
  <c r="I73"/>
  <c r="I93" s="1"/>
  <c r="O23" i="18" s="1"/>
  <c r="J53" i="8"/>
  <c r="I70"/>
  <c r="I90" s="1"/>
  <c r="O20" i="18" s="1"/>
  <c r="F174" i="8"/>
  <c r="F139"/>
  <c r="G139" s="1"/>
  <c r="H85"/>
  <c r="H78"/>
  <c r="H94"/>
  <c r="I71"/>
  <c r="J54"/>
  <c r="J49"/>
  <c r="I66"/>
  <c r="I86" s="1"/>
  <c r="O16" i="18" s="1"/>
  <c r="H95" i="8"/>
  <c r="F159"/>
  <c r="F160"/>
  <c r="F151"/>
  <c r="F170"/>
  <c r="F152"/>
  <c r="F171"/>
  <c r="F162"/>
  <c r="F156"/>
  <c r="I67"/>
  <c r="I87" s="1"/>
  <c r="J50"/>
  <c r="H88"/>
  <c r="H93"/>
  <c r="H90"/>
  <c r="F100"/>
  <c r="G100" s="1"/>
  <c r="J57"/>
  <c r="I74"/>
  <c r="I94" s="1"/>
  <c r="O24" i="18" s="1"/>
  <c r="H86" i="8"/>
  <c r="I76"/>
  <c r="J59"/>
  <c r="I75"/>
  <c r="I95" s="1"/>
  <c r="O25" i="18" s="1"/>
  <c r="J58" i="8"/>
  <c r="F161"/>
  <c r="F145"/>
  <c r="F154"/>
  <c r="F167"/>
  <c r="F163"/>
  <c r="F147"/>
  <c r="G159" l="1"/>
  <c r="G174"/>
  <c r="G170"/>
  <c r="G147"/>
  <c r="G162"/>
  <c r="F176"/>
  <c r="F177" s="1"/>
  <c r="G151"/>
  <c r="G169"/>
  <c r="G148"/>
  <c r="G165"/>
  <c r="N16" i="18"/>
  <c r="K50" i="8"/>
  <c r="J67"/>
  <c r="J87" s="1"/>
  <c r="P17" i="18" s="1"/>
  <c r="K49" i="8"/>
  <c r="J66"/>
  <c r="N24" i="18"/>
  <c r="K56" i="8"/>
  <c r="J73"/>
  <c r="I92"/>
  <c r="I78"/>
  <c r="I85"/>
  <c r="K51"/>
  <c r="J68"/>
  <c r="I96"/>
  <c r="J74"/>
  <c r="K57"/>
  <c r="N25" i="18"/>
  <c r="I91" i="8"/>
  <c r="H132"/>
  <c r="H123"/>
  <c r="H114"/>
  <c r="H134"/>
  <c r="H116"/>
  <c r="H124"/>
  <c r="H126"/>
  <c r="H136"/>
  <c r="N15" i="18"/>
  <c r="H137" i="8"/>
  <c r="H139" s="1"/>
  <c r="H106"/>
  <c r="H143" s="1"/>
  <c r="H113"/>
  <c r="H107"/>
  <c r="H109"/>
  <c r="H117"/>
  <c r="H115"/>
  <c r="H118"/>
  <c r="H133"/>
  <c r="H135"/>
  <c r="H111"/>
  <c r="H128"/>
  <c r="H121"/>
  <c r="H112"/>
  <c r="H130"/>
  <c r="H98"/>
  <c r="H100" s="1"/>
  <c r="H127"/>
  <c r="H125"/>
  <c r="H108"/>
  <c r="H120"/>
  <c r="H110"/>
  <c r="H147" s="1"/>
  <c r="H131"/>
  <c r="H168" s="1"/>
  <c r="H122"/>
  <c r="H119"/>
  <c r="H156" s="1"/>
  <c r="H129"/>
  <c r="J70"/>
  <c r="J90" s="1"/>
  <c r="P20" i="18" s="1"/>
  <c r="K53" i="8"/>
  <c r="K52"/>
  <c r="J69"/>
  <c r="G145"/>
  <c r="G150"/>
  <c r="G171"/>
  <c r="G160"/>
  <c r="G164"/>
  <c r="G153"/>
  <c r="G154"/>
  <c r="G155"/>
  <c r="G161"/>
  <c r="G146"/>
  <c r="K55"/>
  <c r="J72"/>
  <c r="J92" s="1"/>
  <c r="P22" i="18" s="1"/>
  <c r="J75" i="8"/>
  <c r="J95" s="1"/>
  <c r="P25" i="18" s="1"/>
  <c r="K58" i="8"/>
  <c r="N20" i="18"/>
  <c r="N18"/>
  <c r="J61" i="8"/>
  <c r="J76"/>
  <c r="J96" s="1"/>
  <c r="P26" i="18" s="1"/>
  <c r="K59" i="8"/>
  <c r="N23" i="18"/>
  <c r="O17"/>
  <c r="J71" i="8"/>
  <c r="J91" s="1"/>
  <c r="P21" i="18" s="1"/>
  <c r="K54" i="8"/>
  <c r="K48"/>
  <c r="J65"/>
  <c r="G149"/>
  <c r="G172"/>
  <c r="G167"/>
  <c r="G168"/>
  <c r="G173"/>
  <c r="G157"/>
  <c r="H170" l="1"/>
  <c r="H154"/>
  <c r="H166"/>
  <c r="H158"/>
  <c r="H145"/>
  <c r="H159"/>
  <c r="H161"/>
  <c r="H162"/>
  <c r="H167"/>
  <c r="H148"/>
  <c r="H171"/>
  <c r="G176"/>
  <c r="G177" s="1"/>
  <c r="H149"/>
  <c r="H172"/>
  <c r="H151"/>
  <c r="O21" i="18"/>
  <c r="J94" i="8"/>
  <c r="J78"/>
  <c r="J85"/>
  <c r="K70"/>
  <c r="L53"/>
  <c r="L57"/>
  <c r="K74"/>
  <c r="K94" s="1"/>
  <c r="Q24" i="18" s="1"/>
  <c r="J88" i="8"/>
  <c r="L56"/>
  <c r="K73"/>
  <c r="K93" s="1"/>
  <c r="Q23" i="18" s="1"/>
  <c r="L49" i="8"/>
  <c r="K66"/>
  <c r="K86" s="1"/>
  <c r="Q16" i="18" s="1"/>
  <c r="K75" i="8"/>
  <c r="K95" s="1"/>
  <c r="Q25" i="18" s="1"/>
  <c r="L58" i="8"/>
  <c r="L52"/>
  <c r="K69"/>
  <c r="K89" s="1"/>
  <c r="Q19" i="18" s="1"/>
  <c r="O26"/>
  <c r="O15"/>
  <c r="I107" i="8"/>
  <c r="I112"/>
  <c r="I126"/>
  <c r="I121"/>
  <c r="I114"/>
  <c r="I113"/>
  <c r="I150" s="1"/>
  <c r="I131"/>
  <c r="I133"/>
  <c r="I109"/>
  <c r="I108"/>
  <c r="I122"/>
  <c r="I119"/>
  <c r="I127"/>
  <c r="I111"/>
  <c r="I130"/>
  <c r="I132"/>
  <c r="I136"/>
  <c r="I128"/>
  <c r="I115"/>
  <c r="I117"/>
  <c r="I137"/>
  <c r="I174" s="1"/>
  <c r="I110"/>
  <c r="I120"/>
  <c r="I98"/>
  <c r="I100" s="1"/>
  <c r="I123"/>
  <c r="I118"/>
  <c r="I134"/>
  <c r="I106"/>
  <c r="I143" s="1"/>
  <c r="I116"/>
  <c r="I129"/>
  <c r="I166" s="1"/>
  <c r="I135"/>
  <c r="I124"/>
  <c r="I125"/>
  <c r="J93"/>
  <c r="J86"/>
  <c r="H163"/>
  <c r="H152"/>
  <c r="H173"/>
  <c r="H157"/>
  <c r="H165"/>
  <c r="H155"/>
  <c r="H144"/>
  <c r="H153"/>
  <c r="H169"/>
  <c r="L48"/>
  <c r="K65"/>
  <c r="L51"/>
  <c r="K68"/>
  <c r="K88" s="1"/>
  <c r="Q18" i="18" s="1"/>
  <c r="K61" i="8"/>
  <c r="L59"/>
  <c r="K76"/>
  <c r="K96" s="1"/>
  <c r="Q26" i="18" s="1"/>
  <c r="K71" i="8"/>
  <c r="L54"/>
  <c r="L55"/>
  <c r="K72"/>
  <c r="K92" s="1"/>
  <c r="Q22" i="18" s="1"/>
  <c r="J89" i="8"/>
  <c r="O22" i="18"/>
  <c r="K67" i="8"/>
  <c r="K87" s="1"/>
  <c r="Q17" i="18" s="1"/>
  <c r="L50" i="8"/>
  <c r="H150"/>
  <c r="H164"/>
  <c r="H146"/>
  <c r="H174"/>
  <c r="H160"/>
  <c r="I152" l="1"/>
  <c r="I147"/>
  <c r="I165"/>
  <c r="I145"/>
  <c r="I171"/>
  <c r="I157"/>
  <c r="I167"/>
  <c r="I159"/>
  <c r="I172"/>
  <c r="I163"/>
  <c r="I139"/>
  <c r="I161"/>
  <c r="I154"/>
  <c r="I156"/>
  <c r="L67"/>
  <c r="L87" s="1"/>
  <c r="M50"/>
  <c r="L71"/>
  <c r="L91" s="1"/>
  <c r="R21" i="18" s="1"/>
  <c r="M54" i="8"/>
  <c r="M48"/>
  <c r="L65"/>
  <c r="P23" i="18"/>
  <c r="L75" i="8"/>
  <c r="M58"/>
  <c r="J110"/>
  <c r="J119"/>
  <c r="J132"/>
  <c r="J131"/>
  <c r="J113"/>
  <c r="J129"/>
  <c r="J120"/>
  <c r="J121"/>
  <c r="J108"/>
  <c r="J130"/>
  <c r="J167" s="1"/>
  <c r="J112"/>
  <c r="J126"/>
  <c r="J133"/>
  <c r="J123"/>
  <c r="J116"/>
  <c r="J136"/>
  <c r="P15" i="18"/>
  <c r="J111" i="8"/>
  <c r="J135"/>
  <c r="J117"/>
  <c r="J125"/>
  <c r="J107"/>
  <c r="J115"/>
  <c r="J128"/>
  <c r="J109"/>
  <c r="J146" s="1"/>
  <c r="J98"/>
  <c r="J122"/>
  <c r="J137"/>
  <c r="J174" s="1"/>
  <c r="J106"/>
  <c r="J143" s="1"/>
  <c r="J114"/>
  <c r="J118"/>
  <c r="J134"/>
  <c r="J127"/>
  <c r="J124"/>
  <c r="J161" s="1"/>
  <c r="I168"/>
  <c r="I170"/>
  <c r="I162"/>
  <c r="I160"/>
  <c r="I173"/>
  <c r="I164"/>
  <c r="I146"/>
  <c r="I151"/>
  <c r="I144"/>
  <c r="M53"/>
  <c r="L70"/>
  <c r="L90" s="1"/>
  <c r="R20" i="18" s="1"/>
  <c r="L72" i="8"/>
  <c r="M55"/>
  <c r="L61"/>
  <c r="L76"/>
  <c r="L96" s="1"/>
  <c r="M59"/>
  <c r="K85"/>
  <c r="K78"/>
  <c r="M56"/>
  <c r="L73"/>
  <c r="L74"/>
  <c r="M57"/>
  <c r="M51"/>
  <c r="L68"/>
  <c r="P16" i="18"/>
  <c r="P19"/>
  <c r="K91" i="8"/>
  <c r="M52"/>
  <c r="L69"/>
  <c r="M49"/>
  <c r="L66"/>
  <c r="L86" s="1"/>
  <c r="R16" i="18" s="1"/>
  <c r="P18"/>
  <c r="K90" i="8"/>
  <c r="P24" i="18"/>
  <c r="I169" i="8"/>
  <c r="I158"/>
  <c r="I153"/>
  <c r="H176"/>
  <c r="H177" s="1"/>
  <c r="I155"/>
  <c r="I148"/>
  <c r="I149"/>
  <c r="J171" l="1"/>
  <c r="J165"/>
  <c r="J151"/>
  <c r="J144"/>
  <c r="J148"/>
  <c r="J160"/>
  <c r="J156"/>
  <c r="J166"/>
  <c r="J155"/>
  <c r="J159"/>
  <c r="J172"/>
  <c r="J169"/>
  <c r="J164"/>
  <c r="M71"/>
  <c r="N54"/>
  <c r="L89"/>
  <c r="L88"/>
  <c r="L93"/>
  <c r="M61"/>
  <c r="M76"/>
  <c r="M96" s="1"/>
  <c r="S26" i="18" s="1"/>
  <c r="N59" i="8"/>
  <c r="L92"/>
  <c r="M75"/>
  <c r="M95" s="1"/>
  <c r="S25" i="18" s="1"/>
  <c r="N58" i="8"/>
  <c r="L78"/>
  <c r="L85"/>
  <c r="M67"/>
  <c r="M87" s="1"/>
  <c r="S17" i="18" s="1"/>
  <c r="N50" i="8"/>
  <c r="I176"/>
  <c r="I177" s="1"/>
  <c r="J152"/>
  <c r="J153"/>
  <c r="J157"/>
  <c r="J154"/>
  <c r="J173"/>
  <c r="J163"/>
  <c r="J158"/>
  <c r="J168"/>
  <c r="N52"/>
  <c r="M69"/>
  <c r="M89" s="1"/>
  <c r="S19" i="18" s="1"/>
  <c r="N51" i="8"/>
  <c r="M68"/>
  <c r="M88" s="1"/>
  <c r="S18" i="18" s="1"/>
  <c r="N56" i="8"/>
  <c r="M73"/>
  <c r="M93" s="1"/>
  <c r="S23" i="18" s="1"/>
  <c r="R26"/>
  <c r="L95" i="8"/>
  <c r="N48"/>
  <c r="M65"/>
  <c r="R17" i="18"/>
  <c r="Q20"/>
  <c r="N49" i="8"/>
  <c r="M66"/>
  <c r="Q21" i="18"/>
  <c r="L94" i="8"/>
  <c r="K109"/>
  <c r="K110"/>
  <c r="K131"/>
  <c r="K113"/>
  <c r="K121"/>
  <c r="K116"/>
  <c r="K130"/>
  <c r="K128"/>
  <c r="K111"/>
  <c r="K108"/>
  <c r="K115"/>
  <c r="K137"/>
  <c r="K125"/>
  <c r="K132"/>
  <c r="K135"/>
  <c r="K120"/>
  <c r="K133"/>
  <c r="K117"/>
  <c r="K154" s="1"/>
  <c r="K124"/>
  <c r="K127"/>
  <c r="K112"/>
  <c r="K149" s="1"/>
  <c r="K107"/>
  <c r="K122"/>
  <c r="K136"/>
  <c r="K119"/>
  <c r="K106"/>
  <c r="K143" s="1"/>
  <c r="K129"/>
  <c r="K118"/>
  <c r="K123"/>
  <c r="K126"/>
  <c r="Q15" i="18"/>
  <c r="K98" i="8"/>
  <c r="K114"/>
  <c r="K134"/>
  <c r="M72"/>
  <c r="M92" s="1"/>
  <c r="S22" i="18" s="1"/>
  <c r="N55" i="8"/>
  <c r="M74"/>
  <c r="M94" s="1"/>
  <c r="S24" i="18" s="1"/>
  <c r="N57" i="8"/>
  <c r="N53"/>
  <c r="M70"/>
  <c r="M90" s="1"/>
  <c r="S20" i="18" s="1"/>
  <c r="J149" i="8"/>
  <c r="J100"/>
  <c r="J139"/>
  <c r="J162"/>
  <c r="J170"/>
  <c r="J145"/>
  <c r="J150"/>
  <c r="J147"/>
  <c r="K155" l="1"/>
  <c r="K170"/>
  <c r="K148"/>
  <c r="K100"/>
  <c r="K166"/>
  <c r="K159"/>
  <c r="K172"/>
  <c r="K161"/>
  <c r="K152"/>
  <c r="K164"/>
  <c r="K157"/>
  <c r="K150"/>
  <c r="J176"/>
  <c r="K171"/>
  <c r="K163"/>
  <c r="K147"/>
  <c r="J177"/>
  <c r="O57"/>
  <c r="N74"/>
  <c r="R24" i="18"/>
  <c r="O49" i="8"/>
  <c r="N66"/>
  <c r="N86" s="1"/>
  <c r="T16" i="18" s="1"/>
  <c r="O52" i="8"/>
  <c r="N69"/>
  <c r="N89" s="1"/>
  <c r="T19" i="18" s="1"/>
  <c r="O48" i="8"/>
  <c r="N65"/>
  <c r="O51"/>
  <c r="N68"/>
  <c r="N88" s="1"/>
  <c r="T18" i="18" s="1"/>
  <c r="N71" i="8"/>
  <c r="N91" s="1"/>
  <c r="T21" i="18" s="1"/>
  <c r="O54" i="8"/>
  <c r="K167"/>
  <c r="K174"/>
  <c r="K151"/>
  <c r="K160"/>
  <c r="K156"/>
  <c r="K162"/>
  <c r="K158"/>
  <c r="K146"/>
  <c r="R25" i="18"/>
  <c r="O56" i="8"/>
  <c r="N73"/>
  <c r="N67"/>
  <c r="N87" s="1"/>
  <c r="O50"/>
  <c r="R22" i="18"/>
  <c r="N70" i="8"/>
  <c r="N90" s="1"/>
  <c r="T20" i="18" s="1"/>
  <c r="O53" i="8"/>
  <c r="M86"/>
  <c r="L110"/>
  <c r="L111"/>
  <c r="L113"/>
  <c r="L119"/>
  <c r="L127"/>
  <c r="L123"/>
  <c r="L98"/>
  <c r="L100" s="1"/>
  <c r="L133"/>
  <c r="L106"/>
  <c r="L143" s="1"/>
  <c r="L114"/>
  <c r="L116"/>
  <c r="L115"/>
  <c r="L117"/>
  <c r="L122"/>
  <c r="L134"/>
  <c r="L137"/>
  <c r="L107"/>
  <c r="L144" s="1"/>
  <c r="L126"/>
  <c r="L112"/>
  <c r="L131"/>
  <c r="R15" i="18"/>
  <c r="L129" i="8"/>
  <c r="L120"/>
  <c r="L121"/>
  <c r="L109"/>
  <c r="L118"/>
  <c r="L124"/>
  <c r="L132"/>
  <c r="L169" s="1"/>
  <c r="L130"/>
  <c r="L128"/>
  <c r="L135"/>
  <c r="L172" s="1"/>
  <c r="L108"/>
  <c r="L145" s="1"/>
  <c r="L125"/>
  <c r="L136"/>
  <c r="R18" i="18"/>
  <c r="M91" i="8"/>
  <c r="N72"/>
  <c r="N92" s="1"/>
  <c r="T22" i="18" s="1"/>
  <c r="O55" i="8"/>
  <c r="M78"/>
  <c r="M85"/>
  <c r="O58"/>
  <c r="N75"/>
  <c r="N95" s="1"/>
  <c r="T25" i="18" s="1"/>
  <c r="N61" i="8"/>
  <c r="N76"/>
  <c r="N96" s="1"/>
  <c r="O59"/>
  <c r="R23" i="18"/>
  <c r="R19"/>
  <c r="K168" i="8"/>
  <c r="K173"/>
  <c r="K165"/>
  <c r="K139"/>
  <c r="K144"/>
  <c r="K169"/>
  <c r="K145"/>
  <c r="K153"/>
  <c r="L139" l="1"/>
  <c r="L162"/>
  <c r="L167"/>
  <c r="L154"/>
  <c r="L164"/>
  <c r="L158"/>
  <c r="L173"/>
  <c r="L151"/>
  <c r="L161"/>
  <c r="L149"/>
  <c r="L168"/>
  <c r="L174"/>
  <c r="L152"/>
  <c r="L156"/>
  <c r="N93"/>
  <c r="P51"/>
  <c r="O68"/>
  <c r="O88" s="1"/>
  <c r="T17" i="18"/>
  <c r="T26"/>
  <c r="M108" i="8"/>
  <c r="M110"/>
  <c r="M124"/>
  <c r="M121"/>
  <c r="M135"/>
  <c r="M127"/>
  <c r="M126"/>
  <c r="M114"/>
  <c r="M106"/>
  <c r="M143" s="1"/>
  <c r="M119"/>
  <c r="M112"/>
  <c r="M128"/>
  <c r="M120"/>
  <c r="M131"/>
  <c r="M122"/>
  <c r="M159" s="1"/>
  <c r="M118"/>
  <c r="M107"/>
  <c r="M144" s="1"/>
  <c r="M111"/>
  <c r="M148" s="1"/>
  <c r="M137"/>
  <c r="M130"/>
  <c r="M98"/>
  <c r="M100" s="1"/>
  <c r="M134"/>
  <c r="M115"/>
  <c r="M152" s="1"/>
  <c r="M109"/>
  <c r="M123"/>
  <c r="M132"/>
  <c r="M169" s="1"/>
  <c r="S15" i="18"/>
  <c r="M133" i="8"/>
  <c r="M113"/>
  <c r="M116"/>
  <c r="M117"/>
  <c r="M136"/>
  <c r="M129"/>
  <c r="M166" s="1"/>
  <c r="M125"/>
  <c r="O70"/>
  <c r="O90" s="1"/>
  <c r="P53"/>
  <c r="O67"/>
  <c r="O87" s="1"/>
  <c r="U17" i="18" s="1"/>
  <c r="P50" i="8"/>
  <c r="P48"/>
  <c r="O65"/>
  <c r="P49"/>
  <c r="O66"/>
  <c r="O86" s="1"/>
  <c r="U16" i="18" s="1"/>
  <c r="O74" i="8"/>
  <c r="O94" s="1"/>
  <c r="U24" i="18" s="1"/>
  <c r="P57" i="8"/>
  <c r="L170"/>
  <c r="L146"/>
  <c r="L147"/>
  <c r="L165"/>
  <c r="L155"/>
  <c r="L166"/>
  <c r="L163"/>
  <c r="L159"/>
  <c r="L160"/>
  <c r="L148"/>
  <c r="P55"/>
  <c r="O72"/>
  <c r="O92" s="1"/>
  <c r="P52"/>
  <c r="O69"/>
  <c r="O89" s="1"/>
  <c r="U19" i="18" s="1"/>
  <c r="S21"/>
  <c r="O61" i="8"/>
  <c r="P59"/>
  <c r="O76"/>
  <c r="O96" s="1"/>
  <c r="U26" i="18" s="1"/>
  <c r="O75" i="8"/>
  <c r="O95" s="1"/>
  <c r="U25" i="18" s="1"/>
  <c r="P58" i="8"/>
  <c r="S16" i="18"/>
  <c r="P56" i="8"/>
  <c r="O73"/>
  <c r="O93" s="1"/>
  <c r="U23" i="18" s="1"/>
  <c r="O71" i="8"/>
  <c r="O91" s="1"/>
  <c r="U21" i="18" s="1"/>
  <c r="P54" i="8"/>
  <c r="N85"/>
  <c r="N78"/>
  <c r="N94"/>
  <c r="K176"/>
  <c r="K177" s="1"/>
  <c r="L157"/>
  <c r="L171"/>
  <c r="L153"/>
  <c r="L150"/>
  <c r="M139" l="1"/>
  <c r="M150"/>
  <c r="M160"/>
  <c r="M162"/>
  <c r="M153"/>
  <c r="M171"/>
  <c r="M168"/>
  <c r="M156"/>
  <c r="M164"/>
  <c r="M147"/>
  <c r="L176"/>
  <c r="M157"/>
  <c r="M172"/>
  <c r="L177"/>
  <c r="T24" i="18"/>
  <c r="P61" i="8"/>
  <c r="P76"/>
  <c r="P96" s="1"/>
  <c r="V26" i="18" s="1"/>
  <c r="Q59" i="8"/>
  <c r="P74"/>
  <c r="P94" s="1"/>
  <c r="V24" i="18" s="1"/>
  <c r="Q57" i="8"/>
  <c r="O78"/>
  <c r="O85"/>
  <c r="P70"/>
  <c r="P90" s="1"/>
  <c r="V20" i="18" s="1"/>
  <c r="Q53" i="8"/>
  <c r="N109"/>
  <c r="N106"/>
  <c r="N143" s="1"/>
  <c r="N115"/>
  <c r="N127"/>
  <c r="N130"/>
  <c r="N111"/>
  <c r="N117"/>
  <c r="N128"/>
  <c r="N165" s="1"/>
  <c r="N114"/>
  <c r="N107"/>
  <c r="N144" s="1"/>
  <c r="N98"/>
  <c r="N100" s="1"/>
  <c r="N136"/>
  <c r="N126"/>
  <c r="N125"/>
  <c r="N124"/>
  <c r="N123"/>
  <c r="N129"/>
  <c r="N108"/>
  <c r="N145" s="1"/>
  <c r="N122"/>
  <c r="N134"/>
  <c r="N137"/>
  <c r="N133"/>
  <c r="N132"/>
  <c r="N131"/>
  <c r="T15" i="18"/>
  <c r="N112" i="8"/>
  <c r="N149" s="1"/>
  <c r="N116"/>
  <c r="N153" s="1"/>
  <c r="N135"/>
  <c r="N121"/>
  <c r="N118"/>
  <c r="N155" s="1"/>
  <c r="N119"/>
  <c r="N110"/>
  <c r="N120"/>
  <c r="N113"/>
  <c r="N150" s="1"/>
  <c r="Q56"/>
  <c r="P73"/>
  <c r="P93" s="1"/>
  <c r="V23" i="18" s="1"/>
  <c r="U22"/>
  <c r="P67" i="8"/>
  <c r="P87" s="1"/>
  <c r="V17" i="18" s="1"/>
  <c r="Q50" i="8"/>
  <c r="Q51"/>
  <c r="P68"/>
  <c r="P88" s="1"/>
  <c r="V18" i="18" s="1"/>
  <c r="M154" i="8"/>
  <c r="M174"/>
  <c r="M149"/>
  <c r="M163"/>
  <c r="M161"/>
  <c r="T23" i="18"/>
  <c r="P71" i="8"/>
  <c r="P91" s="1"/>
  <c r="V21" i="18" s="1"/>
  <c r="Q54" i="8"/>
  <c r="P72"/>
  <c r="P92" s="1"/>
  <c r="V22" i="18" s="1"/>
  <c r="Q55" i="8"/>
  <c r="Q49"/>
  <c r="P66"/>
  <c r="P86" s="1"/>
  <c r="V16" i="18" s="1"/>
  <c r="P75" i="8"/>
  <c r="P95" s="1"/>
  <c r="V25" i="18" s="1"/>
  <c r="Q58" i="8"/>
  <c r="Q52"/>
  <c r="P69"/>
  <c r="P89" s="1"/>
  <c r="V19" i="18" s="1"/>
  <c r="Q48" i="8"/>
  <c r="P65"/>
  <c r="U20" i="18"/>
  <c r="U18"/>
  <c r="M145" i="8"/>
  <c r="M173"/>
  <c r="M170"/>
  <c r="M146"/>
  <c r="M167"/>
  <c r="M155"/>
  <c r="M165"/>
  <c r="M151"/>
  <c r="M158"/>
  <c r="N157" l="1"/>
  <c r="N163"/>
  <c r="N151"/>
  <c r="N146"/>
  <c r="N172"/>
  <c r="N156"/>
  <c r="N147"/>
  <c r="N171"/>
  <c r="N160"/>
  <c r="N168"/>
  <c r="N164"/>
  <c r="R52"/>
  <c r="Q69"/>
  <c r="Q89" s="1"/>
  <c r="W19" i="18" s="1"/>
  <c r="R49" i="8"/>
  <c r="Q66"/>
  <c r="Q86" s="1"/>
  <c r="W16" i="18" s="1"/>
  <c r="R50" i="8"/>
  <c r="Q67"/>
  <c r="Q87" s="1"/>
  <c r="W17" i="18" s="1"/>
  <c r="Q70" i="8"/>
  <c r="Q90" s="1"/>
  <c r="W20" i="18" s="1"/>
  <c r="R53" i="8"/>
  <c r="Q74"/>
  <c r="Q94" s="1"/>
  <c r="W24" i="18" s="1"/>
  <c r="R57" i="8"/>
  <c r="R54"/>
  <c r="Q71"/>
  <c r="Q91" s="1"/>
  <c r="W21" i="18" s="1"/>
  <c r="R51" i="8"/>
  <c r="Q68"/>
  <c r="Q88" s="1"/>
  <c r="W18" i="18" s="1"/>
  <c r="R48" i="8"/>
  <c r="Q65"/>
  <c r="U15" i="18"/>
  <c r="O109" i="8"/>
  <c r="O122"/>
  <c r="O134"/>
  <c r="O130"/>
  <c r="O129"/>
  <c r="O98"/>
  <c r="O131"/>
  <c r="O120"/>
  <c r="O121"/>
  <c r="O115"/>
  <c r="O111"/>
  <c r="O126"/>
  <c r="O106"/>
  <c r="O143" s="1"/>
  <c r="O124"/>
  <c r="O112"/>
  <c r="O135"/>
  <c r="O118"/>
  <c r="O108"/>
  <c r="O113"/>
  <c r="O125"/>
  <c r="O117"/>
  <c r="O127"/>
  <c r="O137"/>
  <c r="O123"/>
  <c r="O119"/>
  <c r="O156" s="1"/>
  <c r="O107"/>
  <c r="O116"/>
  <c r="O128"/>
  <c r="O132"/>
  <c r="O110"/>
  <c r="O114"/>
  <c r="O151" s="1"/>
  <c r="O136"/>
  <c r="O173" s="1"/>
  <c r="O133"/>
  <c r="Q61"/>
  <c r="Q76"/>
  <c r="Q96" s="1"/>
  <c r="W26" i="18" s="1"/>
  <c r="R59" i="8"/>
  <c r="N173"/>
  <c r="O100"/>
  <c r="N158"/>
  <c r="N166"/>
  <c r="N167"/>
  <c r="N170"/>
  <c r="N162"/>
  <c r="N148"/>
  <c r="P78"/>
  <c r="P85"/>
  <c r="R58"/>
  <c r="Q75"/>
  <c r="Q95" s="1"/>
  <c r="W25" i="18" s="1"/>
  <c r="R55" i="8"/>
  <c r="Q72"/>
  <c r="Q92" s="1"/>
  <c r="W22" i="18" s="1"/>
  <c r="R56" i="8"/>
  <c r="Q73"/>
  <c r="Q93" s="1"/>
  <c r="W23" i="18" s="1"/>
  <c r="N174" i="8"/>
  <c r="M176"/>
  <c r="M177" s="1"/>
  <c r="N139"/>
  <c r="N169"/>
  <c r="N159"/>
  <c r="N161"/>
  <c r="N154"/>
  <c r="N152"/>
  <c r="O153" l="1"/>
  <c r="O160"/>
  <c r="O139"/>
  <c r="O149"/>
  <c r="O165"/>
  <c r="O162"/>
  <c r="N176"/>
  <c r="N177" s="1"/>
  <c r="O172"/>
  <c r="O157"/>
  <c r="O167"/>
  <c r="O169"/>
  <c r="O146"/>
  <c r="O150"/>
  <c r="O170"/>
  <c r="O154"/>
  <c r="S51"/>
  <c r="R68"/>
  <c r="R88" s="1"/>
  <c r="X18" i="18" s="1"/>
  <c r="R67" i="8"/>
  <c r="R87" s="1"/>
  <c r="X17" i="18" s="1"/>
  <c r="S50" i="8"/>
  <c r="S52"/>
  <c r="R69"/>
  <c r="R89" s="1"/>
  <c r="X19" i="18" s="1"/>
  <c r="S56" i="8"/>
  <c r="R73"/>
  <c r="R93" s="1"/>
  <c r="X23" i="18" s="1"/>
  <c r="R75" i="8"/>
  <c r="R95" s="1"/>
  <c r="X25" i="18" s="1"/>
  <c r="S58" i="8"/>
  <c r="S57"/>
  <c r="R74"/>
  <c r="R94" s="1"/>
  <c r="X24" i="18" s="1"/>
  <c r="S48" i="8"/>
  <c r="R65"/>
  <c r="R71"/>
  <c r="R91" s="1"/>
  <c r="X21" i="18" s="1"/>
  <c r="S54" i="8"/>
  <c r="S49"/>
  <c r="R66"/>
  <c r="R86" s="1"/>
  <c r="X16" i="18" s="1"/>
  <c r="O158" i="8"/>
  <c r="O166"/>
  <c r="O147"/>
  <c r="O144"/>
  <c r="O164"/>
  <c r="O145"/>
  <c r="O161"/>
  <c r="O152"/>
  <c r="O159"/>
  <c r="P107"/>
  <c r="P137"/>
  <c r="P118"/>
  <c r="P126"/>
  <c r="P131"/>
  <c r="P98"/>
  <c r="P100" s="1"/>
  <c r="P111"/>
  <c r="P123"/>
  <c r="P109"/>
  <c r="P122"/>
  <c r="P112"/>
  <c r="P149" s="1"/>
  <c r="P129"/>
  <c r="P130"/>
  <c r="P136"/>
  <c r="P128"/>
  <c r="P120"/>
  <c r="V15" i="18"/>
  <c r="P117" i="8"/>
  <c r="P127"/>
  <c r="P116"/>
  <c r="P113"/>
  <c r="P106"/>
  <c r="P143" s="1"/>
  <c r="P125"/>
  <c r="P114"/>
  <c r="P121"/>
  <c r="P108"/>
  <c r="P133"/>
  <c r="P115"/>
  <c r="P152" s="1"/>
  <c r="P132"/>
  <c r="P169" s="1"/>
  <c r="P124"/>
  <c r="P119"/>
  <c r="P156" s="1"/>
  <c r="P110"/>
  <c r="P134"/>
  <c r="P135"/>
  <c r="R61"/>
  <c r="S59"/>
  <c r="R76"/>
  <c r="R96" s="1"/>
  <c r="X26" i="18" s="1"/>
  <c r="R72" i="8"/>
  <c r="R92" s="1"/>
  <c r="X22" i="18" s="1"/>
  <c r="S55" i="8"/>
  <c r="Q78"/>
  <c r="Q85"/>
  <c r="R70"/>
  <c r="R90" s="1"/>
  <c r="X20" i="18" s="1"/>
  <c r="S53" i="8"/>
  <c r="O163"/>
  <c r="O155"/>
  <c r="O174"/>
  <c r="O148"/>
  <c r="O168"/>
  <c r="O171"/>
  <c r="P164" l="1"/>
  <c r="P148"/>
  <c r="P155"/>
  <c r="P172"/>
  <c r="P145"/>
  <c r="P170"/>
  <c r="P162"/>
  <c r="P147"/>
  <c r="P151"/>
  <c r="P160"/>
  <c r="S70"/>
  <c r="S90" s="1"/>
  <c r="Y20" i="18" s="1"/>
  <c r="T53" i="8"/>
  <c r="S72"/>
  <c r="S92" s="1"/>
  <c r="Y22" i="18" s="1"/>
  <c r="T55" i="8"/>
  <c r="S71"/>
  <c r="S91" s="1"/>
  <c r="Y21" i="18" s="1"/>
  <c r="T54" i="8"/>
  <c r="T51"/>
  <c r="S68"/>
  <c r="S88" s="1"/>
  <c r="Y18" i="18" s="1"/>
  <c r="W15"/>
  <c r="Q109" i="8"/>
  <c r="Q136"/>
  <c r="Q130"/>
  <c r="Q134"/>
  <c r="Q123"/>
  <c r="Q120"/>
  <c r="Q133"/>
  <c r="Q124"/>
  <c r="Q107"/>
  <c r="Q108"/>
  <c r="Q122"/>
  <c r="Q126"/>
  <c r="Q115"/>
  <c r="Q116"/>
  <c r="Q135"/>
  <c r="Q127"/>
  <c r="Q164" s="1"/>
  <c r="Q132"/>
  <c r="Q125"/>
  <c r="Q112"/>
  <c r="Q128"/>
  <c r="Q165" s="1"/>
  <c r="Q114"/>
  <c r="Q118"/>
  <c r="Q137"/>
  <c r="Q117"/>
  <c r="Q110"/>
  <c r="Q147" s="1"/>
  <c r="Q119"/>
  <c r="Q156" s="1"/>
  <c r="Q111"/>
  <c r="Q113"/>
  <c r="Q106"/>
  <c r="Q143" s="1"/>
  <c r="Q98"/>
  <c r="Q100" s="1"/>
  <c r="Q129"/>
  <c r="Q131"/>
  <c r="Q121"/>
  <c r="R78"/>
  <c r="R85"/>
  <c r="S75"/>
  <c r="S95" s="1"/>
  <c r="Y25" i="18" s="1"/>
  <c r="T58" i="8"/>
  <c r="P153"/>
  <c r="P157"/>
  <c r="P163"/>
  <c r="P171"/>
  <c r="P158"/>
  <c r="P150"/>
  <c r="P167"/>
  <c r="P146"/>
  <c r="P168"/>
  <c r="P144"/>
  <c r="S67"/>
  <c r="S87" s="1"/>
  <c r="Y17" i="18" s="1"/>
  <c r="T50" i="8"/>
  <c r="S61"/>
  <c r="T59"/>
  <c r="S76"/>
  <c r="S96" s="1"/>
  <c r="Y26" i="18" s="1"/>
  <c r="T49" i="8"/>
  <c r="S66"/>
  <c r="S86" s="1"/>
  <c r="Y16" i="18" s="1"/>
  <c r="T48" i="8"/>
  <c r="S65"/>
  <c r="T52"/>
  <c r="S69"/>
  <c r="S89" s="1"/>
  <c r="Y19" i="18" s="1"/>
  <c r="S74" i="8"/>
  <c r="S94" s="1"/>
  <c r="Y24" i="18" s="1"/>
  <c r="T57" i="8"/>
  <c r="T56"/>
  <c r="S73"/>
  <c r="S93" s="1"/>
  <c r="Y23" i="18" s="1"/>
  <c r="P165" i="8"/>
  <c r="O176"/>
  <c r="O177" s="1"/>
  <c r="P166"/>
  <c r="P161"/>
  <c r="P154"/>
  <c r="P173"/>
  <c r="P159"/>
  <c r="P174"/>
  <c r="P139"/>
  <c r="Q154" l="1"/>
  <c r="Q172"/>
  <c r="Q161"/>
  <c r="Q153"/>
  <c r="Q145"/>
  <c r="Q166"/>
  <c r="Q148"/>
  <c r="Q174"/>
  <c r="Q159"/>
  <c r="Q170"/>
  <c r="Q163"/>
  <c r="Q158"/>
  <c r="U57"/>
  <c r="T74"/>
  <c r="T94" s="1"/>
  <c r="Z24" i="18" s="1"/>
  <c r="S78" i="8"/>
  <c r="S85"/>
  <c r="T75"/>
  <c r="T95" s="1"/>
  <c r="Z25" i="18" s="1"/>
  <c r="U58" i="8"/>
  <c r="T71"/>
  <c r="T91" s="1"/>
  <c r="Z21" i="18" s="1"/>
  <c r="U54" i="8"/>
  <c r="U53"/>
  <c r="T70"/>
  <c r="T90" s="1"/>
  <c r="Z20" i="18" s="1"/>
  <c r="Q168" i="8"/>
  <c r="Q151"/>
  <c r="Q169"/>
  <c r="Q152"/>
  <c r="Q144"/>
  <c r="Q160"/>
  <c r="Q146"/>
  <c r="R106"/>
  <c r="R143" s="1"/>
  <c r="R120"/>
  <c r="R130"/>
  <c r="R137"/>
  <c r="R127"/>
  <c r="R113"/>
  <c r="R125"/>
  <c r="R124"/>
  <c r="R119"/>
  <c r="R136"/>
  <c r="R129"/>
  <c r="R111"/>
  <c r="R117"/>
  <c r="R122"/>
  <c r="R132"/>
  <c r="R107"/>
  <c r="R109"/>
  <c r="R112"/>
  <c r="R131"/>
  <c r="R168" s="1"/>
  <c r="R133"/>
  <c r="R123"/>
  <c r="R126"/>
  <c r="R121"/>
  <c r="R98"/>
  <c r="R100" s="1"/>
  <c r="X15" i="18"/>
  <c r="R108" i="8"/>
  <c r="R118"/>
  <c r="R115"/>
  <c r="R128"/>
  <c r="R165" s="1"/>
  <c r="R134"/>
  <c r="R110"/>
  <c r="R114"/>
  <c r="R116"/>
  <c r="R135"/>
  <c r="R172" s="1"/>
  <c r="U55"/>
  <c r="T72"/>
  <c r="T92" s="1"/>
  <c r="Z22" i="18" s="1"/>
  <c r="U48" i="8"/>
  <c r="T65"/>
  <c r="T61"/>
  <c r="T76"/>
  <c r="T96" s="1"/>
  <c r="Z26" i="18" s="1"/>
  <c r="U59" i="8"/>
  <c r="U56"/>
  <c r="T73"/>
  <c r="T93" s="1"/>
  <c r="Z23" i="18" s="1"/>
  <c r="U52" i="8"/>
  <c r="T69"/>
  <c r="T89" s="1"/>
  <c r="Z19" i="18" s="1"/>
  <c r="U49" i="8"/>
  <c r="T66"/>
  <c r="T86" s="1"/>
  <c r="Z16" i="18" s="1"/>
  <c r="T67" i="8"/>
  <c r="T87" s="1"/>
  <c r="Z17" i="18" s="1"/>
  <c r="U50" i="8"/>
  <c r="U51"/>
  <c r="T68"/>
  <c r="T88" s="1"/>
  <c r="Z18" i="18" s="1"/>
  <c r="Q149" i="8"/>
  <c r="Q167"/>
  <c r="Q139"/>
  <c r="P176"/>
  <c r="P177" s="1"/>
  <c r="Q150"/>
  <c r="Q171"/>
  <c r="Q155"/>
  <c r="Q162"/>
  <c r="Q157"/>
  <c r="Q173"/>
  <c r="R139" l="1"/>
  <c r="R147"/>
  <c r="R155"/>
  <c r="R144"/>
  <c r="R158"/>
  <c r="R166"/>
  <c r="R151"/>
  <c r="R161"/>
  <c r="R174"/>
  <c r="R160"/>
  <c r="R162"/>
  <c r="Y15" i="18"/>
  <c r="S110" i="8"/>
  <c r="S134"/>
  <c r="S119"/>
  <c r="S125"/>
  <c r="S129"/>
  <c r="S136"/>
  <c r="S116"/>
  <c r="S137"/>
  <c r="S108"/>
  <c r="S106"/>
  <c r="S143" s="1"/>
  <c r="S112"/>
  <c r="S111"/>
  <c r="S131"/>
  <c r="S133"/>
  <c r="S121"/>
  <c r="S128"/>
  <c r="S118"/>
  <c r="S109"/>
  <c r="S135"/>
  <c r="S120"/>
  <c r="S117"/>
  <c r="S114"/>
  <c r="S107"/>
  <c r="S122"/>
  <c r="S132"/>
  <c r="S169" s="1"/>
  <c r="S123"/>
  <c r="S130"/>
  <c r="S115"/>
  <c r="S113"/>
  <c r="S124"/>
  <c r="S161" s="1"/>
  <c r="S127"/>
  <c r="S98"/>
  <c r="S100" s="1"/>
  <c r="S126"/>
  <c r="U70"/>
  <c r="U90" s="1"/>
  <c r="AA20" i="18" s="1"/>
  <c r="V53" i="8"/>
  <c r="U74"/>
  <c r="U94" s="1"/>
  <c r="AA24" i="18" s="1"/>
  <c r="V57" i="8"/>
  <c r="V50"/>
  <c r="U67"/>
  <c r="U87" s="1"/>
  <c r="AA17" i="18" s="1"/>
  <c r="V59" i="8"/>
  <c r="U76"/>
  <c r="U96" s="1"/>
  <c r="AA26" i="18" s="1"/>
  <c r="V48" i="8"/>
  <c r="U61"/>
  <c r="U65"/>
  <c r="V58"/>
  <c r="U75"/>
  <c r="U95" s="1"/>
  <c r="AA25" i="18" s="1"/>
  <c r="R169" i="8"/>
  <c r="R167"/>
  <c r="R152"/>
  <c r="R153"/>
  <c r="R146"/>
  <c r="R154"/>
  <c r="R156"/>
  <c r="R164"/>
  <c r="U72"/>
  <c r="U92" s="1"/>
  <c r="AA22" i="18" s="1"/>
  <c r="V55" i="8"/>
  <c r="U71"/>
  <c r="U91" s="1"/>
  <c r="AA21" i="18" s="1"/>
  <c r="V54" i="8"/>
  <c r="V52"/>
  <c r="U69"/>
  <c r="U89" s="1"/>
  <c r="AA19" i="18" s="1"/>
  <c r="V51" i="8"/>
  <c r="U68"/>
  <c r="U88" s="1"/>
  <c r="AA18" i="18" s="1"/>
  <c r="V49" i="8"/>
  <c r="U66"/>
  <c r="U86" s="1"/>
  <c r="AA16" i="18" s="1"/>
  <c r="V56" i="8"/>
  <c r="U73"/>
  <c r="U93" s="1"/>
  <c r="AA23" i="18" s="1"/>
  <c r="T78" i="8"/>
  <c r="T85"/>
  <c r="R170"/>
  <c r="R148"/>
  <c r="Q176"/>
  <c r="Q177" s="1"/>
  <c r="R171"/>
  <c r="R145"/>
  <c r="R163"/>
  <c r="R149"/>
  <c r="R159"/>
  <c r="R173"/>
  <c r="R150"/>
  <c r="R157"/>
  <c r="S144" l="1"/>
  <c r="S172"/>
  <c r="S152"/>
  <c r="S174"/>
  <c r="S167"/>
  <c r="S139"/>
  <c r="S146"/>
  <c r="S164"/>
  <c r="S158"/>
  <c r="S149"/>
  <c r="S153"/>
  <c r="S156"/>
  <c r="S148"/>
  <c r="S162"/>
  <c r="W49"/>
  <c r="V66"/>
  <c r="V86" s="1"/>
  <c r="AB16" i="18" s="1"/>
  <c r="U78" i="8"/>
  <c r="U85"/>
  <c r="V61"/>
  <c r="V76"/>
  <c r="V96" s="1"/>
  <c r="AB26" i="18" s="1"/>
  <c r="W59" i="8"/>
  <c r="V74"/>
  <c r="V94" s="1"/>
  <c r="AB24" i="18" s="1"/>
  <c r="W57" i="8"/>
  <c r="S159"/>
  <c r="S157"/>
  <c r="S163"/>
  <c r="S150"/>
  <c r="S154"/>
  <c r="S155"/>
  <c r="S168"/>
  <c r="S145"/>
  <c r="S166"/>
  <c r="S147"/>
  <c r="W54"/>
  <c r="V71"/>
  <c r="V91" s="1"/>
  <c r="AB21" i="18" s="1"/>
  <c r="V70" i="8"/>
  <c r="V90" s="1"/>
  <c r="AB20" i="18" s="1"/>
  <c r="W53" i="8"/>
  <c r="W52"/>
  <c r="V69"/>
  <c r="V89" s="1"/>
  <c r="AB19" i="18" s="1"/>
  <c r="T110" i="8"/>
  <c r="T127"/>
  <c r="T132"/>
  <c r="T115"/>
  <c r="T131"/>
  <c r="T116"/>
  <c r="T125"/>
  <c r="T129"/>
  <c r="T106"/>
  <c r="T143" s="1"/>
  <c r="T118"/>
  <c r="T121"/>
  <c r="T112"/>
  <c r="T130"/>
  <c r="T114"/>
  <c r="T136"/>
  <c r="T120"/>
  <c r="T107"/>
  <c r="T144" s="1"/>
  <c r="T123"/>
  <c r="T134"/>
  <c r="T135"/>
  <c r="Z15" i="18"/>
  <c r="T122" i="8"/>
  <c r="T113"/>
  <c r="T150" s="1"/>
  <c r="T108"/>
  <c r="T137"/>
  <c r="T109"/>
  <c r="T111"/>
  <c r="T148" s="1"/>
  <c r="T133"/>
  <c r="T126"/>
  <c r="T98"/>
  <c r="T100" s="1"/>
  <c r="T117"/>
  <c r="T119"/>
  <c r="T128"/>
  <c r="T124"/>
  <c r="T161" s="1"/>
  <c r="V72"/>
  <c r="V92" s="1"/>
  <c r="AB22" i="18" s="1"/>
  <c r="W55" i="8"/>
  <c r="W58"/>
  <c r="V75"/>
  <c r="V95" s="1"/>
  <c r="AB25" i="18" s="1"/>
  <c r="W56" i="8"/>
  <c r="V73"/>
  <c r="V93" s="1"/>
  <c r="AB23" i="18" s="1"/>
  <c r="W51" i="8"/>
  <c r="V68"/>
  <c r="V88" s="1"/>
  <c r="AB18" i="18" s="1"/>
  <c r="W48" i="8"/>
  <c r="V65"/>
  <c r="W50"/>
  <c r="V67"/>
  <c r="V87" s="1"/>
  <c r="AB17" i="18" s="1"/>
  <c r="R176" i="8"/>
  <c r="R177" s="1"/>
  <c r="S165"/>
  <c r="S160"/>
  <c r="S151"/>
  <c r="S170"/>
  <c r="S173"/>
  <c r="S171"/>
  <c r="T139" l="1"/>
  <c r="T173"/>
  <c r="T158"/>
  <c r="T167"/>
  <c r="T146"/>
  <c r="T153"/>
  <c r="T171"/>
  <c r="T169"/>
  <c r="T145"/>
  <c r="T159"/>
  <c r="T151"/>
  <c r="T155"/>
  <c r="T164"/>
  <c r="S176"/>
  <c r="X52"/>
  <c r="W69"/>
  <c r="W89" s="1"/>
  <c r="AC19" i="18" s="1"/>
  <c r="W71" i="8"/>
  <c r="W91" s="1"/>
  <c r="AC21" i="18" s="1"/>
  <c r="X54" i="8"/>
  <c r="W74"/>
  <c r="W94" s="1"/>
  <c r="AC24" i="18" s="1"/>
  <c r="X57" i="8"/>
  <c r="X49"/>
  <c r="W66"/>
  <c r="W86" s="1"/>
  <c r="AC16" i="18" s="1"/>
  <c r="V78" i="8"/>
  <c r="V85"/>
  <c r="X55"/>
  <c r="W72"/>
  <c r="W92" s="1"/>
  <c r="AC22" i="18" s="1"/>
  <c r="T160" i="8"/>
  <c r="T154"/>
  <c r="T156"/>
  <c r="T170"/>
  <c r="T172"/>
  <c r="T157"/>
  <c r="T149"/>
  <c r="T166"/>
  <c r="T152"/>
  <c r="X53"/>
  <c r="W70"/>
  <c r="W90" s="1"/>
  <c r="AC20" i="18" s="1"/>
  <c r="AA15"/>
  <c r="U109" i="8"/>
  <c r="U135"/>
  <c r="U119"/>
  <c r="U120"/>
  <c r="U98"/>
  <c r="U100" s="1"/>
  <c r="U114"/>
  <c r="U124"/>
  <c r="U127"/>
  <c r="U106"/>
  <c r="U143" s="1"/>
  <c r="U108"/>
  <c r="U137"/>
  <c r="U125"/>
  <c r="U118"/>
  <c r="U116"/>
  <c r="U123"/>
  <c r="U132"/>
  <c r="U126"/>
  <c r="U111"/>
  <c r="U117"/>
  <c r="U129"/>
  <c r="U115"/>
  <c r="U107"/>
  <c r="U122"/>
  <c r="U130"/>
  <c r="U133"/>
  <c r="U121"/>
  <c r="U110"/>
  <c r="U131"/>
  <c r="U168" s="1"/>
  <c r="U113"/>
  <c r="U112"/>
  <c r="U149" s="1"/>
  <c r="U134"/>
  <c r="U136"/>
  <c r="U128"/>
  <c r="X48"/>
  <c r="W65"/>
  <c r="X56"/>
  <c r="W73"/>
  <c r="W93" s="1"/>
  <c r="AC23" i="18" s="1"/>
  <c r="X50" i="8"/>
  <c r="W67"/>
  <c r="W87" s="1"/>
  <c r="AC17" i="18" s="1"/>
  <c r="X51" i="8"/>
  <c r="W68"/>
  <c r="W88" s="1"/>
  <c r="AC18" i="18" s="1"/>
  <c r="W75" i="8"/>
  <c r="W95" s="1"/>
  <c r="AC25" i="18" s="1"/>
  <c r="X58" i="8"/>
  <c r="W61"/>
  <c r="X59"/>
  <c r="W76"/>
  <c r="W96" s="1"/>
  <c r="AC26" i="18" s="1"/>
  <c r="S177" i="8"/>
  <c r="T162"/>
  <c r="T165"/>
  <c r="T163"/>
  <c r="T174"/>
  <c r="T168"/>
  <c r="T147"/>
  <c r="U171" l="1"/>
  <c r="U147"/>
  <c r="U173"/>
  <c r="U152"/>
  <c r="U159"/>
  <c r="U154"/>
  <c r="U144"/>
  <c r="U167"/>
  <c r="U174"/>
  <c r="U156"/>
  <c r="T176"/>
  <c r="U166"/>
  <c r="U164"/>
  <c r="AA52"/>
  <c r="Y89" s="1"/>
  <c r="AE19" i="18" s="1"/>
  <c r="X69" i="8"/>
  <c r="AA51"/>
  <c r="Y88" s="1"/>
  <c r="AE18" i="18" s="1"/>
  <c r="X68" i="8"/>
  <c r="AA56"/>
  <c r="Y93" s="1"/>
  <c r="AE23" i="18" s="1"/>
  <c r="X73" i="8"/>
  <c r="AB15" i="18"/>
  <c r="V109" i="8"/>
  <c r="V118"/>
  <c r="V111"/>
  <c r="V120"/>
  <c r="V130"/>
  <c r="V122"/>
  <c r="V125"/>
  <c r="V131"/>
  <c r="V107"/>
  <c r="V108"/>
  <c r="V129"/>
  <c r="V98"/>
  <c r="V100" s="1"/>
  <c r="V136"/>
  <c r="V113"/>
  <c r="V115"/>
  <c r="V123"/>
  <c r="V121"/>
  <c r="V110"/>
  <c r="V147" s="1"/>
  <c r="V135"/>
  <c r="V114"/>
  <c r="V132"/>
  <c r="V133"/>
  <c r="V119"/>
  <c r="V106"/>
  <c r="V143" s="1"/>
  <c r="V112"/>
  <c r="V134"/>
  <c r="V171" s="1"/>
  <c r="V124"/>
  <c r="V161" s="1"/>
  <c r="V137"/>
  <c r="V117"/>
  <c r="V126"/>
  <c r="V127"/>
  <c r="V116"/>
  <c r="V128"/>
  <c r="AA57"/>
  <c r="Y94" s="1"/>
  <c r="AE24" i="18" s="1"/>
  <c r="X74" i="8"/>
  <c r="X61"/>
  <c r="AA59"/>
  <c r="Y96" s="1"/>
  <c r="AE26" i="18" s="1"/>
  <c r="X76" i="8"/>
  <c r="AA50"/>
  <c r="Y87" s="1"/>
  <c r="AE17" i="18" s="1"/>
  <c r="X67" i="8"/>
  <c r="AA48"/>
  <c r="X65"/>
  <c r="AA53"/>
  <c r="Y90" s="1"/>
  <c r="AE20" i="18" s="1"/>
  <c r="X70" i="8"/>
  <c r="AA54"/>
  <c r="Y91" s="1"/>
  <c r="AE21" i="18" s="1"/>
  <c r="X71" i="8"/>
  <c r="U162"/>
  <c r="U157"/>
  <c r="U158"/>
  <c r="U148"/>
  <c r="U153"/>
  <c r="U145"/>
  <c r="U151"/>
  <c r="U172"/>
  <c r="AA58"/>
  <c r="Y95" s="1"/>
  <c r="AE25" i="18" s="1"/>
  <c r="X75" i="8"/>
  <c r="W85"/>
  <c r="W78"/>
  <c r="AA55"/>
  <c r="Y92" s="1"/>
  <c r="AE22" i="18" s="1"/>
  <c r="X72" i="8"/>
  <c r="AA49"/>
  <c r="Y86" s="1"/>
  <c r="AE16" i="18" s="1"/>
  <c r="X66" i="8"/>
  <c r="T177"/>
  <c r="U160"/>
  <c r="U161"/>
  <c r="U169"/>
  <c r="U165"/>
  <c r="U150"/>
  <c r="U170"/>
  <c r="U163"/>
  <c r="U155"/>
  <c r="U146"/>
  <c r="U139"/>
  <c r="V174" l="1"/>
  <c r="V168"/>
  <c r="V163"/>
  <c r="V152"/>
  <c r="V166"/>
  <c r="V154"/>
  <c r="V158"/>
  <c r="V139"/>
  <c r="V169"/>
  <c r="U176"/>
  <c r="V170"/>
  <c r="V150"/>
  <c r="V145"/>
  <c r="V159"/>
  <c r="V155"/>
  <c r="W108"/>
  <c r="W135"/>
  <c r="W115"/>
  <c r="W132"/>
  <c r="W128"/>
  <c r="W134"/>
  <c r="W98"/>
  <c r="W100" s="1"/>
  <c r="W129"/>
  <c r="W166" s="1"/>
  <c r="AC15" i="18"/>
  <c r="W107" i="8"/>
  <c r="W127"/>
  <c r="W116"/>
  <c r="W153" s="1"/>
  <c r="W124"/>
  <c r="W114"/>
  <c r="W130"/>
  <c r="W126"/>
  <c r="W121"/>
  <c r="W106"/>
  <c r="W143" s="1"/>
  <c r="W133"/>
  <c r="W118"/>
  <c r="W125"/>
  <c r="W162" s="1"/>
  <c r="W113"/>
  <c r="W120"/>
  <c r="W110"/>
  <c r="W112"/>
  <c r="W123"/>
  <c r="W136"/>
  <c r="W122"/>
  <c r="W159" s="1"/>
  <c r="W131"/>
  <c r="W168" s="1"/>
  <c r="W111"/>
  <c r="W109"/>
  <c r="W117"/>
  <c r="W154" s="1"/>
  <c r="W119"/>
  <c r="W137"/>
  <c r="W174" s="1"/>
  <c r="X91"/>
  <c r="AA71"/>
  <c r="X85"/>
  <c r="X78"/>
  <c r="AA78" s="1"/>
  <c r="AA65"/>
  <c r="X96"/>
  <c r="AA76"/>
  <c r="X86"/>
  <c r="AA66"/>
  <c r="X92"/>
  <c r="AA72"/>
  <c r="X95"/>
  <c r="AA75"/>
  <c r="AA61"/>
  <c r="Y85"/>
  <c r="X88"/>
  <c r="AA68"/>
  <c r="V164"/>
  <c r="V172"/>
  <c r="V165"/>
  <c r="V149"/>
  <c r="V173"/>
  <c r="V144"/>
  <c r="V167"/>
  <c r="V146"/>
  <c r="X94"/>
  <c r="AA74"/>
  <c r="X93"/>
  <c r="AA73"/>
  <c r="X89"/>
  <c r="AA69"/>
  <c r="X90"/>
  <c r="AA70"/>
  <c r="X87"/>
  <c r="AA67"/>
  <c r="V156"/>
  <c r="V162"/>
  <c r="V148"/>
  <c r="U177"/>
  <c r="V153"/>
  <c r="V151"/>
  <c r="V160"/>
  <c r="V157"/>
  <c r="W163" l="1"/>
  <c r="W173"/>
  <c r="W139"/>
  <c r="W169"/>
  <c r="W147"/>
  <c r="W149"/>
  <c r="W158"/>
  <c r="W161"/>
  <c r="W165"/>
  <c r="W145"/>
  <c r="AD26" i="18"/>
  <c r="AA96" i="8"/>
  <c r="AD18" i="18"/>
  <c r="AA88" i="8"/>
  <c r="AD16" i="18"/>
  <c r="AA86" i="8"/>
  <c r="W155"/>
  <c r="W148"/>
  <c r="W160"/>
  <c r="W150"/>
  <c r="W151"/>
  <c r="W144"/>
  <c r="W171"/>
  <c r="W172"/>
  <c r="AD22" i="18"/>
  <c r="AA92" i="8"/>
  <c r="AD17" i="18"/>
  <c r="AA87" i="8"/>
  <c r="AD19" i="18"/>
  <c r="AA89" i="8"/>
  <c r="AD24" i="18"/>
  <c r="AA94" i="8"/>
  <c r="Y108"/>
  <c r="Y129"/>
  <c r="Y127"/>
  <c r="Y130"/>
  <c r="Y133"/>
  <c r="Y137"/>
  <c r="Y98"/>
  <c r="Y122"/>
  <c r="Y106"/>
  <c r="Y143" s="1"/>
  <c r="Y115"/>
  <c r="Y132"/>
  <c r="Y114"/>
  <c r="Y135"/>
  <c r="AE15" i="18"/>
  <c r="Y110" i="8"/>
  <c r="Y131"/>
  <c r="Y168" s="1"/>
  <c r="Y117"/>
  <c r="Y116"/>
  <c r="Y153" s="1"/>
  <c r="Y109"/>
  <c r="Y134"/>
  <c r="Y118"/>
  <c r="Y155" s="1"/>
  <c r="Y124"/>
  <c r="Y119"/>
  <c r="Y113"/>
  <c r="Y123"/>
  <c r="Y121"/>
  <c r="Y107"/>
  <c r="Y112"/>
  <c r="Y125"/>
  <c r="Y128"/>
  <c r="Y111"/>
  <c r="Y148" s="1"/>
  <c r="Y126"/>
  <c r="Y136"/>
  <c r="Y173" s="1"/>
  <c r="Y120"/>
  <c r="AD15" i="18"/>
  <c r="X108" i="8"/>
  <c r="X115"/>
  <c r="X120"/>
  <c r="X124"/>
  <c r="X122"/>
  <c r="X125"/>
  <c r="X131"/>
  <c r="X135"/>
  <c r="X118"/>
  <c r="X114"/>
  <c r="X123"/>
  <c r="X132"/>
  <c r="X110"/>
  <c r="X111"/>
  <c r="X129"/>
  <c r="X119"/>
  <c r="X109"/>
  <c r="X146" s="1"/>
  <c r="X113"/>
  <c r="X117"/>
  <c r="X116"/>
  <c r="X121"/>
  <c r="X128"/>
  <c r="X134"/>
  <c r="X136"/>
  <c r="X173" s="1"/>
  <c r="X137"/>
  <c r="X107"/>
  <c r="X126"/>
  <c r="X133"/>
  <c r="X170" s="1"/>
  <c r="X130"/>
  <c r="X106"/>
  <c r="X143" s="1"/>
  <c r="X112"/>
  <c r="X127"/>
  <c r="X98"/>
  <c r="AA85"/>
  <c r="AD25" i="18"/>
  <c r="AA95" i="8"/>
  <c r="AD20" i="18"/>
  <c r="AA90" i="8"/>
  <c r="AD23" i="18"/>
  <c r="AA93" i="8"/>
  <c r="AD21" i="18"/>
  <c r="AA91" i="8"/>
  <c r="W156"/>
  <c r="V176"/>
  <c r="V177" s="1"/>
  <c r="W146"/>
  <c r="W157"/>
  <c r="W170"/>
  <c r="W167"/>
  <c r="W164"/>
  <c r="W152"/>
  <c r="X164" l="1"/>
  <c r="X169"/>
  <c r="X161"/>
  <c r="X167"/>
  <c r="X158"/>
  <c r="X155"/>
  <c r="Y167"/>
  <c r="Y162"/>
  <c r="X149"/>
  <c r="X163"/>
  <c r="X166"/>
  <c r="Y161"/>
  <c r="X153"/>
  <c r="X156"/>
  <c r="X172"/>
  <c r="Y144"/>
  <c r="Y156"/>
  <c r="Y146"/>
  <c r="Y169"/>
  <c r="Y164"/>
  <c r="X145"/>
  <c r="Y163"/>
  <c r="Y171"/>
  <c r="Y159"/>
  <c r="AA98"/>
  <c r="C10"/>
  <c r="Y147"/>
  <c r="X174"/>
  <c r="X100"/>
  <c r="X171"/>
  <c r="X154"/>
  <c r="X160"/>
  <c r="X168"/>
  <c r="X157"/>
  <c r="Y157"/>
  <c r="Y165"/>
  <c r="Y158"/>
  <c r="Y152"/>
  <c r="Y174"/>
  <c r="Y166"/>
  <c r="W176"/>
  <c r="W177" s="1"/>
  <c r="AA100"/>
  <c r="B98"/>
  <c r="X147"/>
  <c r="X159"/>
  <c r="Y149"/>
  <c r="Y150"/>
  <c r="Y151"/>
  <c r="X139"/>
  <c r="X144"/>
  <c r="X165"/>
  <c r="X150"/>
  <c r="X148"/>
  <c r="X151"/>
  <c r="X162"/>
  <c r="X152"/>
  <c r="Y160"/>
  <c r="Y154"/>
  <c r="Y172"/>
  <c r="Y170"/>
  <c r="Y145"/>
  <c r="Y177" l="1"/>
  <c r="X176"/>
  <c r="X177" s="1"/>
</calcChain>
</file>

<file path=xl/comments1.xml><?xml version="1.0" encoding="utf-8"?>
<comments xmlns="http://schemas.openxmlformats.org/spreadsheetml/2006/main">
  <authors>
    <author>Tina Jayaweera</author>
  </authors>
  <commentList>
    <comment ref="E21" authorId="0">
      <text>
        <r>
          <rPr>
            <b/>
            <sz val="9"/>
            <color indexed="81"/>
            <rFont val="Tahoma"/>
            <family val="2"/>
          </rPr>
          <t>Tina Jayaweera:</t>
        </r>
        <r>
          <rPr>
            <sz val="9"/>
            <color indexed="81"/>
            <rFont val="Tahoma"/>
            <family val="2"/>
          </rPr>
          <t xml:space="preserve">
Homes built in 2015 won't become eligible until 2016</t>
        </r>
      </text>
    </comment>
  </commentList>
</comments>
</file>

<file path=xl/comments2.xml><?xml version="1.0" encoding="utf-8"?>
<comments xmlns="http://schemas.openxmlformats.org/spreadsheetml/2006/main">
  <authors>
    <author>Massoud Jourabchi</author>
  </authors>
  <commentList>
    <comment ref="A31" authorId="0">
      <text>
        <r>
          <rPr>
            <b/>
            <sz val="8"/>
            <color indexed="81"/>
            <rFont val="Tahoma"/>
            <family val="2"/>
          </rPr>
          <t>Massoud Jourabchi:</t>
        </r>
        <r>
          <rPr>
            <sz val="8"/>
            <color indexed="81"/>
            <rFont val="Tahoma"/>
            <family val="2"/>
          </rPr>
          <t xml:space="preserve">
Computer includes monitor</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0"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20"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21"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21"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21"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21" authorId="0">
      <text>
        <r>
          <rPr>
            <b/>
            <sz val="8"/>
            <color indexed="81"/>
            <rFont val="Tahoma"/>
            <family val="2"/>
          </rPr>
          <t xml:space="preserve"> :ProCost</t>
        </r>
        <r>
          <rPr>
            <sz val="8"/>
            <color indexed="81"/>
            <rFont val="Tahoma"/>
            <family val="2"/>
          </rPr>
          <t xml:space="preserve">
Physical life of the measure in years.  Must be &gt;=1.</t>
        </r>
      </text>
    </comment>
    <comment ref="F21"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21"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2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21"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21"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21"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21"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21"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21"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21"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21" authorId="0">
      <text>
        <r>
          <rPr>
            <b/>
            <sz val="8"/>
            <color indexed="81"/>
            <rFont val="Tahoma"/>
            <family val="2"/>
          </rPr>
          <t xml:space="preserve"> :</t>
        </r>
        <r>
          <rPr>
            <sz val="8"/>
            <color indexed="81"/>
            <rFont val="Tahoma"/>
            <family val="2"/>
          </rPr>
          <t xml:space="preserve">
Annual gas savings, or increases, in therms.</t>
        </r>
      </text>
    </comment>
    <comment ref="Q2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6.xml><?xml version="1.0" encoding="utf-8"?>
<comments xmlns="http://schemas.openxmlformats.org/spreadsheetml/2006/main">
  <authors>
    <author>Christian</author>
  </authors>
  <commentList>
    <comment ref="D56" authorId="0">
      <text>
        <r>
          <rPr>
            <b/>
            <sz val="9"/>
            <color indexed="81"/>
            <rFont val="Tahoma"/>
            <family val="2"/>
          </rPr>
          <t>Christian:</t>
        </r>
        <r>
          <rPr>
            <sz val="9"/>
            <color indexed="81"/>
            <rFont val="Tahoma"/>
            <family val="2"/>
          </rPr>
          <t xml:space="preserve">
Savings figures rounded to one significant digit per RTF decision.</t>
        </r>
      </text>
    </comment>
  </commentList>
</comments>
</file>

<file path=xl/comments7.xml><?xml version="1.0" encoding="utf-8"?>
<comments xmlns="http://schemas.openxmlformats.org/spreadsheetml/2006/main">
  <authors>
    <author>Christian</author>
  </authors>
  <commentList>
    <comment ref="F9" authorId="0">
      <text>
        <r>
          <rPr>
            <b/>
            <sz val="9"/>
            <color indexed="81"/>
            <rFont val="Tahoma"/>
            <family val="2"/>
          </rPr>
          <t>Christian:</t>
        </r>
        <r>
          <rPr>
            <sz val="9"/>
            <color indexed="81"/>
            <rFont val="Tahoma"/>
            <family val="2"/>
          </rPr>
          <t xml:space="preserve">
Savings figures rounded to one significant digit per RTF decision.</t>
        </r>
      </text>
    </comment>
  </commentList>
</comments>
</file>

<file path=xl/sharedStrings.xml><?xml version="1.0" encoding="utf-8"?>
<sst xmlns="http://schemas.openxmlformats.org/spreadsheetml/2006/main" count="2666" uniqueCount="1171">
  <si>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</si>
  <si>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</si>
  <si>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</si>
  <si>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</si>
  <si>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</si>
  <si>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</si>
  <si>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</si>
  <si>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</si>
  <si>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</si>
  <si>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</si>
  <si>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</si>
  <si>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</si>
  <si>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</si>
  <si>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</si>
  <si>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</si>
  <si>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</si>
  <si>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</si>
  <si>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</si>
  <si>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</si>
  <si>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</si>
  <si>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</si>
  <si>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</si>
  <si>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</si>
  <si>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</si>
  <si>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</si>
  <si>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</si>
  <si>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</si>
  <si>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</si>
  <si>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</si>
  <si>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</si>
  <si>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</si>
  <si>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</si>
  <si>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</si>
  <si>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</si>
  <si>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</si>
  <si>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</si>
  <si>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</si>
  <si>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</si>
  <si>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</si>
  <si>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</si>
  <si>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</si>
  <si>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</si>
  <si>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</si>
  <si>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</si>
  <si>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</si>
  <si>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</si>
  <si>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</si>
  <si>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</si>
  <si>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</si>
  <si>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</si>
  <si>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</si>
  <si>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</si>
  <si>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New</t>
  </si>
  <si>
    <t>Methodology</t>
  </si>
  <si>
    <t>Retrofit</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</si>
  <si>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</si>
  <si>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</si>
  <si>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</si>
  <si>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</si>
  <si>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</si>
  <si>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</si>
  <si>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</si>
  <si>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</si>
  <si>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</si>
  <si>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</si>
  <si>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</si>
  <si>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</si>
  <si>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</si>
  <si>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</si>
  <si>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</si>
  <si>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</si>
  <si>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</si>
  <si>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</si>
  <si>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</si>
  <si>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</si>
  <si>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</si>
  <si>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</si>
  <si>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</si>
  <si>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</si>
  <si>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</si>
  <si>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</si>
  <si>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</si>
  <si>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</si>
  <si>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</si>
  <si>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</si>
  <si>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</si>
  <si>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</si>
  <si>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</si>
  <si>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</si>
  <si>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</si>
  <si>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</si>
  <si>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</si>
  <si>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</si>
  <si>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</si>
  <si>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</si>
  <si>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</si>
  <si>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</si>
  <si>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</si>
  <si>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</si>
  <si>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</si>
  <si>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</si>
  <si>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</si>
  <si>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</si>
  <si>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</si>
  <si>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</si>
  <si>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</si>
  <si>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</si>
  <si>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</si>
  <si>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</si>
  <si>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</si>
  <si>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</si>
  <si>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</si>
  <si>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</si>
  <si>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</si>
  <si>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</si>
  <si>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</si>
  <si>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</si>
  <si>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</si>
  <si>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</si>
  <si>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</si>
  <si>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</si>
  <si>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</si>
  <si>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</si>
  <si>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</si>
  <si>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</si>
  <si>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</si>
  <si>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</si>
  <si>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</si>
  <si>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</si>
  <si>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</si>
  <si>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</si>
  <si>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</si>
  <si>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</si>
  <si>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</si>
  <si>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</si>
  <si>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</si>
  <si>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</si>
  <si>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</si>
  <si>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</si>
  <si>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</si>
  <si>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</si>
  <si>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</si>
  <si>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</si>
  <si>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</si>
  <si>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</si>
  <si>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</si>
  <si>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</si>
  <si>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</si>
  <si>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UNITS PER HOME</t>
  </si>
  <si>
    <t># HOMES</t>
  </si>
  <si>
    <t>EXISTING HOMES</t>
  </si>
  <si>
    <t>UNTREATED NEW HOMES</t>
  </si>
  <si>
    <t>='[7P Forecasts D1.xlsx]Res Forecast (Base Case)'!$D$5</t>
  </si>
  <si>
    <t>%</t>
  </si>
  <si>
    <t>Product</t>
  </si>
  <si>
    <t>kWh/yr</t>
  </si>
  <si>
    <t>FLAT</t>
  </si>
  <si>
    <t>Load sensing advanced power strip - owner installed</t>
  </si>
  <si>
    <t>Load sensing advanced power strip - direct-installed - home entertainment</t>
  </si>
  <si>
    <t>Load sensing advanced power strip - direct-installed - home office</t>
  </si>
  <si>
    <t>Occupancy sensing advanced power strip - owner installed</t>
  </si>
  <si>
    <t>Occupancy sensing advanced power strip - direct-installed</t>
  </si>
  <si>
    <t>Infrared sensing advanced power strip - owner installed</t>
  </si>
  <si>
    <t>Infrared sensing advanced power strip - direct-installed</t>
  </si>
  <si>
    <t>Advanced Power Strips</t>
  </si>
  <si>
    <t>PercentHomeOffice</t>
  </si>
  <si>
    <t>PercentHomeEntertainment</t>
  </si>
  <si>
    <t>For average home power strip:</t>
  </si>
  <si>
    <t>Svgs_MP = PercentHomeOffice * Svgs_MP_Office + PercentHomeEntertainment * Svgs_MP_Entertainment</t>
  </si>
  <si>
    <t>where</t>
  </si>
  <si>
    <t>PercentHomeOffice is the fraction of power strips which are installed with a desktop computer as the master device</t>
  </si>
  <si>
    <t>Based on the saturations of TV &amp; desktop computers</t>
  </si>
  <si>
    <t>PercentHomeEntertainment is the fraction of power strips which are installed with a TV as the master device (1-PercentHomeOffice)</t>
  </si>
  <si>
    <t>Master/peripheral APS savings:</t>
  </si>
  <si>
    <t>Scenario #1 is the simple case where all peripheral power is low when the master device is off.</t>
  </si>
  <si>
    <t>Scenario #2 is the more complicated case where some of the peripheral power is at a higher state when the master device is off.</t>
  </si>
  <si>
    <t>For example: the TV is turned off while the DVD player is still in a ready state - it has not yet transitioned to low power mode.</t>
  </si>
  <si>
    <t>With the APS installed, power goes to zero with the master device turned off.</t>
  </si>
  <si>
    <t>Peripheral power goes to zero when the master device is turned off.</t>
  </si>
  <si>
    <t>Savings are the low power mode usage when the master device is turned off.</t>
  </si>
  <si>
    <t>Savings in this scenario include some ready state power.</t>
  </si>
  <si>
    <t>Savings:</t>
  </si>
  <si>
    <t>For either home entertainment or home office environment:</t>
  </si>
  <si>
    <t>Svgs_MP_env = (Σ ΣPeriphOffHrs_mode * Watts_Periph_mode * nConnected_periph) * HVAC_Yield * 365/1000</t>
  </si>
  <si>
    <t>The sums are for all peripherals and for all energy modes</t>
  </si>
  <si>
    <t>PeriphOffHrs_mode is the hours per day the master is off and the peripheral is in the given energy mode</t>
  </si>
  <si>
    <t>WattsPeriph_mode is the power mode usage of connected peripheral</t>
  </si>
  <si>
    <t>nConnected_periph is the average fraction of a given peripheral, among households owning the peripheral, connected to the power strip (varies by type of peripheral)</t>
  </si>
  <si>
    <t>HVAC_Yield is the regional average residential net plug load savings factor after accounting for HVAC interactions</t>
  </si>
  <si>
    <t>Savings Summary:</t>
  </si>
  <si>
    <t>HVAC_Yield</t>
  </si>
  <si>
    <t>Rounded to One Sig-Fig</t>
  </si>
  <si>
    <t>Savings_HomeOffice:</t>
  </si>
  <si>
    <t>Savings_HomeEntertainment:</t>
  </si>
  <si>
    <t>Average Savings</t>
  </si>
  <si>
    <t>Data summary:</t>
  </si>
  <si>
    <t>CEC/LBNL</t>
  </si>
  <si>
    <t>StandbyPower.org</t>
  </si>
  <si>
    <t>Ecos, 2006</t>
  </si>
  <si>
    <t>NYSERDA/NEEP</t>
  </si>
  <si>
    <t>Tiax</t>
  </si>
  <si>
    <t>RBSA SF</t>
  </si>
  <si>
    <t>Television</t>
  </si>
  <si>
    <t>Computer</t>
  </si>
  <si>
    <t>Saturation</t>
  </si>
  <si>
    <t>-</t>
  </si>
  <si>
    <t>Hours/day active</t>
  </si>
  <si>
    <t>Hours/day ready</t>
  </si>
  <si>
    <t>Watts active</t>
  </si>
  <si>
    <t>Watts ready</t>
  </si>
  <si>
    <t>Watts low power</t>
  </si>
  <si>
    <t>VCR</t>
  </si>
  <si>
    <t>Printer</t>
  </si>
  <si>
    <t>DVD Player</t>
  </si>
  <si>
    <t>Monitor</t>
  </si>
  <si>
    <t>Speakers</t>
  </si>
  <si>
    <t>Video game console</t>
  </si>
  <si>
    <t>Scanner</t>
  </si>
  <si>
    <t>Notes:</t>
  </si>
  <si>
    <t>Some LBNL estimates for peripheral hours exceed master device hours</t>
  </si>
  <si>
    <t>RBSA computer saturation does not distinguish between desktops &amp; laptops</t>
  </si>
  <si>
    <t>Tiax computer saturation is for desktops</t>
  </si>
  <si>
    <t>Tiax 25 watts for desktop active power is suspicious - laptops were listed as 75 W</t>
  </si>
  <si>
    <t>LBNL Scanner saturation is actually Number of devices per household</t>
  </si>
  <si>
    <t>Savings derivation:</t>
  </si>
  <si>
    <t>Watts</t>
  </si>
  <si>
    <t>Baseline hours</t>
  </si>
  <si>
    <t>Baseline</t>
  </si>
  <si>
    <t>Measure hours</t>
  </si>
  <si>
    <t>Device</t>
  </si>
  <si>
    <t>Reduction in Ready hours</t>
  </si>
  <si>
    <t>Low</t>
  </si>
  <si>
    <t>Ready</t>
  </si>
  <si>
    <t>Active</t>
  </si>
  <si>
    <t>Active*</t>
  </si>
  <si>
    <t>Usage</t>
  </si>
  <si>
    <t>Savings</t>
  </si>
  <si>
    <t>Baseline Usage</t>
  </si>
  <si>
    <t>Measure Usage</t>
  </si>
  <si>
    <t>Savings (kWh)</t>
  </si>
  <si>
    <t xml:space="preserve">* RBSA SF hours are used for TV. (MH hours are greater; MF study not available.) SF hours are slightly greater than other sources, but </t>
  </si>
  <si>
    <t>is a regional source, and self-report hours may be understated.</t>
  </si>
  <si>
    <t>IR Sensing</t>
  </si>
  <si>
    <t>e.g. Embertec AV, soon-to-be-released Tricklestar</t>
  </si>
  <si>
    <t>Intended for home entertainment devices</t>
  </si>
  <si>
    <t>Shuts off power to all devices after a set period (1 or 2 hours + a warning period) with no remote IR activity</t>
  </si>
  <si>
    <t>Master device (TV) can be shut down in active mode, providing additional savings</t>
  </si>
  <si>
    <t>IR Sensing Home Entertainment APS</t>
  </si>
  <si>
    <t>Motion Sensing Home Office APS</t>
  </si>
  <si>
    <t>Savings in 3 small-scale field trials conducted of Embertec:</t>
  </si>
  <si>
    <t>Sample</t>
  </si>
  <si>
    <t>South Africa</t>
  </si>
  <si>
    <t>Australia</t>
  </si>
  <si>
    <t>US</t>
  </si>
  <si>
    <t>Karebo Systems, Audiovisual standby power controller: Energy savings field trial, South Africa June-August 2012, prepared for Embertec, 2013</t>
  </si>
  <si>
    <t>Energy Consult, Field Trial of Embertec Enabled Standby Power Controllers, prepared for Embertec, 2010</t>
  </si>
  <si>
    <t>Energy Consult, Advanced Power Strip (APS) Audio Visual (AV) Field Trial: California, 2012</t>
  </si>
  <si>
    <t>Average kWh</t>
  </si>
  <si>
    <t>Average</t>
  </si>
  <si>
    <t>AU modified:</t>
  </si>
  <si>
    <t>US trial participants were recruited from a rowing club; AU participants were skewed to high income, high electronics ownership</t>
  </si>
  <si>
    <t>AU govt agencies have approved 436 kWh/yr. savings</t>
  </si>
  <si>
    <t>Average savings are ~50% of baseline usage across studies</t>
  </si>
  <si>
    <t>Studies use simulated post consumption methodology</t>
  </si>
  <si>
    <t>APS did not actually disconnect power, it just recorded when it would have done so</t>
  </si>
  <si>
    <t>This derives baseline and post usage in one time period</t>
  </si>
  <si>
    <t>However, the savings assumed with this method miss instances when the user would have turned the TV back on</t>
  </si>
  <si>
    <t>A study comparing audio-visual energy consumption in US and AU found 40% greater consumption in the US</t>
  </si>
  <si>
    <t>EnergyConsult, Comparison of Australian, United States and United Kingdom Home Enetertainment &amp; Personal Computer Energy Consumption, prepared for Embertec, 2010</t>
  </si>
  <si>
    <t>AU report indicated 10 hours/day average TV on</t>
  </si>
  <si>
    <t>US self-report is about 5 hours/day</t>
  </si>
  <si>
    <t>US study is likely of low users, but device ownership is near average US, and TV on-time is 5 hours/day</t>
  </si>
  <si>
    <t>Conclusion: de-weight the raw AU numbers by using the govt "normalized" value, then average the 3 studies</t>
  </si>
  <si>
    <t>Motion sensing</t>
  </si>
  <si>
    <t>Shuts off power to all devices after set period with no motion</t>
  </si>
  <si>
    <t xml:space="preserve">http://www.wattstopper.com/products/occupancy-vacancy-sensors/plug-load-controls/idp-3050.aspx#.UcNaJdgkzlg </t>
  </si>
  <si>
    <t>http://www.tricklestar.com/us/index.php/products-1/motion-sensor-powerstrip.html</t>
  </si>
  <si>
    <t>Mostly target commercial environments, but vendors claim they are for the home environment as well</t>
  </si>
  <si>
    <t>Also, soon-to-be-released Tricklestar product more clearly targets home environment</t>
  </si>
  <si>
    <t>No field trials of savings</t>
  </si>
  <si>
    <t>Savings should be similar to the master/peripheral power strip, but with greater savings of peripherals in active or ready mode</t>
  </si>
  <si>
    <t>Reduction in Active or Ready hours</t>
  </si>
  <si>
    <t>NYSERDA/NEEP:</t>
  </si>
  <si>
    <t>Lockheed Martin, Inc., Energy Solutions, Advanced Power Strip Research Report Final Report</t>
  </si>
  <si>
    <t>Prepared for the New York State Energy Research and Development Authority (NYSERDA), 2011.</t>
  </si>
  <si>
    <t>Data regarding the power consumption in different modes were used from the following sources:</t>
  </si>
  <si>
    <t> Energy Center of Wisconsin</t>
  </si>
  <si>
    <t> IT Energy - Denmark</t>
  </si>
  <si>
    <t> Ecos Consulting</t>
  </si>
  <si>
    <t> Lawrence Berkeley National Laboratory</t>
  </si>
  <si>
    <t>Hours and saturation:</t>
  </si>
  <si>
    <t> TIAX LLC</t>
  </si>
  <si>
    <t>Experian Simmons. (2011). [The National Consumer Study (NCS/NHCS)]. Unpublished raw data.</t>
  </si>
  <si>
    <t> Energy Efficient Strategies</t>
  </si>
  <si>
    <t>"The data collection process occurs in two phases. The first phase consists of a telephone</t>
  </si>
  <si>
    <t>placement interview that is conducted with an adult 18+ in the contacted household. If an adult is</t>
  </si>
  <si>
    <t>contacted and agrees to the survey, the second phase occurs by mailing a survey package to the</t>
  </si>
  <si>
    <t>household. Incentives are provided if the adult participates by completing the personal booklet</t>
  </si>
  <si>
    <t>including the standard questionnaire and returning it to Experian.</t>
  </si>
  <si>
    <t>Average Number of Televisions per Household</t>
  </si>
  <si>
    <t>Average Hours of Use per Television per Day</t>
  </si>
  <si>
    <t>Average Screen Size Television per Household</t>
  </si>
  <si>
    <t>The Fall 2010 Adult 12-Month Study is based on a sample of 24,463 interviews with English and</t>
  </si>
  <si>
    <t>Off</t>
  </si>
  <si>
    <t>Spanish speaking adults 18 years or older residing in the United States, excluding Alaska and</t>
  </si>
  <si>
    <t xml:space="preserve">National:
</t>
  </si>
  <si>
    <t>Hawaii. Respondents participated between late October 2009 and early December 2010."</t>
  </si>
  <si>
    <t>National</t>
  </si>
  <si>
    <t>32-39 Inches</t>
  </si>
  <si>
    <t>Average - All Sizes</t>
  </si>
  <si>
    <t>County Size</t>
  </si>
  <si>
    <t>40-49 Inches</t>
  </si>
  <si>
    <t>Television on-hours</t>
  </si>
  <si>
    <t>CRT</t>
  </si>
  <si>
    <t>LCD</t>
  </si>
  <si>
    <t>Plasma</t>
  </si>
  <si>
    <t>Projection</t>
  </si>
  <si>
    <t>County Size B</t>
  </si>
  <si>
    <t>Television ready-hours</t>
  </si>
  <si>
    <t>Normalized saturation</t>
  </si>
  <si>
    <t>County Size C&amp;D</t>
  </si>
  <si>
    <t>Television Watts active</t>
  </si>
  <si>
    <t>House</t>
  </si>
  <si>
    <t>Television Watts ready</t>
  </si>
  <si>
    <t>Standby</t>
  </si>
  <si>
    <t>Apartment/Condo</t>
  </si>
  <si>
    <t>Television Watts low power</t>
  </si>
  <si>
    <t>Table 3: Average Number of Entertainment Devices and Hours of Use per Household</t>
  </si>
  <si>
    <t>Average Number per Household</t>
  </si>
  <si>
    <t>Average Hours of Use per Divice per Day</t>
  </si>
  <si>
    <t>DVDR</t>
  </si>
  <si>
    <t>DVD/VCR Player</t>
  </si>
  <si>
    <t>BluRay Player</t>
  </si>
  <si>
    <t>Vide Game Console</t>
  </si>
  <si>
    <t>National:</t>
  </si>
  <si>
    <t>Type</t>
  </si>
  <si>
    <t>Power Active</t>
  </si>
  <si>
    <t>Power Standby</t>
  </si>
  <si>
    <t>Power Off</t>
  </si>
  <si>
    <t>Hours active</t>
  </si>
  <si>
    <t>Hours ready</t>
  </si>
  <si>
    <t>DVD Player/Recorder</t>
  </si>
  <si>
    <t>Video game</t>
  </si>
  <si>
    <t>DVD/VCR</t>
  </si>
  <si>
    <t>BluRay</t>
  </si>
  <si>
    <t>Video Game Console</t>
  </si>
  <si>
    <t>Table 8: Power Consumption of Media Players (Watts)</t>
  </si>
  <si>
    <t>VCR is weighted average of VCR, DVD/VCR</t>
  </si>
  <si>
    <t>DVD is weighted average of DVD, Recorder, DVD/VCR, BluRay</t>
  </si>
  <si>
    <t>County Size A</t>
  </si>
  <si>
    <t>Media Player: 0.6</t>
  </si>
  <si>
    <t>Media Player: 1.7</t>
  </si>
  <si>
    <t>Media Player: 21.7</t>
  </si>
  <si>
    <t>Video game is weighted average of all types</t>
  </si>
  <si>
    <t>Video Game Console: 1.0</t>
  </si>
  <si>
    <t>Video Game Console: 1.5</t>
  </si>
  <si>
    <t>Video Game Console: 21.5</t>
  </si>
  <si>
    <t>Average Hours of Use per Video Game Console per Day</t>
  </si>
  <si>
    <t>Total</t>
  </si>
  <si>
    <t>PlayStation 2</t>
  </si>
  <si>
    <t>PlayStation 3</t>
  </si>
  <si>
    <t>Nintendo Wii</t>
  </si>
  <si>
    <t>Xbox</t>
  </si>
  <si>
    <t>Xbox 360</t>
  </si>
  <si>
    <t>Media Player: 0.7</t>
  </si>
  <si>
    <t>Media Player: 2.0</t>
  </si>
  <si>
    <t>Media Player: 21.3</t>
  </si>
  <si>
    <t>Power On</t>
  </si>
  <si>
    <t>Video Game Console 1.0</t>
  </si>
  <si>
    <t>PlayStation2</t>
  </si>
  <si>
    <t>Media Player: 0.4</t>
  </si>
  <si>
    <t>Media Player: 1.0</t>
  </si>
  <si>
    <t>Media Player: 22.6</t>
  </si>
  <si>
    <t>PlayStation3</t>
  </si>
  <si>
    <r>
      <t xml:space="preserve">County Size </t>
    </r>
    <r>
      <rPr>
        <b/>
        <sz val="9"/>
        <color rgb="FF000000"/>
        <rFont val="Arial"/>
        <family val="2"/>
      </rPr>
      <t>A</t>
    </r>
  </si>
  <si>
    <t>Video Game Console 0.9</t>
  </si>
  <si>
    <t>Video Game Console: 21.6</t>
  </si>
  <si>
    <t>Media Player: 1.6</t>
  </si>
  <si>
    <t>Media Player: 21.8</t>
  </si>
  <si>
    <t>Video Game Console 1.2</t>
  </si>
  <si>
    <t>Video Game Console: 21.3</t>
  </si>
  <si>
    <t>Xbox360</t>
  </si>
  <si>
    <t>Media Player: 1.2</t>
  </si>
  <si>
    <t>Media Player: 22.3</t>
  </si>
  <si>
    <t>Table 10: Power Consumption of Gaming Systems (Watts)</t>
  </si>
  <si>
    <t>Video Game Console 0.6</t>
  </si>
  <si>
    <t>Video Game Console: 1.6</t>
  </si>
  <si>
    <t>Video Game Console: 21.9</t>
  </si>
  <si>
    <t>(Power Active)</t>
  </si>
  <si>
    <t>Power ready</t>
  </si>
  <si>
    <t>Average Hours of Use per Computer per Day</t>
  </si>
  <si>
    <t>All Computers</t>
  </si>
  <si>
    <t>Desktops</t>
  </si>
  <si>
    <t>Laptops</t>
  </si>
  <si>
    <t>Desktop</t>
  </si>
  <si>
    <t>Laptop</t>
  </si>
  <si>
    <t>Table 14: Power Consumption of Computers (Watts)</t>
  </si>
  <si>
    <t>(Adopted from:)</t>
  </si>
  <si>
    <t>Table 4: Average Number of Home Office Devices and Hours of Use per Household</t>
  </si>
  <si>
    <t>Average Hours of Use per Device per Day</t>
  </si>
  <si>
    <t>CRT Monitor</t>
  </si>
  <si>
    <t>LCD Monitor</t>
  </si>
  <si>
    <t>Fax Machine</t>
  </si>
  <si>
    <t>Watts lopomo</t>
  </si>
  <si>
    <t>Table 16: Power Consumption of Monitors (Watts)</t>
  </si>
  <si>
    <t>Copier</t>
  </si>
  <si>
    <t>Desktops only</t>
  </si>
  <si>
    <t>Fax</t>
  </si>
  <si>
    <t>Printer-Average</t>
  </si>
  <si>
    <t>NA</t>
  </si>
  <si>
    <t>Monitor: 5.7</t>
  </si>
  <si>
    <t>Monitor: 2.7</t>
  </si>
  <si>
    <t>Monitor: 15.7</t>
  </si>
  <si>
    <t>Printer-lnkjet</t>
  </si>
  <si>
    <t>Printer: 0.1</t>
  </si>
  <si>
    <t>Printer: 4.4</t>
  </si>
  <si>
    <t>Printer: 19.5</t>
  </si>
  <si>
    <t>Printer-Laser</t>
  </si>
  <si>
    <t>Scanner: 0.0</t>
  </si>
  <si>
    <t>Scanner: 24.0</t>
  </si>
  <si>
    <t>Table 20: Power Consumption of Printers (Watts)</t>
  </si>
  <si>
    <t>Copier: 0.0</t>
  </si>
  <si>
    <t>Copier: 24.0</t>
  </si>
  <si>
    <t>Fax Machine: 0.2</t>
  </si>
  <si>
    <t>Fax Machine: 0.5</t>
  </si>
  <si>
    <t>Fax Machine: 23.3</t>
  </si>
  <si>
    <t>Speakers: 5.9</t>
  </si>
  <si>
    <t xml:space="preserve"> Speakers: 18.1</t>
  </si>
  <si>
    <t>Monitor: 5.6</t>
  </si>
  <si>
    <t>Monitor: 2.6</t>
  </si>
  <si>
    <t>Computer Speakers</t>
  </si>
  <si>
    <t>External Hard Drive</t>
  </si>
  <si>
    <t>Table 24: Power Consumption of Other Home Office Products (Watts)</t>
  </si>
  <si>
    <t>Speakers: 5.8</t>
  </si>
  <si>
    <t xml:space="preserve"> Speakers: 18.2</t>
  </si>
  <si>
    <t>Monitor: 2.8</t>
  </si>
  <si>
    <t>Monitor: 1.3</t>
  </si>
  <si>
    <t>Monitor: 19.9</t>
  </si>
  <si>
    <t>Speakers: 2.9</t>
  </si>
  <si>
    <t xml:space="preserve"> Speakers: 21.1</t>
  </si>
  <si>
    <t>Monitor: 15.6</t>
  </si>
  <si>
    <t>Monitor: 2.1</t>
  </si>
  <si>
    <t>Monitor: 1.0</t>
  </si>
  <si>
    <t>Monitor: 20.9</t>
  </si>
  <si>
    <t>Speakers: 2.2</t>
  </si>
  <si>
    <t xml:space="preserve"> Speakers: 21.8</t>
  </si>
  <si>
    <t>Tiax:</t>
  </si>
  <si>
    <t>TIAX. 2007b. “Residential Miscellaneous Electric Loads: Energy Consumption Characterization</t>
  </si>
  <si>
    <t>and Savings Potential.” Final Report by TIAX LLC to the U.S. Department of Energy,</t>
  </si>
  <si>
    <t>Building Technologies Program. July.</t>
  </si>
  <si>
    <t>Cited in:</t>
  </si>
  <si>
    <t>Saturation: "The estimates in Table 2 primarily came from published estimates, such as industry market reports and the EIA Residential Energy Consumption Survey (RECS)."</t>
  </si>
  <si>
    <t>2008 ACEEE Summer Study on Energy Efficiency in Buildings</t>
  </si>
  <si>
    <t>Hours:</t>
  </si>
  <si>
    <t>"Annual usage by mode represents the number of hours per year that each device operates</t>
  </si>
  <si>
    <t>Kurt Roth, Kurtis Mckenney, Chris Paetsch, and Ratcharit Ponoum, TIAX LLC</t>
  </si>
  <si>
    <t>Power:</t>
  </si>
  <si>
    <t>For all MELs evaluated, the power draw values for all modes reflect power draw</t>
  </si>
  <si>
    <t>in a given mode, averaged over the entire installed base of devices. Most MELs analyzed in our</t>
  </si>
  <si>
    <t>U.S. Residential Miscellaneous Electric Loads Electricity Consumption</t>
  </si>
  <si>
    <t>measurements of devices instead of rated power draw values. Rated power draws represent the</t>
  </si>
  <si>
    <t>study have at least two distinct operational modes, i.e., on and off, while many have more.</t>
  </si>
  <si>
    <t>maximum power that the device’s power supply can handle and often exceed typical active</t>
  </si>
  <si>
    <t>Historically, developing accurate estimates for MEL usage has been very challenging due to the</t>
  </si>
  <si>
    <t>power draw values by at least a factor of three (e.g., ADL 2002). Ideally, the power draw values</t>
  </si>
  <si>
    <t>expense of collecting data for a statistically significant and representative sample of U.S.</t>
  </si>
  <si>
    <t>Table 4. Average Power Draw by Mode</t>
  </si>
  <si>
    <t>Table 2. Installed Base of Residential Key and Secondary MELs in 2006</t>
  </si>
  <si>
    <t>Table 3. Average Usage by Mode, Hours per Year</t>
  </si>
  <si>
    <t>would come from measurements of a statistically representative sample of products that reflect</t>
  </si>
  <si>
    <t>households. Furthermore, several MELs, such as consumer electronics (CE), evolve rapidly, in</t>
  </si>
  <si>
    <t>MEL</t>
  </si>
  <si>
    <t>Idle</t>
  </si>
  <si>
    <t>Sleep</t>
  </si>
  <si>
    <t>Miscellaneous Electric Load</t>
  </si>
  <si>
    <t>Installed Base [millions]</t>
  </si>
  <si>
    <t>Saturation [devices / HH]</t>
  </si>
  <si>
    <t>Penetration    [% of HH with 1+devices]</t>
  </si>
  <si>
    <t>the installed base of equipment for the entire U.S., i.e., accounting for make, model, and</t>
  </si>
  <si>
    <t>which case their usage profiles may change appreciably over a period of a few years.</t>
  </si>
  <si>
    <r>
      <rPr>
        <sz val="9"/>
        <rFont val="Times New Roman"/>
        <family val="1"/>
      </rPr>
      <t>Compact Audio</t>
    </r>
  </si>
  <si>
    <t>Compact Audio</t>
  </si>
  <si>
    <t>vintage3. When this information was available, we employed this strategy, but this level of</t>
  </si>
  <si>
    <r>
      <rPr>
        <sz val="9"/>
        <rFont val="Times New Roman"/>
        <family val="1"/>
      </rPr>
      <t>Component Stereo</t>
    </r>
  </si>
  <si>
    <t>Component Stereo</t>
  </si>
  <si>
    <t>accuracy was not achieved for most MELs. The sources of power draw data for this study vary</t>
  </si>
  <si>
    <t>In general, relatively few statistically significant and nationally representative</t>
  </si>
  <si>
    <r>
      <rPr>
        <sz val="9"/>
        <rFont val="Times New Roman"/>
        <family val="1"/>
      </rPr>
      <t>DVD Player</t>
    </r>
  </si>
  <si>
    <t>by product type, but in general, come from a wide range of measurements reported in prior</t>
  </si>
  <si>
    <t>measurements of residential MEL usage patterns exist. This study primarily uses usage estimates</t>
  </si>
  <si>
    <r>
      <rPr>
        <sz val="9"/>
        <rFont val="Times New Roman"/>
        <family val="1"/>
      </rPr>
      <t>HTIB</t>
    </r>
  </si>
  <si>
    <t>HTIB</t>
  </si>
  <si>
    <t>analyses and limited, targeted measurements by TIAX.</t>
  </si>
  <si>
    <t>from prior consumer research studies and, in a limited number of cases, small data sets of inhouse</t>
  </si>
  <si>
    <r>
      <rPr>
        <sz val="9"/>
        <rFont val="Times New Roman"/>
        <family val="1"/>
      </rPr>
      <t>Inkjet+MFDs</t>
    </r>
  </si>
  <si>
    <r>
      <t xml:space="preserve">Inkjet </t>
    </r>
    <r>
      <rPr>
        <i/>
        <sz val="9"/>
        <rFont val="Times New Roman"/>
        <family val="1"/>
      </rPr>
      <t xml:space="preserve">+ </t>
    </r>
    <r>
      <rPr>
        <sz val="9"/>
        <rFont val="Times New Roman"/>
        <family val="1"/>
      </rPr>
      <t>MFDs</t>
    </r>
  </si>
  <si>
    <t>We concluded that the uncertainty in the average power draw by mode values is probably</t>
  </si>
  <si>
    <t>monitoring of MEL usage, to assess annual usage by mode. Most notably, for consumer</t>
  </si>
  <si>
    <r>
      <rPr>
        <sz val="9"/>
        <rFont val="Times New Roman"/>
        <family val="1"/>
      </rPr>
      <t>Modem, Broadband</t>
    </r>
  </si>
  <si>
    <t>Modem, Broadband</t>
  </si>
  <si>
    <t>smaller than uncertainties in annual usage for many MELs.</t>
  </si>
  <si>
    <t>electronics, we have used usage profiles developed from recent phone surveys of 2,000</t>
  </si>
  <si>
    <r>
      <rPr>
        <sz val="9"/>
        <rFont val="Times New Roman"/>
        <family val="1"/>
      </rPr>
      <t>Monitors</t>
    </r>
  </si>
  <si>
    <t>Monitors</t>
  </si>
  <si>
    <t>demographically-representative U.S. households about the usage, quantity, and characteristics of</t>
  </si>
  <si>
    <r>
      <rPr>
        <sz val="9"/>
        <rFont val="Times New Roman"/>
        <family val="1"/>
      </rPr>
      <t>PC, Desktop</t>
    </r>
  </si>
  <si>
    <t>PC, Desktop</t>
  </si>
  <si>
    <t>twelve CE products. TIAX (2006) and TIAX (2007a) describe the surveys in more detail.</t>
  </si>
  <si>
    <r>
      <rPr>
        <sz val="9"/>
        <rFont val="Times New Roman"/>
        <family val="1"/>
      </rPr>
      <t>PC, Notebook</t>
    </r>
  </si>
  <si>
    <t>PC, Notebook</t>
  </si>
  <si>
    <t>Nonetheless, we expect that device usage patterns typically have the greatest uncertainty of any</t>
  </si>
  <si>
    <r>
      <rPr>
        <sz val="9"/>
        <rFont val="Times New Roman"/>
        <family val="1"/>
      </rPr>
      <t>Rechargeable Electronics</t>
    </r>
  </si>
  <si>
    <r>
      <rPr>
        <sz val="9"/>
        <rFont val="Times New Roman"/>
        <family val="1"/>
      </rPr>
      <t>Varies by device, see TIAX (2007b)</t>
    </r>
  </si>
  <si>
    <t>Rechargeable Electronics</t>
  </si>
  <si>
    <t>~100%</t>
  </si>
  <si>
    <t xml:space="preserve">Computer </t>
  </si>
  <si>
    <t>Desktop only</t>
  </si>
  <si>
    <t>component of the AEC calculations for most MELs. Table 3 presents the annual usage by mode</t>
  </si>
  <si>
    <r>
      <rPr>
        <sz val="9"/>
        <rFont val="Times New Roman"/>
        <family val="1"/>
      </rPr>
      <t>STB, Cable</t>
    </r>
  </si>
  <si>
    <t>STB, Cable</t>
  </si>
  <si>
    <t>estimates for the MELs selected for evaluation; TIAX (2007b) provides details about the MELspecific</t>
  </si>
  <si>
    <r>
      <rPr>
        <sz val="9"/>
        <rFont val="Times New Roman"/>
        <family val="1"/>
      </rPr>
      <t>STB, Satellite</t>
    </r>
  </si>
  <si>
    <t>STB, Satellite</t>
  </si>
  <si>
    <t>estimates."</t>
  </si>
  <si>
    <r>
      <rPr>
        <sz val="9"/>
        <rFont val="Times New Roman"/>
        <family val="1"/>
      </rPr>
      <t>TV, Analog</t>
    </r>
  </si>
  <si>
    <t>See TIAX (2007b) **</t>
  </si>
  <si>
    <t>TV, Analog</t>
  </si>
  <si>
    <r>
      <rPr>
        <sz val="9"/>
        <rFont val="Times New Roman"/>
        <family val="1"/>
      </rPr>
      <t>TV, Digital</t>
    </r>
  </si>
  <si>
    <t>TV, Digital</t>
  </si>
  <si>
    <r>
      <rPr>
        <sz val="9"/>
        <rFont val="Times New Roman"/>
        <family val="1"/>
      </rPr>
      <t>VCR (stand-alone)</t>
    </r>
  </si>
  <si>
    <t>VCR (stand-alone)</t>
  </si>
  <si>
    <t>Source: TIAX (2007b). * Active- and Passive-Standby modes. ** Power draw broken down by TV priority in TIAX (2007b).</t>
  </si>
  <si>
    <t>Source: TIAX (2007b)</t>
  </si>
  <si>
    <t>Source: TIAX (2007b). * Active- and Passive-Standby modes. ** Rest of time unplugged.</t>
  </si>
  <si>
    <t>Note: Results derived mostly from phone surveys of 2000 residents</t>
  </si>
  <si>
    <t>RBSA:</t>
  </si>
  <si>
    <t>David Baylon, Poppy Storm, Kevin Geraghty, Bob Davis</t>
  </si>
  <si>
    <t xml:space="preserve">Poppy Storm, Benjamin Hannas, David Baylon, Bob Davis, </t>
  </si>
  <si>
    <t>2011 RESIDENTIAL BUILDING STOCK ASSESSMENT: SINGLE-FAMILY CHARACTERISTICS AND ENERGY USE</t>
  </si>
  <si>
    <t>RESIDENTIAL BUILDING STOCK ASSESSMENT: MANUFACTURED HOME CHARACTERISTICS AND ENERGY USE</t>
  </si>
  <si>
    <t>Ecotope, Inc., Northwest Energy Efficiency Alliance, Sept, 2012</t>
  </si>
  <si>
    <t>Ecotope, Inc., Northwest Energy Efficiency Alliance, Jan, 2013</t>
  </si>
  <si>
    <t>©2012 Copyright Northwest Energy Efficiency Alliance. All Rights Reserved.</t>
  </si>
  <si>
    <t>Table 93: Average Primary Television On-Time Hours per Day per Home by State</t>
  </si>
  <si>
    <t>State</t>
  </si>
  <si>
    <t>Television Use per Home (hours/day)</t>
  </si>
  <si>
    <t>Television on-hours:</t>
  </si>
  <si>
    <t>Mean</t>
  </si>
  <si>
    <t>EB</t>
  </si>
  <si>
    <t>n</t>
  </si>
  <si>
    <t>Computer on-hours:</t>
  </si>
  <si>
    <t>Region</t>
  </si>
  <si>
    <t>ID</t>
  </si>
  <si>
    <t>Computer saturation:</t>
  </si>
  <si>
    <t>Does not distinguish between laptop &amp; desktop</t>
  </si>
  <si>
    <t>MT</t>
  </si>
  <si>
    <t>Video game saturation:</t>
  </si>
  <si>
    <t>Note: MF RBSA not available as of Aug 5, 2013</t>
  </si>
  <si>
    <t>OR</t>
  </si>
  <si>
    <t>WA</t>
  </si>
  <si>
    <t>Table 118: Average Primary Television On-Time Hours per Day per Home by State</t>
  </si>
  <si>
    <t>Homes With Gaming Systems</t>
  </si>
  <si>
    <t>Table 122: Percentage of Homes with Gaming Systems</t>
  </si>
  <si>
    <t>Gaming Systems per Home</t>
  </si>
  <si>
    <t>Table 123: Average Number of Gaming Systems per Home with Gaming Systems</t>
  </si>
  <si>
    <t>Computers per Home</t>
  </si>
  <si>
    <t>Table 124: Average Number of Computers per Home by State</t>
  </si>
  <si>
    <t>Homes with Computers</t>
  </si>
  <si>
    <t>Table 125: Percentage of Homes with Computers by State</t>
  </si>
  <si>
    <t>LBNL/CEC:</t>
  </si>
  <si>
    <t>Lawrence Berkeley National Laboratory, Alan Meier, Bruce Nordman, John Busch, Christopher Payne, Richard Brown, Gregory Homan, Maria Sanchez, and Carrie Webber</t>
  </si>
  <si>
    <t>Low-Power Mode Energy Consumption in California Homes</t>
  </si>
  <si>
    <t>Prepared For: California Energy Commission, Public Interest Energy Research Program, September 2008, CEC–500–2008-035</t>
  </si>
  <si>
    <t>Hours and saturation: RLW telephone survey of 306 homes</t>
  </si>
  <si>
    <t>Power: Spot measurements in 75 homes with analyses from RLW and Ecos</t>
  </si>
  <si>
    <t>Final Power Levels (W)</t>
  </si>
  <si>
    <t>Lopomo of</t>
  </si>
  <si>
    <t>Saturations</t>
  </si>
  <si>
    <t>Lopomo per Home</t>
  </si>
  <si>
    <t>(Fracton of Time)</t>
  </si>
  <si>
    <t>Products</t>
  </si>
  <si>
    <t>Product type</t>
  </si>
  <si>
    <t>Mode 1</t>
  </si>
  <si>
    <t>Mode 2</t>
  </si>
  <si>
    <t>Mode 3</t>
  </si>
  <si>
    <t>Mode 4</t>
  </si>
  <si>
    <t>Dis- connected</t>
  </si>
  <si>
    <t>Power (w)</t>
  </si>
  <si>
    <t>Energy (kWh/yr)</t>
  </si>
  <si>
    <t>Products/ HH</t>
  </si>
  <si>
    <t>Fraction of Stock Having a Lopomo</t>
  </si>
  <si>
    <t>Final</t>
  </si>
  <si>
    <t>Audio</t>
  </si>
  <si>
    <t>Amplifier</t>
  </si>
  <si>
    <t>Audio minisystem</t>
  </si>
  <si>
    <t>Cassette dock</t>
  </si>
  <si>
    <t>CD player</t>
  </si>
  <si>
    <t>CD player, portable</t>
  </si>
  <si>
    <t>Charger, digital music player</t>
  </si>
  <si>
    <t>Equalizer (audio)</t>
  </si>
  <si>
    <t>TV speakers</t>
  </si>
  <si>
    <t>Home theater system</t>
  </si>
  <si>
    <t>Receiver (audio)</t>
  </si>
  <si>
    <t>Speakers, powered</t>
  </si>
  <si>
    <t>Speakers, wireless (base station)</t>
  </si>
  <si>
    <t>Speakers, wireless (speakers)</t>
  </si>
  <si>
    <t>VCR includes VCR and DVD/VCR (DVD/VCR looks more like a VCR)</t>
  </si>
  <si>
    <t>Stereo, portable</t>
  </si>
  <si>
    <t>DVD Player excludes recorder and excludes DVD/VCR</t>
  </si>
  <si>
    <t>Subwoofor</t>
  </si>
  <si>
    <t>Monitor is weighted average of CRT, LCD</t>
  </si>
  <si>
    <t>Tuner</t>
  </si>
  <si>
    <t>Printer is weighted average of laser, inkjet, photo</t>
  </si>
  <si>
    <t>Turntable (audio)</t>
  </si>
  <si>
    <t>Computer, desktop</t>
  </si>
  <si>
    <t>Computer, integrated (all)</t>
  </si>
  <si>
    <t>Computer, notebook</t>
  </si>
  <si>
    <t>Dock, notebook</t>
  </si>
  <si>
    <t>Display</t>
  </si>
  <si>
    <t>Computer display, CRT</t>
  </si>
  <si>
    <t>Computer display, LCD</t>
  </si>
  <si>
    <t>Projector, video</t>
  </si>
  <si>
    <t>Television, CRT</t>
  </si>
  <si>
    <t>Television, LCD</t>
  </si>
  <si>
    <t>Telooision,plasma</t>
  </si>
  <si>
    <t>Television, rear projection</t>
  </si>
  <si>
    <t>Television/VCR</t>
  </si>
  <si>
    <t>Imaging</t>
  </si>
  <si>
    <t>Multi-function device, inkjet</t>
  </si>
  <si>
    <t>Multi-function device, laser</t>
  </si>
  <si>
    <t>Printer, inkjet</t>
  </si>
  <si>
    <t>Printer, laser</t>
  </si>
  <si>
    <t>Printer, photo</t>
  </si>
  <si>
    <t>Scanner, flatbed</t>
  </si>
  <si>
    <t>Peripherals</t>
  </si>
  <si>
    <t>Speakers, computer</t>
  </si>
  <si>
    <t>Dock, PDA</t>
  </si>
  <si>
    <t>CD recorder</t>
  </si>
  <si>
    <t>External drive</t>
  </si>
  <si>
    <t>Set-top</t>
  </si>
  <si>
    <t>Set-top box, analog cable</t>
  </si>
  <si>
    <t>Set-top box, digital cable</t>
  </si>
  <si>
    <t>Set-top box, digital cable with PVR</t>
  </si>
  <si>
    <t>Set-top box, game console with internet connectivity</t>
  </si>
  <si>
    <t>Set-top box, satellite</t>
  </si>
  <si>
    <t>Set-top box, satellite with PVR</t>
  </si>
  <si>
    <t>Set-top boo, internet</t>
  </si>
  <si>
    <t>Video</t>
  </si>
  <si>
    <t>VCR/DVD</t>
  </si>
  <si>
    <t>DVD player</t>
  </si>
  <si>
    <t>DVD recorder</t>
  </si>
  <si>
    <t>Game console</t>
  </si>
  <si>
    <t>Video, PVR (no multifunctionality)</t>
  </si>
  <si>
    <t>Videocassette rewinder</t>
  </si>
  <si>
    <t>HVAC</t>
  </si>
  <si>
    <t>Space heater, portable (electric)</t>
  </si>
  <si>
    <t>Water floating</t>
  </si>
  <si>
    <t>Water heater, gas (instantaneous)</t>
  </si>
  <si>
    <t>standbypower.org (LBNL) (Apr 19, 2013)</t>
  </si>
  <si>
    <t>Product/Mode</t>
  </si>
  <si>
    <t>Average (W)</t>
  </si>
  <si>
    <t>Min (W)</t>
  </si>
  <si>
    <t>Max (W)</t>
  </si>
  <si>
    <t>Count</t>
  </si>
  <si>
    <t>Computer Display, CRT</t>
  </si>
  <si>
    <t>#/HH</t>
  </si>
  <si>
    <t>weighted avg</t>
  </si>
  <si>
    <t>On</t>
  </si>
  <si>
    <t>Computer Display, LCD</t>
  </si>
  <si>
    <t>On, idle</t>
  </si>
  <si>
    <t>Fully on, charged</t>
  </si>
  <si>
    <t>Fully on, charging</t>
  </si>
  <si>
    <t>Power supply only</t>
  </si>
  <si>
    <t>Multi-function Device, inkjet</t>
  </si>
  <si>
    <t>Multi-function Device, laser</t>
  </si>
  <si>
    <t>On, no sound</t>
  </si>
  <si>
    <t>Off by remote</t>
  </si>
  <si>
    <t>Off by switch</t>
  </si>
  <si>
    <t>Tuner, AM/FM</t>
  </si>
  <si>
    <t>On, not playing</t>
  </si>
  <si>
    <t>On, playing</t>
  </si>
  <si>
    <t>CD Player</t>
  </si>
  <si>
    <t>DVD Recorder</t>
  </si>
  <si>
    <t>Game Console</t>
  </si>
  <si>
    <t>Subwoofer</t>
  </si>
  <si>
    <t>Ecos Consulting, 2006</t>
  </si>
  <si>
    <t>Porter, S. F., Moorefield, L., &amp; May-Ostendorp, P. (2006). Final Field Research Report. California Energy Commission.</t>
  </si>
  <si>
    <t>Joint study with RLW and LBNL.  Not clear why values differ from LBNL above.</t>
  </si>
  <si>
    <t>Table 1. Average Measured Duty Cycle of Entertainment Electronics</t>
  </si>
  <si>
    <t>Average Product Duty Cycles: Entertainment</t>
  </si>
  <si>
    <t>Modes Determined /
Modes Indetermined</t>
  </si>
  <si>
    <t>Number
Metered</t>
  </si>
  <si>
    <t>Average Time in No Power</t>
  </si>
  <si>
    <t>Average Time in
Standby</t>
  </si>
  <si>
    <t>Average Time in Low Power</t>
  </si>
  <si>
    <t>Average Time in
Active</t>
  </si>
  <si>
    <t>Average Time in
Indeterminate</t>
  </si>
  <si>
    <t>CRT Television</t>
  </si>
  <si>
    <t>Modes Determined</t>
  </si>
  <si>
    <t>LCD Television</t>
  </si>
  <si>
    <t>Plasma Television</t>
  </si>
  <si>
    <t>Rear Projection Television</t>
  </si>
  <si>
    <t>Television / DVD</t>
  </si>
  <si>
    <t>Television / DVD / VCR</t>
  </si>
  <si>
    <t>Television / VCR</t>
  </si>
  <si>
    <t>Analog Cable Set Top Box</t>
  </si>
  <si>
    <t>Modes Indetermined</t>
  </si>
  <si>
    <t>Digital Cable Set Top Box</t>
  </si>
  <si>
    <t>Digital Cable w/ PVR Set Top Box</t>
  </si>
  <si>
    <t>PVR Set Top Box</t>
  </si>
  <si>
    <t>Satellite Set-top Box</t>
  </si>
  <si>
    <t>VCR is just VCR, not DVD/VCR</t>
  </si>
  <si>
    <t>DVD Player includes DVD/VCR, but excludes DVD Recorder</t>
  </si>
  <si>
    <t>Satellite w/ PVR Set-top Box</t>
  </si>
  <si>
    <t>Television is weighted average of 7 types of TV</t>
  </si>
  <si>
    <t>Printer is weighted average of laser, inkjet, excludes MFDs</t>
  </si>
  <si>
    <t>Desktop computers only</t>
  </si>
  <si>
    <t>Cassette Deck</t>
  </si>
  <si>
    <t>CD Recorder</t>
  </si>
  <si>
    <t>Speaker (powered)</t>
  </si>
  <si>
    <t>AM/FM Tuner</t>
  </si>
  <si>
    <t>Table 2. Average Measured Duty Cycle of IT Electronics</t>
  </si>
  <si>
    <t>Desktop Computer</t>
  </si>
  <si>
    <t>Laptop Computer</t>
  </si>
  <si>
    <t>CRT Computer Display</t>
  </si>
  <si>
    <t>LCD Computer Display</t>
  </si>
  <si>
    <t>lnkjet Fax</t>
  </si>
  <si>
    <t>Laser Fax</t>
  </si>
  <si>
    <t>lnkjet Multi-function Device</t>
  </si>
  <si>
    <t>Laser Multi-function Device</t>
  </si>
  <si>
    <t>lnkjet Printer</t>
  </si>
  <si>
    <t>Laser Printer</t>
  </si>
  <si>
    <t>Flatbed Scanner</t>
  </si>
  <si>
    <t>USB Hub</t>
  </si>
  <si>
    <t>Cable Modem</t>
  </si>
  <si>
    <t>DSL Modem</t>
  </si>
  <si>
    <t>Wireless Router</t>
  </si>
  <si>
    <t>Table 7. Average Power Use by Mode: IT, Entertainment &amp; Battery Chargers</t>
  </si>
  <si>
    <t>Number Metered</t>
  </si>
  <si>
    <t>Standby (W)</t>
  </si>
  <si>
    <t>Low Power (W)</t>
  </si>
  <si>
    <t>Active (W)</t>
  </si>
  <si>
    <t>Indeterminate (W)</t>
  </si>
  <si>
    <t>COMPUTER</t>
  </si>
  <si>
    <t>COMPUTER DISPLAY</t>
  </si>
  <si>
    <t>COPIER</t>
  </si>
  <si>
    <t>FAX</t>
  </si>
  <si>
    <t>Inkjet</t>
  </si>
  <si>
    <t>Laser</t>
  </si>
  <si>
    <t>MULTI - FUNCTION DEVICE</t>
  </si>
  <si>
    <t>PRINTER</t>
  </si>
  <si>
    <t>SCANNER</t>
  </si>
  <si>
    <t>Flatbed</t>
  </si>
  <si>
    <t>HUB</t>
  </si>
  <si>
    <t>USB</t>
  </si>
  <si>
    <t>MODEM</t>
  </si>
  <si>
    <t>Cable</t>
  </si>
  <si>
    <t>DSL</t>
  </si>
  <si>
    <t>ROUTER</t>
  </si>
  <si>
    <t>Wireless</t>
  </si>
  <si>
    <t>SPEAKERS</t>
  </si>
  <si>
    <t>TELEVISION</t>
  </si>
  <si>
    <t>Rear Projection</t>
  </si>
  <si>
    <t>TELEVISION / DVD</t>
  </si>
  <si>
    <t>TELEVISION / DVD / VCR</t>
  </si>
  <si>
    <t>TELEVISION /VCR</t>
  </si>
  <si>
    <t>SET TOP BOX</t>
  </si>
  <si>
    <t>Analog Cable</t>
  </si>
  <si>
    <t>Digital Cable</t>
  </si>
  <si>
    <t>Digital Cable with PVR</t>
  </si>
  <si>
    <t>PVR</t>
  </si>
  <si>
    <t>Satellite</t>
  </si>
  <si>
    <t>Satellite with PVR</t>
  </si>
  <si>
    <t>DVD PLAYER</t>
  </si>
  <si>
    <t>DVD RECORDER</t>
  </si>
  <si>
    <t>GAME CONSOLE</t>
  </si>
  <si>
    <t>AMPLIFIER</t>
  </si>
  <si>
    <t>CASSETTE DECK</t>
  </si>
  <si>
    <t>CD PLAYER</t>
  </si>
  <si>
    <t>CD RECORDER</t>
  </si>
  <si>
    <t>RECEIVER</t>
  </si>
  <si>
    <t>SPEAKER</t>
  </si>
  <si>
    <t>SUBWOOFER</t>
  </si>
  <si>
    <t>TUNER</t>
  </si>
  <si>
    <t>AM/FM</t>
  </si>
  <si>
    <t>TURNTABLE</t>
  </si>
  <si>
    <t>AUDIO MINISYSTEM</t>
  </si>
  <si>
    <t>RADIO</t>
  </si>
  <si>
    <t>PORTABLE STEREO</t>
  </si>
  <si>
    <t>(From RTF Workbook)</t>
  </si>
  <si>
    <t>Existing</t>
  </si>
  <si>
    <t>Make Incremental - occ sensor and infrared are incremental to load sensing,</t>
  </si>
  <si>
    <t>Remove Direct Install path</t>
  </si>
  <si>
    <t>Load sensing advanced power strip</t>
  </si>
  <si>
    <t>Occupancy sensing advanced power strip</t>
  </si>
  <si>
    <t>Infrared sensing advanced power strip</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</si>
  <si>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</si>
  <si>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</si>
  <si>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</si>
  <si>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</si>
  <si>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</si>
  <si>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</si>
  <si>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</si>
  <si>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</si>
  <si>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</si>
  <si>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</si>
  <si>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</si>
  <si>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</si>
  <si>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Measure Life</t>
  </si>
  <si>
    <t>Savings Shape</t>
  </si>
  <si>
    <t>Achievability Ramp Rate</t>
  </si>
  <si>
    <t>Power strips to switch off peripherals on home entertainment or workstations when main component is off</t>
  </si>
  <si>
    <t>New from 6P</t>
  </si>
  <si>
    <t>RTF</t>
  </si>
  <si>
    <t>ResAdvancedPowerStrips_v1_5</t>
  </si>
  <si>
    <t>Load sensing, infrared or occupancy</t>
  </si>
  <si>
    <t>SeventhPlan\Conservation Analysis\Global EE Inputs\Units Forecasts\[7P Forecasts D1.xlsx]</t>
  </si>
  <si>
    <t>Retail cost</t>
  </si>
  <si>
    <t>Min</t>
  </si>
  <si>
    <t>Max</t>
  </si>
  <si>
    <t>Uncertainty</t>
  </si>
  <si>
    <t>Average of current sensing, with threshhold adjustment, online prices:</t>
  </si>
  <si>
    <t>Average of selection of standard power strips, online prices:</t>
  </si>
  <si>
    <t>Incremental cost:</t>
  </si>
  <si>
    <t>Incremental cost assumption is that this is a replacement for a standard power strip rather than a new device.</t>
  </si>
  <si>
    <t>Direct install costs</t>
  </si>
  <si>
    <t>Smart strip cost, assume program could get the Walmart price:</t>
  </si>
  <si>
    <t>Labor, on site. Assume 15 minutes @ $30/hr:</t>
  </si>
  <si>
    <t>Labor, off site.  Includes recruiting, scheduling, travel:</t>
  </si>
  <si>
    <t>IR sensing direct install:</t>
  </si>
  <si>
    <t>Direct install implementer made the following points:</t>
  </si>
  <si>
    <t>Only practical in apartment complexes</t>
  </si>
  <si>
    <t>Only practical as one of many DI measures, e.g. showerheads, aerators, CFLs</t>
  </si>
  <si>
    <t>This measure can be problematic to install</t>
  </si>
  <si>
    <t>Need to discuss configuration with resident, but residents are often not home</t>
  </si>
  <si>
    <t>Discussion with resident can be time-consuming</t>
  </si>
  <si>
    <t>May need to move furniture, etc, which can be time-consuming</t>
  </si>
  <si>
    <t>Installer will need to (learn to) make a quick decision about whether or not the strip can be installed quickly and otherwise not install it</t>
  </si>
  <si>
    <t>Should be included in a DI program on a pilot basis to learn how it will actually go</t>
  </si>
  <si>
    <t>ETO pilot assessment:</t>
  </si>
  <si>
    <t>15 minutes installation as part of HER audit assumed as cost effective threshhold</t>
  </si>
  <si>
    <t>45% of home entertainment sites ruled out due to accessibility problems making 15 minutes impossible</t>
  </si>
  <si>
    <t>Power strip only</t>
  </si>
  <si>
    <t>Amazon.com results, April 10, 2013:</t>
  </si>
  <si>
    <t>Smart Strip LCG3 Energy Saving Surge Protector with Autoswitching Technology, 10-Outlet</t>
  </si>
  <si>
    <t>Free Shipping</t>
  </si>
  <si>
    <t>Belkin 6-Outlet Home/Office Surge Protector with 4 feet Cord</t>
  </si>
  <si>
    <t>+ shipping</t>
  </si>
  <si>
    <t>Belkin Conserve Socket with Energy Saving Outlet</t>
  </si>
  <si>
    <t>3 peripheral outlets</t>
  </si>
  <si>
    <t>Belkin 6 Outlet Power Strip 12 Feet Cord Length</t>
  </si>
  <si>
    <t>Smart Strip LCG5 Energy Saving Power Strip with Auto-Switching Technology and Modem/Coaxial Surge Protection</t>
  </si>
  <si>
    <t>Tripp Lite TLP808 Surge Protector 120V 5-15R 8 Outlet 8ft Cord 1440 Joule</t>
  </si>
  <si>
    <t>Smart Strip SCG3 Energy Saving Power Strip with Autoswitching Technology</t>
  </si>
  <si>
    <t>5 peripheral outlets</t>
  </si>
  <si>
    <t>Fellowes 6-Outlet, 15-Foot Power Strip (99026)</t>
  </si>
  <si>
    <t>APC Power Saving SurgeArrest P8GT</t>
  </si>
  <si>
    <t>VCT - 220V/240V AC 13A Universal Surge Protector / Power Strip with 6 Universal Outlets. 50Hz/60Hz - 450 Joules...</t>
  </si>
  <si>
    <t>BITS Smart Strip Power Strip LCG5 </t>
  </si>
  <si>
    <t>BITS Smart Strip Power Strip</t>
  </si>
  <si>
    <t>TrickleStar 12 Outlet Power Strip 180SS-US-12CT </t>
  </si>
  <si>
    <t>4 peripheral outlets</t>
  </si>
  <si>
    <t>EnergyFederation.org, Apr 10, 2013:</t>
  </si>
  <si>
    <t>TrickleStar Smart Powertap™</t>
  </si>
  <si>
    <t>APC Power Saving SurgeArrest P8GT, threshhold adjustment only for PC</t>
  </si>
  <si>
    <t>Shipping</t>
  </si>
  <si>
    <t>Walmart (online)</t>
  </si>
  <si>
    <t>Inland Nugiant Energy Saving Smart Surge Protecting Power Strip</t>
  </si>
  <si>
    <t>Other</t>
  </si>
  <si>
    <t>6 peripheral outlets, fully adjustable threshhold</t>
  </si>
  <si>
    <t>Embertec ECUSPC-ET-01 EmberCeptor Power Saving Device, Computer Series</t>
  </si>
  <si>
    <t>Monster Power MDP800 Green Powercenter (8-Outlet, 3140 Joule Rating)</t>
  </si>
  <si>
    <t>3 peripheral outlets, no threshhold adjustment</t>
  </si>
  <si>
    <t>8 peripheral outlets, configurable controlling delta watts</t>
  </si>
  <si>
    <t>4 peripheral outlets, hi/med/lo threshhold</t>
  </si>
  <si>
    <t>Tier 2</t>
  </si>
  <si>
    <t>Embertec ECUSPC-ET-01 EmberCeptor Power Saving Device, AV Series</t>
  </si>
  <si>
    <t>online, + shipping</t>
  </si>
  <si>
    <t>DI price, personal communication</t>
  </si>
  <si>
    <t>TrickleStar Motion Sensor Power Strip</t>
  </si>
  <si>
    <t>$29.95 + shipping</t>
  </si>
  <si>
    <t>Motion sensor only shuts off power to peripherals, 4 peripherals</t>
  </si>
  <si>
    <t>Estimates 10 years as the mechanical life of the equipment</t>
  </si>
  <si>
    <t>Savings persistence depends on changes to installed loads</t>
  </si>
  <si>
    <t>No persistence studies</t>
  </si>
  <si>
    <t>Measure life:</t>
  </si>
  <si>
    <t>years</t>
  </si>
  <si>
    <t>Various online sources</t>
  </si>
  <si>
    <t>RTF assumption</t>
  </si>
  <si>
    <t>low - 1%</t>
  </si>
  <si>
    <t>low product awareness, but programs have begun in 2012</t>
  </si>
  <si>
    <t>in 2012, BPA utilities booked 0.12 aMW or ~0.3% of potential</t>
  </si>
  <si>
    <t>Retro or LO</t>
  </si>
  <si>
    <t>Early Retrofit Parameters</t>
  </si>
  <si>
    <t>R or L</t>
  </si>
  <si>
    <t>Savings 2
(kWh)</t>
  </si>
  <si>
    <t>Remaining
Life (yrs)</t>
  </si>
  <si>
    <t>Salvage Value ($)</t>
  </si>
  <si>
    <t>R</t>
  </si>
  <si>
    <t>aMW</t>
  </si>
  <si>
    <t>Desktop PC(+monitor)</t>
  </si>
  <si>
    <t>Computers</t>
  </si>
  <si>
    <t>TVs</t>
  </si>
  <si>
    <t>TV</t>
  </si>
  <si>
    <t>Saturations from RBSA based on 2011 data</t>
  </si>
  <si>
    <t>R-All-Elec-CompAcc-All-All-R</t>
  </si>
  <si>
    <t>R-All-Elec-TV-All-All-R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</si>
  <si>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</si>
  <si>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</si>
  <si>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</si>
  <si>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</si>
  <si>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</si>
  <si>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</si>
  <si>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</si>
  <si>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</si>
  <si>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</si>
  <si>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</si>
  <si>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</si>
  <si>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</si>
  <si>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</si>
  <si>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</si>
  <si>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</si>
  <si>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</si>
  <si>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</si>
  <si>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</si>
  <si>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</si>
  <si>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</si>
  <si>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</si>
  <si>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Marginal Elec Avoided Cost Input Worksheet</t>
  </si>
  <si>
    <t>7P Mid</t>
  </si>
  <si>
    <t>Conservation Load Shapes</t>
  </si>
  <si>
    <t>Real After-Tax Cost of Capital</t>
  </si>
  <si>
    <t>Program Start Date</t>
  </si>
  <si>
    <t>Bulk System T&amp;D Loss Factor</t>
  </si>
  <si>
    <t>Admin Cost @ Category Level</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</si>
  <si>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</si>
  <si>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</si>
  <si>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</si>
  <si>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</si>
  <si>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</si>
  <si>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</si>
  <si>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</si>
  <si>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</si>
  <si>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</si>
  <si>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</si>
  <si>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</si>
  <si>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</si>
  <si>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</si>
  <si>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</si>
  <si>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</si>
  <si>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</si>
  <si>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</si>
  <si>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</si>
  <si>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</si>
  <si>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</si>
  <si>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</si>
  <si>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</si>
  <si>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</si>
  <si>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</si>
  <si>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</si>
  <si>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</si>
  <si>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</si>
  <si>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</si>
  <si>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</si>
  <si>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</si>
  <si>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</si>
  <si>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</si>
  <si>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</si>
  <si>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</si>
  <si>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</si>
  <si>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</si>
  <si>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</si>
  <si>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</si>
  <si>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</si>
  <si>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</si>
  <si>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</si>
  <si>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</si>
  <si>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</si>
  <si>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</si>
  <si>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</si>
  <si>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</si>
  <si>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</si>
  <si>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</si>
  <si>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</si>
  <si>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</si>
  <si>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</si>
  <si>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</si>
  <si>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</si>
  <si>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</si>
  <si>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</si>
  <si>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</si>
  <si>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</si>
  <si>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</si>
  <si>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</si>
  <si>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</si>
  <si>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</si>
  <si>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</si>
  <si>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</si>
  <si>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</si>
  <si>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</si>
  <si>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</si>
  <si>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</si>
  <si>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</si>
  <si>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</si>
  <si>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</si>
  <si>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</si>
  <si>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</si>
  <si>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</si>
  <si>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</si>
  <si>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</si>
  <si>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</si>
  <si>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</si>
  <si>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</si>
  <si>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</si>
  <si>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</si>
  <si>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</si>
  <si>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</si>
  <si>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</si>
  <si>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</si>
  <si>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</si>
  <si>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</si>
  <si>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</si>
  <si>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</si>
  <si>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</si>
  <si>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</si>
  <si>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</si>
  <si>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</si>
  <si>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</si>
  <si>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</si>
  <si>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</si>
  <si>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</si>
  <si>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</si>
  <si>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</si>
  <si>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</si>
  <si>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</si>
  <si>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</si>
  <si>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</si>
  <si>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</si>
  <si>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</si>
  <si>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</si>
  <si>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</si>
  <si>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</si>
  <si>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</si>
  <si>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</si>
  <si>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</si>
  <si>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</si>
  <si>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</si>
  <si>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</si>
  <si>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</si>
  <si>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</si>
  <si>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</si>
  <si>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</si>
  <si>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</si>
  <si>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</si>
  <si>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</si>
  <si>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</si>
  <si>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</si>
  <si>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</si>
  <si>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</si>
  <si>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</si>
  <si>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</si>
  <si>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</si>
  <si>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</si>
  <si>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</si>
  <si>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</si>
  <si>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</si>
  <si>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</si>
  <si>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</si>
  <si>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</si>
  <si>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</si>
  <si>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</si>
  <si>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</si>
  <si>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</si>
  <si>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</si>
  <si>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</si>
  <si>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</si>
  <si>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</si>
  <si>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</si>
  <si>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</si>
  <si>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</si>
  <si>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</si>
  <si>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</si>
  <si>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Res Electronics from RBSA</t>
  </si>
  <si>
    <t># of computers and TVs per home from RBSA, adjusted for those that are "powerstrip ready"</t>
  </si>
  <si>
    <t>Load sensing - TV or computer; Infrared - TV only; Occ - computer only</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</si>
  <si>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</si>
  <si>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</si>
  <si>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</si>
  <si>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</si>
  <si>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</si>
  <si>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</si>
  <si>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</si>
  <si>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</si>
  <si>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</si>
  <si>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</si>
  <si>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</si>
  <si>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</si>
  <si>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</si>
  <si>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</si>
  <si>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</si>
  <si>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</si>
  <si>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</si>
  <si>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</si>
  <si>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</si>
  <si>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</si>
  <si>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</si>
  <si>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</si>
  <si>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</si>
  <si>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</si>
  <si>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</si>
  <si>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</si>
  <si>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</si>
  <si>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</si>
  <si>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</si>
  <si>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</si>
  <si>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</si>
  <si>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</si>
  <si>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</si>
  <si>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</si>
  <si>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</si>
  <si>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</si>
  <si>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</si>
  <si>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Saturation increases over load foreacst, "powerstrip ready" from ETO analysis ~2009</t>
  </si>
  <si>
    <t>Block 2: 0-10 mills/kWh</t>
  </si>
  <si>
    <t>Ramp Rate</t>
  </si>
  <si>
    <t>Resource Type</t>
  </si>
  <si>
    <t>Measure Category</t>
  </si>
  <si>
    <t>Sector</t>
  </si>
  <si>
    <t>End Use</t>
  </si>
  <si>
    <t>kW per unit</t>
  </si>
  <si>
    <t>kWh per unit</t>
  </si>
  <si>
    <t>TRC Net Levelized Cost (Net of All Benefits)</t>
  </si>
  <si>
    <t>Residential</t>
  </si>
  <si>
    <t>End Use:</t>
  </si>
  <si>
    <t>From Residential background file Jan 2015 version.xls</t>
  </si>
  <si>
    <t>% difference from 2012</t>
  </si>
  <si>
    <t>Since costs were collected early 2013, assume in 2012$</t>
  </si>
  <si>
    <t>More products on market, RTF UES in works, but still somewhat an emerging tech</t>
  </si>
  <si>
    <t>Only limit to desktops since laptops generally aren't plugged into power strip</t>
  </si>
  <si>
    <t>Table 7. Home Electronic Saturations – Single Family Region</t>
  </si>
  <si>
    <t>Home Electronics</t>
  </si>
  <si>
    <t>Units Per Household</t>
  </si>
  <si>
    <t>Televisions (All Types &amp; Sizes)</t>
  </si>
  <si>
    <t>&lt;32"</t>
  </si>
  <si>
    <t>32" - 46"</t>
  </si>
  <si>
    <t>&gt;46"</t>
  </si>
  <si>
    <t>Set-Top Box</t>
  </si>
  <si>
    <t>Without DVR Capability</t>
  </si>
  <si>
    <t>With DVR Capability</t>
  </si>
  <si>
    <t>Computer Monitor</t>
  </si>
  <si>
    <t>&lt;=20"</t>
  </si>
  <si>
    <t>&gt;20"</t>
  </si>
  <si>
    <t>Game Consoles</t>
  </si>
  <si>
    <t>ENERGY STAR</t>
  </si>
  <si>
    <t>Standard not avail until March 2013?</t>
  </si>
  <si>
    <t>Non-ENERGY STAR</t>
  </si>
  <si>
    <t xml:space="preserve"> Using MH as a proxy for number of notebooks versus desktops for MF since we don't have refined data table</t>
  </si>
  <si>
    <t>Notebooks</t>
  </si>
  <si>
    <t>Friday, 6 March , 2015 at 1:52 PM</t>
  </si>
  <si>
    <t>Total Max Potential (aMW)</t>
  </si>
  <si>
    <t>savingsYear</t>
  </si>
  <si>
    <t>BPA Sector</t>
  </si>
  <si>
    <t>BPA EndUse</t>
  </si>
  <si>
    <t>BPA Category</t>
  </si>
  <si>
    <t>BPA TAP</t>
  </si>
  <si>
    <t>SumOfkWhBusbar</t>
  </si>
  <si>
    <t>SumOfaMWBusbar</t>
  </si>
  <si>
    <t>Electronics</t>
  </si>
  <si>
    <t>Plug Load</t>
  </si>
  <si>
    <t>Power Strips</t>
  </si>
  <si>
    <t>3Slow</t>
  </si>
</sst>
</file>

<file path=xl/styles.xml><?xml version="1.0" encoding="utf-8"?>
<styleSheet xmlns="http://schemas.openxmlformats.org/spreadsheetml/2006/main">
  <numFmts count="21">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0.000"/>
    <numFmt numFmtId="171" formatCode="_(* #,##0.0_);_(* \(#,##0.0\);_(* &quot;-&quot;?_);_(@_)"/>
    <numFmt numFmtId="172" formatCode="_(* #,##0_);_(* \(#,##0\);_(* &quot;-&quot;??_);_(@_)"/>
    <numFmt numFmtId="173" formatCode="_(* #,##0.0_);_(* \(#,##0.0\);_(* &quot;-&quot;??_);_(@_)"/>
    <numFmt numFmtId="174" formatCode="00.0"/>
    <numFmt numFmtId="175" formatCode="0.0%"/>
    <numFmt numFmtId="176" formatCode="mmm\-yyyy"/>
    <numFmt numFmtId="177" formatCode="0.0;[Red]\-0.0"/>
    <numFmt numFmtId="178" formatCode="\ "/>
  </numFmts>
  <fonts count="89">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u/>
      <sz val="10"/>
      <color theme="10"/>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b/>
      <sz val="11"/>
      <color indexed="56"/>
      <name val="Calibri"/>
      <family val="2"/>
    </font>
    <font>
      <u/>
      <sz val="10"/>
      <color indexed="12"/>
      <name val="Arial"/>
      <family val="2"/>
    </font>
    <font>
      <u/>
      <sz val="7"/>
      <color indexed="12"/>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rgb="FF000000"/>
      <name val="Arial"/>
      <family val="2"/>
    </font>
    <font>
      <b/>
      <sz val="9"/>
      <color rgb="FF000000"/>
      <name val="Arial"/>
      <family val="2"/>
    </font>
    <font>
      <b/>
      <sz val="9"/>
      <name val="Arial"/>
      <family val="2"/>
    </font>
    <font>
      <sz val="9"/>
      <name val="Arial"/>
      <family val="2"/>
    </font>
    <font>
      <b/>
      <sz val="12"/>
      <name val="Arial"/>
      <family val="2"/>
    </font>
    <font>
      <sz val="9"/>
      <color rgb="FF000000"/>
      <name val="Calibri"/>
      <family val="2"/>
    </font>
    <font>
      <b/>
      <sz val="9"/>
      <color rgb="FF000000"/>
      <name val="Calibri"/>
      <family val="2"/>
    </font>
    <font>
      <b/>
      <sz val="12"/>
      <color rgb="FF000000"/>
      <name val="Calibri"/>
      <family val="2"/>
    </font>
    <font>
      <sz val="9"/>
      <name val="Verdana"/>
      <family val="2"/>
    </font>
    <font>
      <b/>
      <i/>
      <sz val="9"/>
      <color rgb="FF000000"/>
      <name val="Arial"/>
      <family val="2"/>
    </font>
    <font>
      <sz val="11"/>
      <color rgb="FF000000"/>
      <name val="Arial"/>
      <family val="2"/>
    </font>
    <font>
      <b/>
      <sz val="11"/>
      <color rgb="FF000000"/>
      <name val="Arial"/>
      <family val="2"/>
    </font>
    <font>
      <b/>
      <sz val="10"/>
      <color rgb="FF000000"/>
      <name val="Arial"/>
      <family val="2"/>
    </font>
    <font>
      <b/>
      <sz val="11"/>
      <name val="Times New Roman"/>
      <family val="1"/>
    </font>
    <font>
      <b/>
      <sz val="9"/>
      <color rgb="FF000000"/>
      <name val="Times New Roman"/>
      <family val="1"/>
    </font>
    <font>
      <b/>
      <sz val="9"/>
      <name val="Times New Roman"/>
      <family val="1"/>
    </font>
    <font>
      <sz val="9"/>
      <name val="Times New Roman"/>
      <family val="1"/>
    </font>
    <font>
      <i/>
      <sz val="9"/>
      <name val="Times New Roman"/>
      <family val="1"/>
    </font>
    <font>
      <sz val="9"/>
      <color rgb="FF000000"/>
      <name val="Times New Roman"/>
      <family val="1"/>
    </font>
    <font>
      <sz val="11"/>
      <color rgb="FF000000"/>
      <name val="Times New Roman"/>
      <family val="1"/>
    </font>
    <font>
      <b/>
      <i/>
      <sz val="8"/>
      <color rgb="FF000000"/>
      <name val="Arial"/>
      <family val="2"/>
    </font>
    <font>
      <b/>
      <sz val="11"/>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14"/>
      <name val="Calibri"/>
      <family val="2"/>
    </font>
    <font>
      <sz val="10"/>
      <name val="Times New Roman"/>
      <family val="1"/>
    </font>
    <font>
      <b/>
      <sz val="10"/>
      <color indexed="8"/>
      <name val="Arial"/>
      <family val="2"/>
    </font>
    <font>
      <b/>
      <sz val="15"/>
      <color indexed="62"/>
      <name val="Calibri"/>
      <family val="2"/>
    </font>
    <font>
      <b/>
      <sz val="13"/>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2"/>
      <name val="Helv"/>
    </font>
    <font>
      <sz val="10"/>
      <name val="Verdana"/>
      <family val="2"/>
    </font>
    <font>
      <sz val="10"/>
      <name val="Helv"/>
      <charset val="204"/>
    </font>
    <font>
      <b/>
      <sz val="18"/>
      <color indexed="62"/>
      <name val="Cambria"/>
      <family val="2"/>
    </font>
    <font>
      <sz val="10"/>
      <name val="굴림"/>
      <family val="3"/>
      <charset val="129"/>
    </font>
    <font>
      <sz val="10"/>
      <color indexed="10"/>
      <name val="Arial"/>
      <family val="2"/>
    </font>
    <font>
      <b/>
      <sz val="9"/>
      <color theme="1"/>
      <name val="Arial"/>
      <family val="2"/>
    </font>
    <font>
      <sz val="6"/>
      <color theme="1"/>
      <name val="Arial"/>
      <family val="2"/>
    </font>
    <font>
      <b/>
      <sz val="10"/>
      <color theme="0"/>
      <name val="Calibri"/>
      <family val="2"/>
      <scheme val="minor"/>
    </font>
    <font>
      <sz val="10"/>
      <color theme="1"/>
      <name val="Calibri"/>
      <family val="2"/>
      <scheme val="minor"/>
    </font>
  </fonts>
  <fills count="84">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indexed="9"/>
      </patternFill>
    </fill>
    <fill>
      <patternFill patternType="solid">
        <fgColor indexed="41"/>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1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13"/>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bgColor theme="4"/>
      </patternFill>
    </fill>
    <fill>
      <patternFill patternType="solid">
        <fgColor theme="4" tint="0.79998168889431442"/>
        <bgColor theme="4" tint="0.79998168889431442"/>
      </patternFill>
    </fill>
  </fills>
  <borders count="6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36">
    <xf numFmtId="0" fontId="0" fillId="0" borderId="0">
      <alignment readingOrder="1"/>
    </xf>
    <xf numFmtId="44" fontId="6" fillId="0" borderId="0" applyFont="0" applyFill="0" applyBorder="0" applyAlignment="0" applyProtection="0"/>
    <xf numFmtId="0" fontId="4" fillId="0" borderId="0"/>
    <xf numFmtId="0" fontId="6" fillId="0" borderId="0"/>
    <xf numFmtId="0" fontId="6" fillId="0" borderId="0"/>
    <xf numFmtId="0" fontId="6" fillId="9" borderId="0" applyNumberFormat="0" applyAlignment="0">
      <alignment horizontal="right"/>
    </xf>
    <xf numFmtId="0" fontId="6" fillId="8" borderId="0" applyNumberFormat="0" applyAlignment="0"/>
    <xf numFmtId="169" fontId="16" fillId="0" borderId="0"/>
    <xf numFmtId="0" fontId="17" fillId="0" borderId="0">
      <alignment horizontal="center" wrapText="1"/>
    </xf>
    <xf numFmtId="9" fontId="6" fillId="0" borderId="0" applyFont="0" applyFill="0" applyBorder="0" applyAlignment="0" applyProtection="0"/>
    <xf numFmtId="0" fontId="21" fillId="0" borderId="0"/>
    <xf numFmtId="9" fontId="21" fillId="0" borderId="0" applyFont="0" applyFill="0" applyBorder="0" applyAlignment="0" applyProtection="0"/>
    <xf numFmtId="43" fontId="21" fillId="0" borderId="0" applyFont="0" applyFill="0" applyBorder="0" applyAlignment="0" applyProtection="0"/>
    <xf numFmtId="0" fontId="6" fillId="0" borderId="0">
      <alignment readingOrder="1"/>
    </xf>
    <xf numFmtId="43" fontId="6" fillId="0" borderId="0" applyFont="0" applyFill="0" applyBorder="0" applyAlignment="0" applyProtection="0"/>
    <xf numFmtId="0" fontId="6" fillId="0" borderId="0">
      <alignment readingOrder="1"/>
    </xf>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4" borderId="0" applyNumberFormat="0" applyBorder="0" applyAlignment="0" applyProtection="0"/>
    <xf numFmtId="0" fontId="26" fillId="18" borderId="0" applyNumberFormat="0" applyBorder="0" applyAlignment="0" applyProtection="0"/>
    <xf numFmtId="0" fontId="27" fillId="35" borderId="25" applyNumberFormat="0" applyAlignment="0" applyProtection="0"/>
    <xf numFmtId="0" fontId="28" fillId="36" borderId="26"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29" fillId="0" borderId="0" applyNumberFormat="0" applyFill="0" applyBorder="0" applyAlignment="0" applyProtection="0"/>
    <xf numFmtId="0" fontId="30" fillId="19" borderId="0" applyNumberFormat="0" applyBorder="0" applyAlignment="0" applyProtection="0"/>
    <xf numFmtId="0" fontId="31" fillId="0" borderId="27"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3" fillId="0" borderId="2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6" fillId="22" borderId="25" applyNumberFormat="0" applyAlignment="0" applyProtection="0"/>
    <xf numFmtId="0" fontId="37" fillId="0" borderId="30" applyNumberFormat="0" applyFill="0" applyAlignment="0" applyProtection="0"/>
    <xf numFmtId="0" fontId="38" fillId="37" borderId="0" applyNumberFormat="0" applyBorder="0" applyAlignment="0" applyProtection="0"/>
    <xf numFmtId="0" fontId="24" fillId="0" borderId="0"/>
    <xf numFmtId="0" fontId="24" fillId="0" borderId="0"/>
    <xf numFmtId="0" fontId="24" fillId="0" borderId="0"/>
    <xf numFmtId="0" fontId="6" fillId="0" borderId="0"/>
    <xf numFmtId="0" fontId="21" fillId="0" borderId="0"/>
    <xf numFmtId="0" fontId="21" fillId="0" borderId="0"/>
    <xf numFmtId="0" fontId="6" fillId="0" borderId="0"/>
    <xf numFmtId="0" fontId="6" fillId="0" borderId="0"/>
    <xf numFmtId="0" fontId="6" fillId="0" borderId="0"/>
    <xf numFmtId="0" fontId="24" fillId="0" borderId="0"/>
    <xf numFmtId="0" fontId="24" fillId="0" borderId="0"/>
    <xf numFmtId="0" fontId="6" fillId="0" borderId="0">
      <alignment readingOrder="1"/>
    </xf>
    <xf numFmtId="0" fontId="6" fillId="0" borderId="0">
      <alignment readingOrder="1"/>
    </xf>
    <xf numFmtId="0" fontId="24" fillId="0" borderId="0"/>
    <xf numFmtId="0" fontId="6" fillId="0" borderId="0">
      <alignment readingOrder="1"/>
    </xf>
    <xf numFmtId="0" fontId="6" fillId="0" borderId="0"/>
    <xf numFmtId="0" fontId="6" fillId="0" borderId="0"/>
    <xf numFmtId="0" fontId="6" fillId="0" borderId="0"/>
    <xf numFmtId="0" fontId="6" fillId="0" borderId="0"/>
    <xf numFmtId="0" fontId="21" fillId="0" borderId="0"/>
    <xf numFmtId="0" fontId="24" fillId="0" borderId="0"/>
    <xf numFmtId="0" fontId="21" fillId="0" borderId="0"/>
    <xf numFmtId="0" fontId="24" fillId="0" borderId="0"/>
    <xf numFmtId="0" fontId="24" fillId="0" borderId="0"/>
    <xf numFmtId="0" fontId="39" fillId="0" borderId="0"/>
    <xf numFmtId="0" fontId="24" fillId="0" borderId="0"/>
    <xf numFmtId="0" fontId="24" fillId="0" borderId="0"/>
    <xf numFmtId="0" fontId="24" fillId="0" borderId="0"/>
    <xf numFmtId="0" fontId="24" fillId="0" borderId="0"/>
    <xf numFmtId="0" fontId="6" fillId="0" borderId="0">
      <alignment readingOrder="1"/>
    </xf>
    <xf numFmtId="0" fontId="6" fillId="0" borderId="0">
      <alignment readingOrder="1"/>
    </xf>
    <xf numFmtId="0" fontId="24" fillId="38" borderId="31" applyNumberFormat="0" applyFont="0" applyAlignment="0" applyProtection="0"/>
    <xf numFmtId="0" fontId="24" fillId="38" borderId="31" applyNumberFormat="0" applyFont="0" applyAlignment="0" applyProtection="0"/>
    <xf numFmtId="0" fontId="40" fillId="35" borderId="32" applyNumberFormat="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41" fillId="0" borderId="0" applyNumberFormat="0" applyFill="0" applyBorder="0" applyAlignment="0" applyProtection="0"/>
    <xf numFmtId="0" fontId="42" fillId="0" borderId="33" applyNumberFormat="0" applyFill="0" applyAlignment="0" applyProtection="0"/>
    <xf numFmtId="0" fontId="43" fillId="0" borderId="0" applyNumberFormat="0" applyFill="0" applyBorder="0" applyAlignment="0" applyProtection="0"/>
    <xf numFmtId="0" fontId="6" fillId="0" borderId="0"/>
    <xf numFmtId="0" fontId="6" fillId="0" borderId="0"/>
    <xf numFmtId="0" fontId="22" fillId="0" borderId="0" applyNumberFormat="0" applyFill="0" applyBorder="0" applyAlignment="0" applyProtection="0">
      <alignment readingOrder="1"/>
    </xf>
    <xf numFmtId="0" fontId="6" fillId="0" borderId="0">
      <alignment readingOrder="1"/>
    </xf>
    <xf numFmtId="0" fontId="4" fillId="0" borderId="0"/>
    <xf numFmtId="0" fontId="24" fillId="43" borderId="0" applyNumberFormat="0" applyBorder="0" applyAlignment="0" applyProtection="0"/>
    <xf numFmtId="0" fontId="24" fillId="4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69" fillId="22"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69" fillId="23"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18" borderId="0" applyNumberFormat="0" applyBorder="0" applyAlignment="0" applyProtection="0"/>
    <xf numFmtId="0" fontId="25" fillId="24" borderId="0" applyNumberFormat="0" applyBorder="0" applyAlignment="0" applyProtection="0"/>
    <xf numFmtId="0" fontId="25" fillId="18" borderId="0" applyNumberFormat="0" applyBorder="0" applyAlignment="0" applyProtection="0"/>
    <xf numFmtId="0" fontId="25" fillId="17"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29"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11" fillId="48" borderId="0" applyNumberFormat="0" applyBorder="0" applyAlignment="0" applyProtection="0"/>
    <xf numFmtId="0" fontId="11" fillId="49" borderId="0" applyNumberFormat="0" applyBorder="0" applyAlignment="0" applyProtection="0"/>
    <xf numFmtId="0" fontId="13" fillId="49" borderId="0" applyNumberFormat="0" applyBorder="0" applyAlignment="0" applyProtection="0"/>
    <xf numFmtId="0" fontId="25" fillId="50"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3" fillId="52" borderId="0" applyNumberFormat="0" applyBorder="0" applyAlignment="0" applyProtection="0"/>
    <xf numFmtId="0" fontId="25" fillId="18" borderId="0" applyNumberFormat="0" applyBorder="0" applyAlignment="0" applyProtection="0"/>
    <xf numFmtId="0" fontId="25" fillId="17"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3" fillId="54"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11" fillId="56" borderId="0" applyNumberFormat="0" applyBorder="0" applyAlignment="0" applyProtection="0"/>
    <xf numFmtId="0" fontId="11" fillId="46" borderId="0" applyNumberFormat="0" applyBorder="0" applyAlignment="0" applyProtection="0"/>
    <xf numFmtId="0" fontId="13" fillId="57" borderId="0" applyNumberFormat="0" applyBorder="0" applyAlignment="0" applyProtection="0"/>
    <xf numFmtId="0" fontId="25" fillId="29"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3" fillId="60" borderId="0" applyNumberFormat="0" applyBorder="0" applyAlignment="0" applyProtection="0"/>
    <xf numFmtId="0" fontId="25" fillId="24" borderId="0" applyNumberFormat="0" applyBorder="0" applyAlignment="0" applyProtection="0"/>
    <xf numFmtId="0" fontId="26" fillId="20" borderId="0" applyNumberFormat="0" applyBorder="0" applyAlignment="0" applyProtection="0"/>
    <xf numFmtId="0" fontId="70" fillId="18" borderId="0" applyNumberFormat="0" applyBorder="0" applyAlignment="0" applyProtection="0"/>
    <xf numFmtId="0" fontId="27" fillId="43" borderId="25" applyNumberFormat="0" applyAlignment="0" applyProtection="0"/>
    <xf numFmtId="0" fontId="27" fillId="43" borderId="25" applyNumberFormat="0" applyAlignment="0" applyProtection="0"/>
    <xf numFmtId="0" fontId="28" fillId="36" borderId="26" applyNumberFormat="0" applyAlignment="0" applyProtection="0"/>
    <xf numFmtId="41" fontId="7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8" borderId="0" applyNumberFormat="0" applyAlignment="0"/>
    <xf numFmtId="0" fontId="6" fillId="8" borderId="0" applyNumberFormat="0" applyAlignment="0"/>
    <xf numFmtId="0" fontId="6" fillId="8" borderId="0" applyNumberFormat="0" applyAlignment="0"/>
    <xf numFmtId="0" fontId="72" fillId="61" borderId="0" applyNumberFormat="0" applyBorder="0" applyAlignment="0" applyProtection="0"/>
    <xf numFmtId="0" fontId="72" fillId="62" borderId="0" applyNumberFormat="0" applyBorder="0" applyAlignment="0" applyProtection="0"/>
    <xf numFmtId="0" fontId="72" fillId="63" borderId="0" applyNumberFormat="0" applyBorder="0" applyAlignment="0" applyProtection="0"/>
    <xf numFmtId="0" fontId="29" fillId="0" borderId="0" applyNumberFormat="0" applyFill="0" applyBorder="0" applyAlignment="0" applyProtection="0"/>
    <xf numFmtId="0" fontId="30" fillId="19" borderId="0" applyNumberFormat="0" applyBorder="0" applyAlignment="0" applyProtection="0"/>
    <xf numFmtId="0" fontId="73" fillId="0" borderId="48" applyNumberFormat="0" applyFill="0" applyAlignment="0" applyProtection="0"/>
    <xf numFmtId="0" fontId="73" fillId="0" borderId="48" applyNumberFormat="0" applyFill="0" applyAlignment="0" applyProtection="0"/>
    <xf numFmtId="0" fontId="32" fillId="0" borderId="28" applyNumberFormat="0" applyFill="0" applyAlignment="0" applyProtection="0"/>
    <xf numFmtId="0" fontId="74" fillId="0" borderId="28" applyNumberFormat="0" applyFill="0" applyAlignment="0" applyProtection="0"/>
    <xf numFmtId="0" fontId="75" fillId="0" borderId="49" applyNumberFormat="0" applyFill="0" applyAlignment="0" applyProtection="0"/>
    <xf numFmtId="0" fontId="75" fillId="0" borderId="49"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6" fillId="22" borderId="25" applyNumberFormat="0" applyAlignment="0" applyProtection="0"/>
    <xf numFmtId="0" fontId="37" fillId="0" borderId="30" applyNumberFormat="0" applyFill="0" applyAlignment="0" applyProtection="0"/>
    <xf numFmtId="0" fontId="38" fillId="38" borderId="0" applyNumberFormat="0" applyBorder="0" applyAlignment="0" applyProtection="0"/>
    <xf numFmtId="0" fontId="6" fillId="0" borderId="0"/>
    <xf numFmtId="0" fontId="6" fillId="0" borderId="0">
      <alignment readingOrder="1"/>
    </xf>
    <xf numFmtId="0" fontId="2" fillId="0" borderId="0"/>
    <xf numFmtId="0" fontId="21" fillId="0" borderId="0"/>
    <xf numFmtId="0" fontId="2" fillId="0" borderId="0"/>
    <xf numFmtId="0" fontId="2"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6" fillId="0" borderId="0">
      <alignment readingOrder="1"/>
    </xf>
    <xf numFmtId="0" fontId="21" fillId="0" borderId="0"/>
    <xf numFmtId="0" fontId="6" fillId="0" borderId="0"/>
    <xf numFmtId="0" fontId="6" fillId="0" borderId="0"/>
    <xf numFmtId="0" fontId="6" fillId="0" borderId="0">
      <alignment readingOrder="1"/>
    </xf>
    <xf numFmtId="0" fontId="6" fillId="0" borderId="0"/>
    <xf numFmtId="0" fontId="21" fillId="0" borderId="0"/>
    <xf numFmtId="0" fontId="21" fillId="0" borderId="0"/>
    <xf numFmtId="0" fontId="21" fillId="0" borderId="0"/>
    <xf numFmtId="0" fontId="21" fillId="0" borderId="0"/>
    <xf numFmtId="0" fontId="6" fillId="0" borderId="0">
      <alignment readingOrder="1"/>
    </xf>
    <xf numFmtId="0" fontId="21" fillId="0" borderId="0"/>
    <xf numFmtId="0" fontId="21" fillId="0" borderId="0"/>
    <xf numFmtId="0" fontId="6" fillId="0" borderId="0">
      <alignment readingOrder="1"/>
    </xf>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xf numFmtId="0" fontId="24" fillId="0" borderId="0"/>
    <xf numFmtId="0" fontId="47" fillId="0" borderId="0"/>
    <xf numFmtId="0" fontId="79" fillId="0" borderId="0"/>
    <xf numFmtId="0" fontId="79" fillId="0" borderId="0"/>
    <xf numFmtId="0" fontId="79" fillId="0" borderId="0"/>
    <xf numFmtId="0" fontId="6" fillId="0" borderId="0"/>
    <xf numFmtId="0" fontId="6" fillId="0" borderId="0"/>
    <xf numFmtId="0" fontId="6" fillId="0" borderId="0"/>
    <xf numFmtId="0" fontId="79" fillId="0" borderId="0"/>
    <xf numFmtId="0" fontId="79" fillId="0" borderId="0"/>
    <xf numFmtId="0" fontId="79" fillId="0" borderId="0"/>
    <xf numFmtId="0" fontId="6" fillId="0" borderId="0"/>
    <xf numFmtId="0" fontId="6" fillId="0" borderId="0">
      <alignment readingOrder="1"/>
    </xf>
    <xf numFmtId="0" fontId="6" fillId="0" borderId="0"/>
    <xf numFmtId="0" fontId="6" fillId="0" borderId="0"/>
    <xf numFmtId="0" fontId="2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pplyNumberFormat="0" applyFill="0" applyBorder="0" applyAlignment="0" applyProtection="0"/>
    <xf numFmtId="0" fontId="21" fillId="0" borderId="0"/>
    <xf numFmtId="0" fontId="21" fillId="0" borderId="0"/>
    <xf numFmtId="0" fontId="71" fillId="0" borderId="0"/>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xf numFmtId="0" fontId="21" fillId="0" borderId="0"/>
    <xf numFmtId="0" fontId="21" fillId="0" borderId="0"/>
    <xf numFmtId="0" fontId="6" fillId="0" borderId="0"/>
    <xf numFmtId="0" fontId="21" fillId="0" borderId="0"/>
    <xf numFmtId="0" fontId="6" fillId="0" borderId="0">
      <alignment readingOrder="1"/>
    </xf>
    <xf numFmtId="0" fontId="6" fillId="38" borderId="31" applyNumberFormat="0" applyFont="0" applyAlignment="0" applyProtection="0"/>
    <xf numFmtId="0" fontId="24" fillId="38" borderId="31" applyNumberFormat="0" applyFont="0" applyAlignment="0" applyProtection="0"/>
    <xf numFmtId="0" fontId="80" fillId="37" borderId="31" applyNumberFormat="0" applyFont="0" applyAlignment="0" applyProtection="0"/>
    <xf numFmtId="0" fontId="40" fillId="43" borderId="32" applyNumberFormat="0" applyAlignment="0" applyProtection="0"/>
    <xf numFmtId="0" fontId="40" fillId="43" borderId="3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41" fillId="0" borderId="0" applyNumberFormat="0" applyFill="0" applyBorder="0" applyAlignment="0" applyProtection="0"/>
    <xf numFmtId="0" fontId="81" fillId="0" borderId="0"/>
    <xf numFmtId="0" fontId="81" fillId="0" borderId="0"/>
    <xf numFmtId="176" fontId="6" fillId="0" borderId="0" applyFill="0" applyBorder="0" applyAlignment="0" applyProtection="0">
      <alignment wrapText="1"/>
    </xf>
    <xf numFmtId="0" fontId="82" fillId="0" borderId="0" applyNumberFormat="0" applyFill="0" applyBorder="0" applyAlignment="0" applyProtection="0"/>
    <xf numFmtId="0" fontId="82" fillId="0" borderId="0" applyNumberFormat="0" applyFill="0" applyBorder="0" applyAlignment="0" applyProtection="0"/>
    <xf numFmtId="0" fontId="42" fillId="0" borderId="50" applyNumberFormat="0" applyFill="0" applyAlignment="0" applyProtection="0"/>
    <xf numFmtId="0" fontId="42" fillId="0" borderId="50" applyNumberFormat="0" applyFill="0" applyAlignment="0" applyProtection="0"/>
    <xf numFmtId="0" fontId="43" fillId="0" borderId="0" applyNumberFormat="0" applyFill="0" applyBorder="0" applyAlignment="0" applyProtection="0"/>
    <xf numFmtId="0" fontId="83" fillId="0" borderId="0">
      <alignment vertical="center"/>
    </xf>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8" borderId="0" applyNumberFormat="0" applyBorder="0" applyAlignment="0" applyProtection="0"/>
    <xf numFmtId="0" fontId="21" fillId="78" borderId="0" applyNumberFormat="0" applyBorder="0" applyAlignment="0" applyProtection="0"/>
    <xf numFmtId="0" fontId="21" fillId="78" borderId="0" applyNumberFormat="0" applyBorder="0" applyAlignment="0" applyProtection="0"/>
    <xf numFmtId="0" fontId="21" fillId="78" borderId="0" applyNumberFormat="0" applyBorder="0" applyAlignment="0" applyProtection="0"/>
    <xf numFmtId="0" fontId="21" fillId="78" borderId="0" applyNumberFormat="0" applyBorder="0" applyAlignment="0" applyProtection="0"/>
    <xf numFmtId="0" fontId="21" fillId="80" borderId="0" applyNumberFormat="0" applyBorder="0" applyAlignment="0" applyProtection="0"/>
    <xf numFmtId="0" fontId="21" fillId="80" borderId="0" applyNumberFormat="0" applyBorder="0" applyAlignment="0" applyProtection="0"/>
    <xf numFmtId="0" fontId="21" fillId="80" borderId="0" applyNumberFormat="0" applyBorder="0" applyAlignment="0" applyProtection="0"/>
    <xf numFmtId="0" fontId="21" fillId="80" borderId="0" applyNumberFormat="0" applyBorder="0" applyAlignment="0" applyProtection="0"/>
    <xf numFmtId="0" fontId="21" fillId="8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7" borderId="0" applyNumberFormat="0" applyBorder="0" applyAlignment="0" applyProtection="0"/>
    <xf numFmtId="0" fontId="21" fillId="77" borderId="0" applyNumberFormat="0" applyBorder="0" applyAlignment="0" applyProtection="0"/>
    <xf numFmtId="0" fontId="21" fillId="77" borderId="0" applyNumberFormat="0" applyBorder="0" applyAlignment="0" applyProtection="0"/>
    <xf numFmtId="0" fontId="21" fillId="77" borderId="0" applyNumberFormat="0" applyBorder="0" applyAlignment="0" applyProtection="0"/>
    <xf numFmtId="0" fontId="21" fillId="79" borderId="0" applyNumberFormat="0" applyBorder="0" applyAlignment="0" applyProtection="0"/>
    <xf numFmtId="0" fontId="21" fillId="79" borderId="0" applyNumberFormat="0" applyBorder="0" applyAlignment="0" applyProtection="0"/>
    <xf numFmtId="0" fontId="21" fillId="79" borderId="0" applyNumberFormat="0" applyBorder="0" applyAlignment="0" applyProtection="0"/>
    <xf numFmtId="0" fontId="21" fillId="79" borderId="0" applyNumberFormat="0" applyBorder="0" applyAlignment="0" applyProtection="0"/>
    <xf numFmtId="0" fontId="21" fillId="79"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8" borderId="0" applyNumberFormat="0" applyAlignment="0"/>
    <xf numFmtId="0" fontId="34" fillId="0" borderId="0" applyNumberFormat="0" applyFill="0" applyBorder="0" applyAlignment="0" applyProtection="0">
      <alignment vertical="top"/>
      <protection locked="0"/>
    </xf>
    <xf numFmtId="0" fontId="24" fillId="0" borderId="0"/>
    <xf numFmtId="0" fontId="24" fillId="0" borderId="0"/>
    <xf numFmtId="0" fontId="21" fillId="0" borderId="0"/>
    <xf numFmtId="0" fontId="21" fillId="0" borderId="0"/>
    <xf numFmtId="0" fontId="21" fillId="0" borderId="0"/>
    <xf numFmtId="0" fontId="21" fillId="0" borderId="0"/>
    <xf numFmtId="0" fontId="6" fillId="0" borderId="0">
      <alignment readingOrder="1"/>
    </xf>
    <xf numFmtId="0" fontId="21" fillId="0" borderId="0"/>
    <xf numFmtId="0" fontId="6" fillId="0" borderId="0"/>
    <xf numFmtId="0" fontId="6" fillId="0" borderId="0"/>
    <xf numFmtId="0" fontId="21" fillId="0" borderId="0"/>
    <xf numFmtId="0" fontId="24" fillId="0" borderId="0"/>
    <xf numFmtId="0" fontId="24" fillId="0" borderId="0"/>
    <xf numFmtId="0" fontId="24" fillId="0" borderId="0"/>
    <xf numFmtId="0" fontId="21" fillId="0" borderId="0"/>
    <xf numFmtId="0" fontId="21" fillId="0" borderId="0"/>
    <xf numFmtId="0" fontId="6" fillId="0" borderId="0"/>
    <xf numFmtId="0" fontId="6" fillId="0" borderId="0"/>
    <xf numFmtId="0" fontId="24" fillId="0" borderId="0"/>
    <xf numFmtId="0" fontId="21" fillId="0" borderId="0"/>
    <xf numFmtId="0" fontId="21" fillId="0" borderId="0"/>
    <xf numFmtId="0" fontId="2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4" fillId="0" borderId="0"/>
    <xf numFmtId="0" fontId="1" fillId="0" borderId="0"/>
    <xf numFmtId="0" fontId="21" fillId="0" borderId="0"/>
    <xf numFmtId="0" fontId="21" fillId="0" borderId="0"/>
    <xf numFmtId="0" fontId="21" fillId="0" borderId="0"/>
    <xf numFmtId="0" fontId="39" fillId="0" borderId="0"/>
    <xf numFmtId="0" fontId="24" fillId="0" borderId="0"/>
    <xf numFmtId="0" fontId="24" fillId="0" borderId="0"/>
    <xf numFmtId="0" fontId="24" fillId="0" borderId="0"/>
    <xf numFmtId="0" fontId="24" fillId="0" borderId="0"/>
    <xf numFmtId="0" fontId="21" fillId="69" borderId="53" applyNumberFormat="0" applyFont="0" applyAlignment="0" applyProtection="0"/>
    <xf numFmtId="0" fontId="21" fillId="69" borderId="53" applyNumberFormat="0" applyFont="0" applyAlignment="0" applyProtection="0"/>
    <xf numFmtId="0" fontId="21" fillId="69" borderId="53" applyNumberFormat="0" applyFont="0" applyAlignment="0" applyProtection="0"/>
    <xf numFmtId="0" fontId="21" fillId="69" borderId="53" applyNumberFormat="0" applyFont="0" applyAlignment="0" applyProtection="0"/>
    <xf numFmtId="0" fontId="21" fillId="69" borderId="53" applyNumberFormat="0" applyFont="0" applyAlignment="0" applyProtection="0"/>
    <xf numFmtId="0" fontId="21" fillId="69" borderId="53"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cellStyleXfs>
  <cellXfs count="658">
    <xf numFmtId="0" fontId="0" fillId="0" borderId="0" xfId="0"/>
    <xf numFmtId="0" fontId="5" fillId="0" borderId="0" xfId="2" applyFont="1"/>
    <xf numFmtId="0" fontId="7" fillId="0" borderId="0" xfId="3" applyFont="1"/>
    <xf numFmtId="0" fontId="6" fillId="0" borderId="0" xfId="2" applyFont="1"/>
    <xf numFmtId="5" fontId="6" fillId="0" borderId="0" xfId="2" applyNumberFormat="1" applyFont="1"/>
    <xf numFmtId="164" fontId="6" fillId="0" borderId="0" xfId="2" applyNumberFormat="1" applyFont="1"/>
    <xf numFmtId="164" fontId="7" fillId="0" borderId="0" xfId="2" applyNumberFormat="1" applyFont="1"/>
    <xf numFmtId="0" fontId="6" fillId="0" borderId="0" xfId="2" applyFont="1" applyFill="1"/>
    <xf numFmtId="165" fontId="6" fillId="0" borderId="0" xfId="2" applyNumberFormat="1" applyFont="1"/>
    <xf numFmtId="0" fontId="0" fillId="0" borderId="0" xfId="0">
      <alignment readingOrder="1"/>
    </xf>
    <xf numFmtId="0" fontId="5"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6" fillId="0" borderId="0" xfId="2" applyFont="1" applyAlignment="1">
      <alignment horizontal="center"/>
    </xf>
    <xf numFmtId="0" fontId="8" fillId="2" borderId="1" xfId="2" applyFont="1" applyFill="1" applyBorder="1" applyAlignment="1">
      <alignment horizontal="centerContinuous"/>
    </xf>
    <xf numFmtId="0" fontId="9" fillId="2" borderId="1" xfId="2" applyFont="1" applyFill="1" applyBorder="1" applyAlignment="1">
      <alignment horizontal="centerContinuous"/>
    </xf>
    <xf numFmtId="0" fontId="9" fillId="2" borderId="2" xfId="2" applyFont="1" applyFill="1" applyBorder="1" applyAlignment="1">
      <alignment horizontal="centerContinuous"/>
    </xf>
    <xf numFmtId="0" fontId="10" fillId="2" borderId="3"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6" fillId="0" borderId="0" xfId="2" applyFont="1" applyFill="1" applyBorder="1"/>
    <xf numFmtId="0" fontId="11" fillId="5" borderId="5" xfId="2" applyFont="1" applyFill="1" applyBorder="1" applyAlignment="1">
      <alignment horizontal="center" wrapText="1"/>
    </xf>
    <xf numFmtId="0" fontId="11" fillId="5" borderId="5" xfId="0" applyFont="1" applyFill="1" applyBorder="1" applyAlignment="1">
      <alignment horizontal="center" wrapText="1"/>
    </xf>
    <xf numFmtId="0" fontId="11" fillId="0" borderId="0" xfId="2" applyFont="1" applyFill="1" applyBorder="1" applyAlignment="1">
      <alignment horizontal="center" wrapText="1"/>
    </xf>
    <xf numFmtId="0" fontId="6" fillId="6" borderId="0" xfId="4" applyFont="1" applyFill="1" applyBorder="1" applyAlignment="1">
      <alignment wrapText="1"/>
    </xf>
    <xf numFmtId="1" fontId="6" fillId="6" borderId="0" xfId="4" applyNumberFormat="1" applyFont="1" applyFill="1" applyBorder="1" applyAlignment="1">
      <alignment wrapText="1"/>
    </xf>
    <xf numFmtId="168" fontId="6" fillId="6" borderId="0" xfId="1" applyNumberFormat="1" applyFont="1" applyFill="1" applyBorder="1" applyAlignment="1">
      <alignment wrapText="1"/>
    </xf>
    <xf numFmtId="2" fontId="6" fillId="6" borderId="0" xfId="4" applyNumberFormat="1" applyFont="1" applyFill="1" applyBorder="1" applyAlignment="1">
      <alignment wrapText="1"/>
    </xf>
    <xf numFmtId="0" fontId="0" fillId="0" borderId="0" xfId="0" applyFill="1" applyBorder="1">
      <alignment readingOrder="1"/>
    </xf>
    <xf numFmtId="164" fontId="10" fillId="0" borderId="0" xfId="0" applyNumberFormat="1" applyFont="1" applyFill="1" applyBorder="1">
      <alignment readingOrder="1"/>
    </xf>
    <xf numFmtId="2" fontId="0" fillId="0" borderId="0" xfId="0" applyNumberFormat="1" applyFill="1" applyBorder="1">
      <alignment readingOrder="1"/>
    </xf>
    <xf numFmtId="0" fontId="13" fillId="0" borderId="0" xfId="0" applyFont="1" applyFill="1" applyBorder="1" applyAlignment="1">
      <alignment horizontal="center" wrapText="1" readingOrder="1"/>
    </xf>
    <xf numFmtId="0" fontId="13" fillId="7" borderId="6" xfId="0" applyFont="1" applyFill="1" applyBorder="1" applyAlignment="1">
      <alignment horizontal="left" readingOrder="1"/>
    </xf>
    <xf numFmtId="0" fontId="13" fillId="7" borderId="7" xfId="0" applyFont="1" applyFill="1" applyBorder="1" applyAlignment="1">
      <alignment horizontal="center" wrapText="1" readingOrder="1"/>
    </xf>
    <xf numFmtId="164" fontId="0" fillId="0" borderId="0" xfId="0" applyNumberFormat="1">
      <alignment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0" fillId="0" borderId="0" xfId="0" applyNumberFormat="1" applyFont="1">
      <alignment readingOrder="1"/>
    </xf>
    <xf numFmtId="164" fontId="11" fillId="9" borderId="8" xfId="0" applyNumberFormat="1" applyFont="1" applyFill="1" applyBorder="1" applyAlignment="1">
      <alignment horizontal="centerContinuous" wrapText="1" readingOrder="1"/>
    </xf>
    <xf numFmtId="1" fontId="0" fillId="0" borderId="0" xfId="0" applyNumberFormat="1">
      <alignment readingOrder="1"/>
    </xf>
    <xf numFmtId="0" fontId="11" fillId="9" borderId="7" xfId="0" applyFont="1" applyFill="1" applyBorder="1" applyAlignment="1">
      <alignment horizontal="center" wrapText="1" readingOrder="1"/>
    </xf>
    <xf numFmtId="164" fontId="11" fillId="9" borderId="7" xfId="0" applyNumberFormat="1" applyFont="1" applyFill="1" applyBorder="1" applyAlignment="1">
      <alignment horizontal="center" wrapText="1" readingOrder="1"/>
    </xf>
    <xf numFmtId="164" fontId="11" fillId="9" borderId="9" xfId="0" applyNumberFormat="1" applyFont="1" applyFill="1" applyBorder="1" applyAlignment="1">
      <alignment horizontal="centerContinuous" wrapText="1" readingOrder="1"/>
    </xf>
    <xf numFmtId="164" fontId="11"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0" fontId="12" fillId="0" borderId="0" xfId="0" applyFont="1">
      <alignment readingOrder="1"/>
    </xf>
    <xf numFmtId="49" fontId="0" fillId="0" borderId="0" xfId="0" applyNumberFormat="1">
      <alignment readingOrder="1"/>
    </xf>
    <xf numFmtId="9" fontId="12" fillId="0" borderId="0" xfId="0" applyNumberFormat="1" applyFont="1">
      <alignment readingOrder="1"/>
    </xf>
    <xf numFmtId="0" fontId="0" fillId="5" borderId="0" xfId="0" applyFill="1">
      <alignment readingOrder="1"/>
    </xf>
    <xf numFmtId="1" fontId="12"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1" fontId="0" fillId="0" borderId="0" xfId="0" applyNumberFormat="1">
      <alignment readingOrder="1"/>
    </xf>
    <xf numFmtId="1" fontId="0" fillId="0" borderId="0" xfId="0" applyNumberFormat="1" applyFont="1">
      <alignment readingOrder="1"/>
    </xf>
    <xf numFmtId="0" fontId="0" fillId="13" borderId="0" xfId="0" applyFill="1">
      <alignment readingOrder="1"/>
    </xf>
    <xf numFmtId="0" fontId="0" fillId="0" borderId="0" xfId="0" quotePrefix="1" applyFill="1">
      <alignment readingOrder="1"/>
    </xf>
    <xf numFmtId="0" fontId="20" fillId="6" borderId="5" xfId="0" applyFont="1" applyFill="1" applyBorder="1"/>
    <xf numFmtId="9" fontId="6" fillId="14" borderId="0" xfId="9" applyFill="1" applyAlignment="1">
      <alignment horizontal="center" readingOrder="1"/>
    </xf>
    <xf numFmtId="1" fontId="0" fillId="11" borderId="0" xfId="0" applyNumberFormat="1" applyFill="1" applyAlignment="1">
      <alignment horizontal="center" readingOrder="1"/>
    </xf>
    <xf numFmtId="0" fontId="20" fillId="15" borderId="1" xfId="0" applyFont="1" applyFill="1" applyBorder="1"/>
    <xf numFmtId="0" fontId="20" fillId="15" borderId="4" xfId="0" applyFont="1" applyFill="1" applyBorder="1"/>
    <xf numFmtId="0" fontId="20" fillId="15" borderId="3" xfId="0" applyFont="1" applyFill="1" applyBorder="1"/>
    <xf numFmtId="0" fontId="20" fillId="15" borderId="11" xfId="0" applyFont="1" applyFill="1" applyBorder="1"/>
    <xf numFmtId="0" fontId="20" fillId="15" borderId="12" xfId="0" applyFont="1" applyFill="1" applyBorder="1"/>
    <xf numFmtId="0" fontId="20" fillId="15" borderId="13" xfId="0" applyFont="1" applyFill="1" applyBorder="1"/>
    <xf numFmtId="0" fontId="20" fillId="15" borderId="5" xfId="0" applyFont="1" applyFill="1" applyBorder="1"/>
    <xf numFmtId="0" fontId="20" fillId="14" borderId="5" xfId="0" applyFont="1" applyFill="1" applyBorder="1"/>
    <xf numFmtId="164" fontId="20" fillId="14" borderId="5" xfId="0" applyNumberFormat="1" applyFont="1" applyFill="1" applyBorder="1"/>
    <xf numFmtId="164" fontId="0" fillId="16" borderId="0" xfId="0" applyNumberFormat="1" applyFill="1" applyAlignment="1">
      <alignment horizontal="center" readingOrder="1"/>
    </xf>
    <xf numFmtId="9" fontId="20" fillId="15" borderId="5" xfId="9" applyFont="1" applyFill="1" applyBorder="1"/>
    <xf numFmtId="1" fontId="0" fillId="14" borderId="0" xfId="0" applyNumberFormat="1" applyFill="1" applyAlignment="1">
      <alignment horizontal="center" readingOrder="1"/>
    </xf>
    <xf numFmtId="164" fontId="0" fillId="11" borderId="0" xfId="0" applyNumberFormat="1" applyFill="1" applyAlignment="1">
      <alignment horizontal="center" readingOrder="1"/>
    </xf>
    <xf numFmtId="0" fontId="10" fillId="2" borderId="7" xfId="2" applyFont="1" applyFill="1" applyBorder="1" applyAlignment="1">
      <alignment horizontal="centerContinuous"/>
    </xf>
    <xf numFmtId="0" fontId="11" fillId="5" borderId="11" xfId="2" applyFont="1" applyFill="1" applyBorder="1" applyAlignment="1">
      <alignment horizontal="center" wrapText="1"/>
    </xf>
    <xf numFmtId="0" fontId="11" fillId="5" borderId="17" xfId="2" applyFont="1" applyFill="1" applyBorder="1" applyAlignment="1">
      <alignment horizontal="center" wrapText="1"/>
    </xf>
    <xf numFmtId="0" fontId="11" fillId="5" borderId="17" xfId="0" applyFont="1" applyFill="1" applyBorder="1" applyAlignment="1">
      <alignment horizontal="center" wrapText="1"/>
    </xf>
    <xf numFmtId="1" fontId="6" fillId="0" borderId="0" xfId="4" applyNumberFormat="1" applyFont="1" applyBorder="1" applyAlignment="1">
      <alignment wrapText="1"/>
    </xf>
    <xf numFmtId="0" fontId="6" fillId="0" borderId="0" xfId="0" applyFont="1" applyBorder="1">
      <alignment readingOrder="1"/>
    </xf>
    <xf numFmtId="0" fontId="6" fillId="0" borderId="0" xfId="0" applyFont="1" applyAlignment="1">
      <alignment horizontal="center" readingOrder="1"/>
    </xf>
    <xf numFmtId="0" fontId="6" fillId="0" borderId="0" xfId="15">
      <alignment readingOrder="1"/>
    </xf>
    <xf numFmtId="9" fontId="0" fillId="0" borderId="0" xfId="9" applyFont="1">
      <alignment readingOrder="1"/>
    </xf>
    <xf numFmtId="9" fontId="6" fillId="0" borderId="0" xfId="15" applyNumberFormat="1">
      <alignment readingOrder="1"/>
    </xf>
    <xf numFmtId="0" fontId="12" fillId="10" borderId="0" xfId="15" applyFont="1" applyFill="1" applyAlignment="1">
      <alignment wrapText="1" readingOrder="1"/>
    </xf>
    <xf numFmtId="0" fontId="6" fillId="0" borderId="0" xfId="15" applyFill="1">
      <alignment readingOrder="1"/>
    </xf>
    <xf numFmtId="0" fontId="6" fillId="0" borderId="18" xfId="15" applyBorder="1">
      <alignment readingOrder="1"/>
    </xf>
    <xf numFmtId="1" fontId="6" fillId="0" borderId="19" xfId="15" applyNumberFormat="1" applyBorder="1">
      <alignment readingOrder="1"/>
    </xf>
    <xf numFmtId="1" fontId="6" fillId="0" borderId="0" xfId="15" applyNumberFormat="1">
      <alignment readingOrder="1"/>
    </xf>
    <xf numFmtId="0" fontId="6" fillId="0" borderId="20" xfId="15" applyBorder="1">
      <alignment readingOrder="1"/>
    </xf>
    <xf numFmtId="1" fontId="6" fillId="0" borderId="21" xfId="15" applyNumberFormat="1" applyBorder="1">
      <alignment readingOrder="1"/>
    </xf>
    <xf numFmtId="0" fontId="6" fillId="0" borderId="22" xfId="15" applyBorder="1">
      <alignment readingOrder="1"/>
    </xf>
    <xf numFmtId="1" fontId="6" fillId="0" borderId="23" xfId="15" applyNumberFormat="1" applyBorder="1">
      <alignment readingOrder="1"/>
    </xf>
    <xf numFmtId="0" fontId="6" fillId="0" borderId="1" xfId="15" applyBorder="1">
      <alignment readingOrder="1"/>
    </xf>
    <xf numFmtId="0" fontId="6" fillId="0" borderId="4" xfId="15" applyBorder="1">
      <alignment readingOrder="1"/>
    </xf>
    <xf numFmtId="0" fontId="6" fillId="0" borderId="4" xfId="15" applyBorder="1" applyAlignment="1">
      <alignment wrapText="1" readingOrder="1"/>
    </xf>
    <xf numFmtId="0" fontId="6" fillId="0" borderId="4" xfId="15" applyFill="1" applyBorder="1" applyAlignment="1">
      <alignment wrapText="1" readingOrder="1"/>
    </xf>
    <xf numFmtId="0" fontId="6" fillId="0" borderId="3" xfId="15" applyBorder="1" applyAlignment="1">
      <alignment wrapText="1" readingOrder="1"/>
    </xf>
    <xf numFmtId="0" fontId="6" fillId="0" borderId="14" xfId="15" applyBorder="1">
      <alignment readingOrder="1"/>
    </xf>
    <xf numFmtId="0" fontId="6" fillId="0" borderId="0" xfId="15" applyBorder="1">
      <alignment readingOrder="1"/>
    </xf>
    <xf numFmtId="0" fontId="6" fillId="0" borderId="15" xfId="15" applyBorder="1">
      <alignment readingOrder="1"/>
    </xf>
    <xf numFmtId="43" fontId="0" fillId="0" borderId="0" xfId="14" quotePrefix="1" applyFont="1" applyBorder="1" applyAlignment="1">
      <alignment horizontal="center" readingOrder="1"/>
    </xf>
    <xf numFmtId="43" fontId="0" fillId="0" borderId="15" xfId="14" applyFont="1" applyBorder="1">
      <alignment readingOrder="1"/>
    </xf>
    <xf numFmtId="9" fontId="6" fillId="0" borderId="0" xfId="15" applyNumberFormat="1" applyBorder="1">
      <alignment readingOrder="1"/>
    </xf>
    <xf numFmtId="9" fontId="6" fillId="0" borderId="15" xfId="15" applyNumberFormat="1" applyBorder="1">
      <alignment readingOrder="1"/>
    </xf>
    <xf numFmtId="173" fontId="0" fillId="0" borderId="0" xfId="14" applyNumberFormat="1" applyFont="1" applyBorder="1">
      <alignment readingOrder="1"/>
    </xf>
    <xf numFmtId="164" fontId="6" fillId="0" borderId="0" xfId="15" applyNumberFormat="1">
      <alignment readingOrder="1"/>
    </xf>
    <xf numFmtId="43" fontId="0" fillId="0" borderId="0" xfId="14" applyFont="1" applyBorder="1">
      <alignment readingOrder="1"/>
    </xf>
    <xf numFmtId="164" fontId="6" fillId="0" borderId="0" xfId="15" applyNumberFormat="1" applyBorder="1">
      <alignment readingOrder="1"/>
    </xf>
    <xf numFmtId="173" fontId="6" fillId="0" borderId="0" xfId="15" applyNumberFormat="1" applyBorder="1">
      <alignment readingOrder="1"/>
    </xf>
    <xf numFmtId="43" fontId="0" fillId="0" borderId="15" xfId="14" quotePrefix="1" applyFont="1" applyBorder="1" applyAlignment="1">
      <alignment horizontal="center" readingOrder="1"/>
    </xf>
    <xf numFmtId="173" fontId="0" fillId="0" borderId="0" xfId="14" quotePrefix="1" applyNumberFormat="1" applyFont="1" applyBorder="1" applyAlignment="1">
      <alignment horizontal="center" readingOrder="1"/>
    </xf>
    <xf numFmtId="9" fontId="0" fillId="0" borderId="0" xfId="9" applyFont="1" applyBorder="1">
      <alignment readingOrder="1"/>
    </xf>
    <xf numFmtId="173" fontId="0" fillId="0" borderId="0" xfId="14" applyNumberFormat="1" applyFont="1" applyFill="1" applyBorder="1">
      <alignment readingOrder="1"/>
    </xf>
    <xf numFmtId="164" fontId="6" fillId="0" borderId="0" xfId="15" applyNumberFormat="1" applyFill="1" applyBorder="1">
      <alignment readingOrder="1"/>
    </xf>
    <xf numFmtId="2" fontId="6" fillId="0" borderId="0" xfId="15" applyNumberFormat="1" applyBorder="1">
      <alignment readingOrder="1"/>
    </xf>
    <xf numFmtId="173" fontId="0" fillId="0" borderId="0" xfId="14" quotePrefix="1" applyNumberFormat="1" applyFont="1" applyFill="1" applyBorder="1" applyAlignment="1">
      <alignment horizontal="center" readingOrder="1"/>
    </xf>
    <xf numFmtId="9" fontId="0" fillId="0" borderId="15" xfId="9" applyFont="1" applyBorder="1">
      <alignment readingOrder="1"/>
    </xf>
    <xf numFmtId="0" fontId="6" fillId="0" borderId="11" xfId="15" applyBorder="1">
      <alignment readingOrder="1"/>
    </xf>
    <xf numFmtId="0" fontId="6" fillId="0" borderId="12" xfId="15" applyBorder="1">
      <alignment readingOrder="1"/>
    </xf>
    <xf numFmtId="173" fontId="0" fillId="0" borderId="12" xfId="14" applyNumberFormat="1" applyFont="1" applyBorder="1">
      <alignment readingOrder="1"/>
    </xf>
    <xf numFmtId="164" fontId="6" fillId="0" borderId="12" xfId="15" applyNumberFormat="1" applyBorder="1">
      <alignment readingOrder="1"/>
    </xf>
    <xf numFmtId="43" fontId="0" fillId="0" borderId="12" xfId="14" quotePrefix="1" applyFont="1" applyBorder="1" applyAlignment="1">
      <alignment horizontal="center" readingOrder="1"/>
    </xf>
    <xf numFmtId="43" fontId="0" fillId="0" borderId="13" xfId="14" quotePrefix="1" applyFont="1" applyBorder="1" applyAlignment="1">
      <alignment horizontal="center" readingOrder="1"/>
    </xf>
    <xf numFmtId="164" fontId="6" fillId="0" borderId="12" xfId="15" applyNumberFormat="1" applyFill="1" applyBorder="1">
      <alignment readingOrder="1"/>
    </xf>
    <xf numFmtId="0" fontId="6" fillId="0" borderId="2" xfId="15" applyBorder="1">
      <alignment readingOrder="1"/>
    </xf>
    <xf numFmtId="0" fontId="12" fillId="0" borderId="0" xfId="15" applyFont="1">
      <alignment readingOrder="1"/>
    </xf>
    <xf numFmtId="0" fontId="12" fillId="0" borderId="5" xfId="15" applyFont="1" applyBorder="1">
      <alignment readingOrder="1"/>
    </xf>
    <xf numFmtId="0" fontId="6" fillId="0" borderId="6" xfId="15" applyBorder="1">
      <alignment readingOrder="1"/>
    </xf>
    <xf numFmtId="0" fontId="6" fillId="0" borderId="16" xfId="15" applyBorder="1">
      <alignment readingOrder="1"/>
    </xf>
    <xf numFmtId="0" fontId="6" fillId="0" borderId="7" xfId="15" applyBorder="1" applyAlignment="1">
      <alignment wrapText="1" readingOrder="1"/>
    </xf>
    <xf numFmtId="0" fontId="6" fillId="0" borderId="13" xfId="15" applyBorder="1">
      <alignment readingOrder="1"/>
    </xf>
    <xf numFmtId="0" fontId="6" fillId="0" borderId="17" xfId="15" applyBorder="1">
      <alignment readingOrder="1"/>
    </xf>
    <xf numFmtId="0" fontId="12" fillId="0" borderId="5" xfId="15" applyFont="1" applyBorder="1" applyAlignment="1">
      <alignment horizontal="center" wrapText="1" readingOrder="1"/>
    </xf>
    <xf numFmtId="0" fontId="6" fillId="0" borderId="3" xfId="15" applyBorder="1">
      <alignment readingOrder="1"/>
    </xf>
    <xf numFmtId="43" fontId="6" fillId="0" borderId="14" xfId="15" applyNumberFormat="1" applyBorder="1">
      <alignment readingOrder="1"/>
    </xf>
    <xf numFmtId="43" fontId="6" fillId="0" borderId="15" xfId="15" applyNumberFormat="1" applyBorder="1">
      <alignment readingOrder="1"/>
    </xf>
    <xf numFmtId="43" fontId="6" fillId="0" borderId="14" xfId="15" applyNumberFormat="1" applyBorder="1" applyAlignment="1">
      <alignment horizontal="center" readingOrder="1"/>
    </xf>
    <xf numFmtId="0" fontId="6" fillId="0" borderId="24" xfId="15" applyBorder="1">
      <alignment readingOrder="1"/>
    </xf>
    <xf numFmtId="43" fontId="6" fillId="0" borderId="24" xfId="15" applyNumberFormat="1" applyBorder="1">
      <alignment readingOrder="1"/>
    </xf>
    <xf numFmtId="0" fontId="6" fillId="0" borderId="5" xfId="15" applyBorder="1">
      <alignment readingOrder="1"/>
    </xf>
    <xf numFmtId="0" fontId="6" fillId="0" borderId="5" xfId="15" applyBorder="1" applyAlignment="1">
      <alignment horizontal="center" readingOrder="1"/>
    </xf>
    <xf numFmtId="43" fontId="6" fillId="0" borderId="5" xfId="15" applyNumberFormat="1" applyBorder="1" applyAlignment="1">
      <alignment vertical="center" readingOrder="1"/>
    </xf>
    <xf numFmtId="164" fontId="6" fillId="0" borderId="5" xfId="15" applyNumberFormat="1" applyBorder="1" applyAlignment="1">
      <alignment horizontal="center" readingOrder="1"/>
    </xf>
    <xf numFmtId="164" fontId="6" fillId="0" borderId="14" xfId="15" applyNumberFormat="1" applyBorder="1">
      <alignment readingOrder="1"/>
    </xf>
    <xf numFmtId="164" fontId="6" fillId="0" borderId="15" xfId="15" applyNumberFormat="1" applyBorder="1">
      <alignment readingOrder="1"/>
    </xf>
    <xf numFmtId="173" fontId="6" fillId="0" borderId="15" xfId="15" applyNumberFormat="1" applyBorder="1">
      <alignment readingOrder="1"/>
    </xf>
    <xf numFmtId="164" fontId="6" fillId="0" borderId="24" xfId="15" applyNumberFormat="1" applyBorder="1">
      <alignment readingOrder="1"/>
    </xf>
    <xf numFmtId="43" fontId="6" fillId="0" borderId="0" xfId="15" applyNumberFormat="1" applyBorder="1">
      <alignment readingOrder="1"/>
    </xf>
    <xf numFmtId="9" fontId="0" fillId="0" borderId="5" xfId="9" applyFont="1" applyBorder="1" applyAlignment="1">
      <alignment horizontal="center" readingOrder="1"/>
    </xf>
    <xf numFmtId="173" fontId="6" fillId="0" borderId="14" xfId="15" applyNumberFormat="1" applyBorder="1">
      <alignment readingOrder="1"/>
    </xf>
    <xf numFmtId="0" fontId="3" fillId="0" borderId="11" xfId="15" applyFont="1" applyBorder="1" applyAlignment="1">
      <alignment vertical="center" wrapText="1"/>
    </xf>
    <xf numFmtId="9" fontId="6" fillId="0" borderId="12" xfId="15" applyNumberFormat="1" applyBorder="1">
      <alignment readingOrder="1"/>
    </xf>
    <xf numFmtId="9" fontId="6" fillId="0" borderId="13" xfId="15" applyNumberFormat="1" applyBorder="1">
      <alignment readingOrder="1"/>
    </xf>
    <xf numFmtId="173" fontId="6" fillId="0" borderId="11" xfId="15" applyNumberFormat="1" applyBorder="1">
      <alignment readingOrder="1"/>
    </xf>
    <xf numFmtId="173" fontId="6" fillId="0" borderId="12" xfId="15" applyNumberFormat="1" applyBorder="1">
      <alignment readingOrder="1"/>
    </xf>
    <xf numFmtId="173" fontId="6" fillId="0" borderId="13" xfId="15" applyNumberFormat="1" applyBorder="1">
      <alignment readingOrder="1"/>
    </xf>
    <xf numFmtId="43" fontId="6" fillId="0" borderId="11" xfId="15" applyNumberFormat="1" applyBorder="1">
      <alignment readingOrder="1"/>
    </xf>
    <xf numFmtId="164" fontId="6" fillId="0" borderId="13" xfId="15" applyNumberFormat="1" applyBorder="1">
      <alignment readingOrder="1"/>
    </xf>
    <xf numFmtId="43" fontId="6" fillId="0" borderId="12" xfId="15" applyNumberFormat="1" applyBorder="1">
      <alignment readingOrder="1"/>
    </xf>
    <xf numFmtId="43" fontId="6" fillId="0" borderId="13" xfId="15" applyNumberFormat="1" applyBorder="1">
      <alignment readingOrder="1"/>
    </xf>
    <xf numFmtId="164" fontId="6" fillId="0" borderId="17" xfId="15" applyNumberFormat="1" applyBorder="1">
      <alignment readingOrder="1"/>
    </xf>
    <xf numFmtId="0" fontId="6" fillId="0" borderId="14" xfId="15" applyFill="1" applyBorder="1">
      <alignment readingOrder="1"/>
    </xf>
    <xf numFmtId="164" fontId="6" fillId="0" borderId="5" xfId="15" applyNumberFormat="1" applyFill="1" applyBorder="1">
      <alignment readingOrder="1"/>
    </xf>
    <xf numFmtId="164" fontId="6" fillId="0" borderId="5" xfId="15" applyNumberFormat="1" applyBorder="1">
      <alignment readingOrder="1"/>
    </xf>
    <xf numFmtId="0" fontId="6" fillId="0" borderId="0" xfId="15" applyAlignment="1">
      <alignment horizontal="center" readingOrder="1"/>
    </xf>
    <xf numFmtId="43" fontId="6" fillId="0" borderId="0" xfId="15" applyNumberFormat="1" applyAlignment="1">
      <alignment horizontal="center" readingOrder="1"/>
    </xf>
    <xf numFmtId="164" fontId="6" fillId="0" borderId="0" xfId="15" applyNumberFormat="1" applyAlignment="1">
      <alignment horizontal="center" readingOrder="1"/>
    </xf>
    <xf numFmtId="0" fontId="12" fillId="0" borderId="2" xfId="15" applyFont="1" applyBorder="1">
      <alignment readingOrder="1"/>
    </xf>
    <xf numFmtId="43" fontId="6" fillId="0" borderId="1" xfId="15" applyNumberFormat="1" applyBorder="1">
      <alignment readingOrder="1"/>
    </xf>
    <xf numFmtId="164" fontId="6" fillId="0" borderId="4" xfId="15" applyNumberFormat="1" applyBorder="1">
      <alignment readingOrder="1"/>
    </xf>
    <xf numFmtId="164" fontId="6" fillId="0" borderId="3" xfId="15" applyNumberFormat="1" applyBorder="1">
      <alignment readingOrder="1"/>
    </xf>
    <xf numFmtId="164" fontId="6" fillId="0" borderId="11" xfId="15" applyNumberFormat="1" applyBorder="1">
      <alignment readingOrder="1"/>
    </xf>
    <xf numFmtId="0" fontId="6" fillId="0" borderId="6" xfId="15" applyBorder="1" applyAlignment="1">
      <alignment horizontal="center" wrapText="1" readingOrder="1"/>
    </xf>
    <xf numFmtId="0" fontId="6" fillId="0" borderId="16" xfId="15" applyBorder="1" applyAlignment="1">
      <alignment horizontal="center" readingOrder="1"/>
    </xf>
    <xf numFmtId="0" fontId="6" fillId="0" borderId="7" xfId="15" applyBorder="1" applyAlignment="1">
      <alignment horizontal="center" readingOrder="1"/>
    </xf>
    <xf numFmtId="0" fontId="6" fillId="0" borderId="34" xfId="15" applyBorder="1">
      <alignment readingOrder="1"/>
    </xf>
    <xf numFmtId="0" fontId="6" fillId="0" borderId="34" xfId="15" applyBorder="1" applyAlignment="1">
      <alignment horizontal="right" readingOrder="1"/>
    </xf>
    <xf numFmtId="172" fontId="0" fillId="0" borderId="34" xfId="14" applyNumberFormat="1" applyFont="1" applyBorder="1">
      <alignment readingOrder="1"/>
    </xf>
    <xf numFmtId="0" fontId="6" fillId="0" borderId="12" xfId="15" applyBorder="1" applyAlignment="1">
      <alignment horizontal="right" readingOrder="1"/>
    </xf>
    <xf numFmtId="172" fontId="6" fillId="0" borderId="12" xfId="15" applyNumberFormat="1" applyBorder="1">
      <alignment readingOrder="1"/>
    </xf>
    <xf numFmtId="0" fontId="20" fillId="39" borderId="35" xfId="15" applyNumberFormat="1" applyFont="1" applyFill="1" applyBorder="1" applyAlignment="1">
      <alignment horizontal="center"/>
    </xf>
    <xf numFmtId="0" fontId="20" fillId="39" borderId="10" xfId="15" applyNumberFormat="1" applyFont="1" applyFill="1" applyBorder="1" applyAlignment="1">
      <alignment horizontal="center"/>
    </xf>
    <xf numFmtId="0" fontId="20" fillId="39" borderId="8" xfId="15" applyNumberFormat="1" applyFont="1" applyFill="1" applyBorder="1" applyAlignment="1">
      <alignment horizontal="center"/>
    </xf>
    <xf numFmtId="0" fontId="21" fillId="0" borderId="0" xfId="15" applyNumberFormat="1" applyFont="1" applyFill="1" applyBorder="1" applyAlignment="1">
      <alignment horizontal="left"/>
    </xf>
    <xf numFmtId="0" fontId="6" fillId="40" borderId="36" xfId="15" applyNumberFormat="1" applyFill="1" applyBorder="1" applyAlignment="1">
      <alignment horizontal="center"/>
    </xf>
    <xf numFmtId="0" fontId="6" fillId="40" borderId="37" xfId="15" applyNumberFormat="1" applyFill="1" applyBorder="1" applyAlignment="1">
      <alignment horizontal="center"/>
    </xf>
    <xf numFmtId="0" fontId="6" fillId="40" borderId="19" xfId="15" applyNumberFormat="1" applyFill="1" applyBorder="1" applyAlignment="1">
      <alignment horizontal="center"/>
    </xf>
    <xf numFmtId="0" fontId="6" fillId="40" borderId="38" xfId="15" applyNumberFormat="1" applyFill="1" applyBorder="1" applyAlignment="1">
      <alignment horizontal="center"/>
    </xf>
    <xf numFmtId="0" fontId="6" fillId="40" borderId="15" xfId="15" applyNumberFormat="1" applyFill="1" applyBorder="1" applyAlignment="1">
      <alignment horizontal="center"/>
    </xf>
    <xf numFmtId="0" fontId="6" fillId="40" borderId="21" xfId="15" applyNumberFormat="1" applyFill="1" applyBorder="1" applyAlignment="1">
      <alignment horizontal="center"/>
    </xf>
    <xf numFmtId="3" fontId="6" fillId="40" borderId="15" xfId="15" applyNumberFormat="1" applyFill="1" applyBorder="1" applyAlignment="1">
      <alignment horizontal="center"/>
    </xf>
    <xf numFmtId="0" fontId="6" fillId="40" borderId="39" xfId="15" applyNumberFormat="1" applyFill="1" applyBorder="1" applyAlignment="1">
      <alignment horizontal="center"/>
    </xf>
    <xf numFmtId="0" fontId="6" fillId="40" borderId="40" xfId="15" applyNumberFormat="1" applyFill="1" applyBorder="1" applyAlignment="1">
      <alignment horizontal="center"/>
    </xf>
    <xf numFmtId="0" fontId="0" fillId="40" borderId="40" xfId="14" applyNumberFormat="1" applyFont="1" applyFill="1" applyBorder="1" applyAlignment="1">
      <alignment horizontal="center"/>
    </xf>
    <xf numFmtId="0" fontId="6" fillId="40" borderId="23" xfId="15" applyNumberFormat="1" applyFill="1" applyBorder="1" applyAlignment="1">
      <alignment horizontal="center"/>
    </xf>
    <xf numFmtId="0" fontId="20" fillId="39" borderId="35" xfId="15" applyFont="1" applyFill="1" applyBorder="1" applyAlignment="1">
      <alignment horizontal="center"/>
    </xf>
    <xf numFmtId="1" fontId="20" fillId="39" borderId="10" xfId="15" applyNumberFormat="1" applyFont="1" applyFill="1" applyBorder="1" applyAlignment="1">
      <alignment horizontal="center"/>
    </xf>
    <xf numFmtId="1" fontId="20" fillId="39" borderId="8" xfId="15" applyNumberFormat="1" applyFont="1" applyFill="1" applyBorder="1" applyAlignment="1">
      <alignment horizontal="center"/>
    </xf>
    <xf numFmtId="0" fontId="22" fillId="0" borderId="0" xfId="124">
      <alignment readingOrder="1"/>
    </xf>
    <xf numFmtId="164" fontId="6" fillId="0" borderId="34" xfId="15" applyNumberFormat="1" applyBorder="1">
      <alignment readingOrder="1"/>
    </xf>
    <xf numFmtId="43" fontId="6" fillId="0" borderId="34" xfId="15" applyNumberFormat="1" applyBorder="1">
      <alignment readingOrder="1"/>
    </xf>
    <xf numFmtId="173" fontId="6" fillId="0" borderId="3" xfId="15" applyNumberFormat="1" applyBorder="1">
      <alignment readingOrder="1"/>
    </xf>
    <xf numFmtId="0" fontId="44" fillId="14" borderId="15" xfId="15" applyFont="1" applyFill="1" applyBorder="1"/>
    <xf numFmtId="0" fontId="44" fillId="14" borderId="13" xfId="15" applyFont="1" applyFill="1" applyBorder="1"/>
    <xf numFmtId="0" fontId="45" fillId="14" borderId="12" xfId="15" applyFont="1" applyFill="1" applyBorder="1" applyAlignment="1">
      <alignment horizontal="center"/>
    </xf>
    <xf numFmtId="0" fontId="45" fillId="14" borderId="13" xfId="15" applyFont="1" applyFill="1" applyBorder="1" applyAlignment="1">
      <alignment horizontal="center"/>
    </xf>
    <xf numFmtId="0" fontId="47" fillId="0" borderId="5" xfId="15" applyFont="1" applyBorder="1" applyAlignment="1">
      <alignment horizontal="left" vertical="center" wrapText="1" indent="1"/>
    </xf>
    <xf numFmtId="164" fontId="47" fillId="0" borderId="5" xfId="15" applyNumberFormat="1" applyFont="1" applyBorder="1" applyAlignment="1">
      <alignment horizontal="center" vertical="center" wrapText="1"/>
    </xf>
    <xf numFmtId="0" fontId="47" fillId="0" borderId="5" xfId="15" applyFont="1" applyBorder="1" applyAlignment="1">
      <alignment horizontal="center" vertical="center" wrapText="1"/>
    </xf>
    <xf numFmtId="0" fontId="6" fillId="41" borderId="0" xfId="15" applyFill="1" applyAlignment="1">
      <alignment wrapText="1" readingOrder="1"/>
    </xf>
    <xf numFmtId="2" fontId="6" fillId="41" borderId="0" xfId="15" applyNumberFormat="1" applyFill="1">
      <alignment readingOrder="1"/>
    </xf>
    <xf numFmtId="0" fontId="6" fillId="14" borderId="5" xfId="15" applyFill="1" applyBorder="1">
      <alignment readingOrder="1"/>
    </xf>
    <xf numFmtId="0" fontId="6" fillId="0" borderId="5" xfId="15" applyBorder="1" applyAlignment="1">
      <alignment wrapText="1" readingOrder="1"/>
    </xf>
    <xf numFmtId="10" fontId="6" fillId="0" borderId="5" xfId="15" applyNumberFormat="1" applyBorder="1">
      <alignment readingOrder="1"/>
    </xf>
    <xf numFmtId="174" fontId="47" fillId="0" borderId="5" xfId="15" applyNumberFormat="1" applyFont="1" applyBorder="1" applyAlignment="1">
      <alignment horizontal="center" vertical="center" wrapText="1"/>
    </xf>
    <xf numFmtId="0" fontId="49" fillId="0" borderId="15" xfId="15" applyFont="1" applyBorder="1"/>
    <xf numFmtId="0" fontId="49" fillId="0" borderId="13" xfId="15" applyFont="1" applyBorder="1"/>
    <xf numFmtId="0" fontId="50" fillId="0" borderId="5" xfId="15" applyFont="1" applyBorder="1" applyAlignment="1">
      <alignment horizontal="center" wrapText="1"/>
    </xf>
    <xf numFmtId="0" fontId="50" fillId="0" borderId="16" xfId="15" applyFont="1" applyBorder="1" applyAlignment="1">
      <alignment horizontal="center" wrapText="1"/>
    </xf>
    <xf numFmtId="0" fontId="50" fillId="0" borderId="6" xfId="15" applyFont="1" applyBorder="1" applyAlignment="1">
      <alignment horizontal="center" wrapText="1"/>
    </xf>
    <xf numFmtId="0" fontId="51" fillId="0" borderId="13" xfId="15" applyFont="1" applyBorder="1"/>
    <xf numFmtId="0" fontId="49" fillId="0" borderId="0" xfId="15" applyFont="1"/>
    <xf numFmtId="0" fontId="46" fillId="14" borderId="5" xfId="15" applyFont="1" applyFill="1" applyBorder="1" applyAlignment="1">
      <alignment horizontal="left" vertical="center" wrapText="1" indent="1"/>
    </xf>
    <xf numFmtId="0" fontId="46" fillId="14" borderId="5" xfId="15" applyFont="1" applyFill="1" applyBorder="1" applyAlignment="1">
      <alignment horizontal="center" vertical="center" wrapText="1"/>
    </xf>
    <xf numFmtId="0" fontId="6" fillId="41" borderId="0" xfId="15" applyFill="1">
      <alignment readingOrder="1"/>
    </xf>
    <xf numFmtId="0" fontId="46" fillId="41" borderId="14" xfId="15" applyFont="1" applyFill="1" applyBorder="1" applyAlignment="1">
      <alignment horizontal="center" vertical="center" wrapText="1"/>
    </xf>
    <xf numFmtId="0" fontId="47" fillId="0" borderId="2" xfId="15" applyFont="1" applyBorder="1" applyAlignment="1">
      <alignment horizontal="left" vertical="center" wrapText="1"/>
    </xf>
    <xf numFmtId="164" fontId="47" fillId="0" borderId="2" xfId="15" applyNumberFormat="1" applyFont="1" applyBorder="1" applyAlignment="1">
      <alignment horizontal="center" vertical="center" wrapText="1"/>
    </xf>
    <xf numFmtId="164" fontId="52" fillId="0" borderId="2" xfId="15" applyNumberFormat="1" applyFont="1" applyBorder="1" applyAlignment="1">
      <alignment horizontal="center" vertical="center" wrapText="1"/>
    </xf>
    <xf numFmtId="1" fontId="47" fillId="0" borderId="5" xfId="15" applyNumberFormat="1" applyFont="1" applyBorder="1" applyAlignment="1">
      <alignment horizontal="center" vertical="center" wrapText="1"/>
    </xf>
    <xf numFmtId="0" fontId="47" fillId="0" borderId="24" xfId="15" applyFont="1" applyBorder="1" applyAlignment="1">
      <alignment horizontal="left" vertical="center" wrapText="1"/>
    </xf>
    <xf numFmtId="0" fontId="49" fillId="0" borderId="24" xfId="15" applyFont="1" applyBorder="1" applyAlignment="1">
      <alignment horizontal="center" vertical="top" wrapText="1"/>
    </xf>
    <xf numFmtId="164" fontId="6" fillId="41" borderId="0" xfId="15" applyNumberFormat="1" applyFill="1">
      <alignment readingOrder="1"/>
    </xf>
    <xf numFmtId="0" fontId="53" fillId="0" borderId="0" xfId="15" applyFont="1"/>
    <xf numFmtId="0" fontId="44" fillId="0" borderId="0" xfId="15" applyFont="1"/>
    <xf numFmtId="0" fontId="49" fillId="0" borderId="17" xfId="15" applyFont="1" applyBorder="1" applyAlignment="1">
      <alignment horizontal="center" vertical="top" wrapText="1"/>
    </xf>
    <xf numFmtId="0" fontId="46" fillId="0" borderId="3" xfId="15" applyFont="1" applyBorder="1" applyAlignment="1">
      <alignment horizontal="left" vertical="center" wrapText="1"/>
    </xf>
    <xf numFmtId="0" fontId="50" fillId="0" borderId="15" xfId="15" applyFont="1" applyBorder="1" applyAlignment="1">
      <alignment horizontal="left" vertical="top" wrapText="1"/>
    </xf>
    <xf numFmtId="0" fontId="54" fillId="14" borderId="5" xfId="15" applyFont="1" applyFill="1" applyBorder="1"/>
    <xf numFmtId="0" fontId="50" fillId="0" borderId="13" xfId="15" applyFont="1" applyBorder="1" applyAlignment="1">
      <alignment horizontal="left" vertical="top" wrapText="1"/>
    </xf>
    <xf numFmtId="0" fontId="55" fillId="14" borderId="5" xfId="15" applyFont="1" applyFill="1" applyBorder="1" applyAlignment="1">
      <alignment horizontal="center" wrapText="1"/>
    </xf>
    <xf numFmtId="0" fontId="45" fillId="14" borderId="5" xfId="15" applyFont="1" applyFill="1" applyBorder="1" applyAlignment="1">
      <alignment vertical="center" wrapText="1"/>
    </xf>
    <xf numFmtId="0" fontId="45" fillId="14" borderId="5" xfId="15" applyFont="1" applyFill="1" applyBorder="1" applyAlignment="1">
      <alignment horizontal="center" vertical="center" wrapText="1"/>
    </xf>
    <xf numFmtId="0" fontId="45" fillId="14" borderId="24" xfId="15" applyFont="1" applyFill="1" applyBorder="1" applyAlignment="1">
      <alignment horizontal="center" vertical="center" wrapText="1"/>
    </xf>
    <xf numFmtId="0" fontId="47" fillId="0" borderId="0" xfId="15" applyFont="1" applyBorder="1" applyAlignment="1">
      <alignment horizontal="left" vertical="center" wrapText="1"/>
    </xf>
    <xf numFmtId="164" fontId="47" fillId="0" borderId="15" xfId="15" applyNumberFormat="1" applyFont="1" applyBorder="1" applyAlignment="1">
      <alignment horizontal="left" vertical="center" wrapText="1"/>
    </xf>
    <xf numFmtId="164" fontId="47" fillId="0" borderId="24" xfId="15" applyNumberFormat="1" applyFont="1" applyBorder="1" applyAlignment="1">
      <alignment horizontal="left" vertical="center" wrapText="1"/>
    </xf>
    <xf numFmtId="0" fontId="44" fillId="0" borderId="5" xfId="15" applyFont="1" applyBorder="1" applyAlignment="1">
      <alignment vertical="center" wrapText="1"/>
    </xf>
    <xf numFmtId="1" fontId="44" fillId="0" borderId="5" xfId="15" applyNumberFormat="1" applyFont="1" applyBorder="1" applyAlignment="1">
      <alignment horizontal="center" vertical="center" wrapText="1"/>
    </xf>
    <xf numFmtId="164" fontId="44" fillId="0" borderId="5" xfId="15" applyNumberFormat="1" applyFont="1" applyBorder="1" applyAlignment="1">
      <alignment horizontal="center" vertical="center" wrapText="1"/>
    </xf>
    <xf numFmtId="0" fontId="44" fillId="0" borderId="5" xfId="15" applyFont="1" applyBorder="1" applyAlignment="1">
      <alignment horizontal="left" vertical="center" wrapText="1"/>
    </xf>
    <xf numFmtId="2" fontId="44" fillId="0" borderId="5" xfId="15" applyNumberFormat="1" applyFont="1" applyBorder="1" applyAlignment="1">
      <alignment horizontal="center" vertical="center" wrapText="1"/>
    </xf>
    <xf numFmtId="0" fontId="53" fillId="0" borderId="0" xfId="15" applyFont="1" applyAlignment="1">
      <alignment vertical="center"/>
    </xf>
    <xf numFmtId="0" fontId="47" fillId="0" borderId="12" xfId="15" applyFont="1" applyBorder="1" applyAlignment="1">
      <alignment horizontal="left" vertical="center" wrapText="1"/>
    </xf>
    <xf numFmtId="164" fontId="47" fillId="0" borderId="13" xfId="15" applyNumberFormat="1" applyFont="1" applyBorder="1" applyAlignment="1">
      <alignment horizontal="left" vertical="center" wrapText="1"/>
    </xf>
    <xf numFmtId="164" fontId="47" fillId="0" borderId="17" xfId="15" applyNumberFormat="1" applyFont="1" applyBorder="1" applyAlignment="1">
      <alignment horizontal="left" vertical="center" wrapText="1"/>
    </xf>
    <xf numFmtId="0" fontId="44" fillId="0" borderId="24" xfId="15" applyFont="1" applyFill="1" applyBorder="1" applyAlignment="1">
      <alignment horizontal="left" vertical="center" wrapText="1"/>
    </xf>
    <xf numFmtId="0" fontId="49" fillId="14" borderId="15" xfId="15" applyFont="1" applyFill="1" applyBorder="1"/>
    <xf numFmtId="0" fontId="49" fillId="14" borderId="13" xfId="15" applyFont="1" applyFill="1" applyBorder="1"/>
    <xf numFmtId="0" fontId="50" fillId="14" borderId="17" xfId="15" applyFont="1" applyFill="1" applyBorder="1" applyAlignment="1">
      <alignment horizontal="center"/>
    </xf>
    <xf numFmtId="0" fontId="50" fillId="14" borderId="13" xfId="15" applyFont="1" applyFill="1" applyBorder="1" applyAlignment="1">
      <alignment horizontal="center"/>
    </xf>
    <xf numFmtId="0" fontId="50" fillId="14" borderId="15" xfId="15" applyFont="1" applyFill="1" applyBorder="1" applyAlignment="1">
      <alignment horizontal="center"/>
    </xf>
    <xf numFmtId="0" fontId="50" fillId="14" borderId="5" xfId="15" applyFont="1" applyFill="1" applyBorder="1" applyAlignment="1">
      <alignment horizontal="center"/>
    </xf>
    <xf numFmtId="0" fontId="6" fillId="0" borderId="0" xfId="15" applyAlignment="1">
      <alignment horizontal="right" readingOrder="1"/>
    </xf>
    <xf numFmtId="0" fontId="44" fillId="0" borderId="3" xfId="15" applyFont="1" applyBorder="1"/>
    <xf numFmtId="0" fontId="44" fillId="0" borderId="13" xfId="15" applyFont="1" applyBorder="1"/>
    <xf numFmtId="0" fontId="45" fillId="0" borderId="5" xfId="15" applyFont="1" applyBorder="1"/>
    <xf numFmtId="0" fontId="45" fillId="0" borderId="12" xfId="15" applyFont="1" applyBorder="1" applyAlignment="1">
      <alignment horizontal="center" wrapText="1"/>
    </xf>
    <xf numFmtId="0" fontId="45" fillId="0" borderId="7" xfId="15" applyFont="1" applyBorder="1"/>
    <xf numFmtId="0" fontId="45" fillId="0" borderId="5" xfId="15" applyFont="1" applyBorder="1" applyAlignment="1">
      <alignment horizontal="center"/>
    </xf>
    <xf numFmtId="0" fontId="45" fillId="0" borderId="13" xfId="15" applyFont="1" applyBorder="1" applyAlignment="1">
      <alignment horizontal="center"/>
    </xf>
    <xf numFmtId="0" fontId="45" fillId="41" borderId="14" xfId="15" applyFont="1" applyFill="1" applyBorder="1" applyAlignment="1">
      <alignment horizontal="center" vertical="center" wrapText="1"/>
    </xf>
    <xf numFmtId="0" fontId="46" fillId="0" borderId="2" xfId="15" applyFont="1" applyBorder="1" applyAlignment="1">
      <alignment horizontal="left" vertical="center" wrapText="1"/>
    </xf>
    <xf numFmtId="0" fontId="45" fillId="0" borderId="24" xfId="15" applyFont="1" applyBorder="1" applyAlignment="1">
      <alignment horizontal="left" vertical="top" wrapText="1"/>
    </xf>
    <xf numFmtId="0" fontId="44" fillId="0" borderId="24" xfId="15" applyFont="1" applyBorder="1" applyAlignment="1">
      <alignment horizontal="center" vertical="top" wrapText="1"/>
    </xf>
    <xf numFmtId="0" fontId="6" fillId="41" borderId="0" xfId="15" applyFill="1" applyBorder="1">
      <alignment readingOrder="1"/>
    </xf>
    <xf numFmtId="0" fontId="45" fillId="0" borderId="17" xfId="15" applyFont="1" applyBorder="1" applyAlignment="1">
      <alignment horizontal="left" vertical="top" wrapText="1"/>
    </xf>
    <xf numFmtId="0" fontId="44" fillId="0" borderId="17" xfId="15" applyFont="1" applyBorder="1" applyAlignment="1">
      <alignment horizontal="center" vertical="top" wrapText="1"/>
    </xf>
    <xf numFmtId="0" fontId="47" fillId="0" borderId="17" xfId="15" applyFont="1" applyBorder="1" applyAlignment="1">
      <alignment horizontal="left" vertical="top" wrapText="1"/>
    </xf>
    <xf numFmtId="0" fontId="44" fillId="0" borderId="17" xfId="15" applyFont="1" applyBorder="1" applyAlignment="1">
      <alignment horizontal="left" vertical="top" wrapText="1"/>
    </xf>
    <xf numFmtId="0" fontId="44" fillId="0" borderId="5" xfId="15" applyFont="1" applyBorder="1"/>
    <xf numFmtId="0" fontId="46" fillId="0" borderId="24" xfId="15" applyFont="1" applyBorder="1" applyAlignment="1">
      <alignment horizontal="left" vertical="center" wrapText="1"/>
    </xf>
    <xf numFmtId="0" fontId="47" fillId="0" borderId="17" xfId="15" applyFont="1" applyBorder="1" applyAlignment="1">
      <alignment horizontal="left" vertical="center" wrapText="1"/>
    </xf>
    <xf numFmtId="0" fontId="6" fillId="0" borderId="15" xfId="15" applyBorder="1"/>
    <xf numFmtId="0" fontId="6" fillId="0" borderId="24" xfId="15" applyBorder="1"/>
    <xf numFmtId="0" fontId="6" fillId="0" borderId="0" xfId="15"/>
    <xf numFmtId="0" fontId="6" fillId="0" borderId="13" xfId="15" applyBorder="1"/>
    <xf numFmtId="0" fontId="6" fillId="0" borderId="12" xfId="15" applyBorder="1"/>
    <xf numFmtId="0" fontId="6" fillId="0" borderId="17" xfId="15" applyBorder="1"/>
    <xf numFmtId="0" fontId="6" fillId="0" borderId="0" xfId="15" applyAlignment="1">
      <alignment readingOrder="1"/>
    </xf>
    <xf numFmtId="0" fontId="57" fillId="0" borderId="15" xfId="15" applyFont="1" applyBorder="1" applyAlignment="1">
      <alignment horizontal="center" vertical="center" wrapText="1"/>
    </xf>
    <xf numFmtId="0" fontId="58" fillId="0" borderId="13" xfId="15" applyFont="1" applyBorder="1" applyAlignment="1">
      <alignment horizontal="left" vertical="center" wrapText="1"/>
    </xf>
    <xf numFmtId="0" fontId="58" fillId="0" borderId="3" xfId="15" applyFont="1" applyBorder="1" applyAlignment="1">
      <alignment horizontal="center" vertical="center" textRotation="90" wrapText="1"/>
    </xf>
    <xf numFmtId="0" fontId="59" fillId="0" borderId="12" xfId="15" applyFont="1" applyBorder="1" applyAlignment="1">
      <alignment horizontal="right" vertical="center" wrapText="1" indent="2"/>
    </xf>
    <xf numFmtId="0" fontId="59" fillId="0" borderId="12" xfId="15" applyFont="1" applyBorder="1" applyAlignment="1">
      <alignment horizontal="right" vertical="center" wrapText="1"/>
    </xf>
    <xf numFmtId="0" fontId="59" fillId="0" borderId="12" xfId="15" applyFont="1" applyBorder="1" applyAlignment="1">
      <alignment horizontal="right" vertical="center" wrapText="1" indent="3"/>
    </xf>
    <xf numFmtId="0" fontId="59" fillId="0" borderId="12" xfId="15" applyFont="1" applyFill="1" applyBorder="1" applyAlignment="1">
      <alignment horizontal="right" vertical="center" wrapText="1" indent="2"/>
    </xf>
    <xf numFmtId="0" fontId="59" fillId="0" borderId="13" xfId="15" applyFont="1" applyBorder="1" applyAlignment="1">
      <alignment horizontal="right" vertical="center" wrapText="1" indent="3"/>
    </xf>
    <xf numFmtId="0" fontId="45" fillId="41" borderId="0" xfId="15" applyFont="1" applyFill="1" applyBorder="1" applyAlignment="1">
      <alignment horizontal="center" vertical="center" wrapText="1"/>
    </xf>
    <xf numFmtId="0" fontId="58" fillId="0" borderId="15" xfId="15" applyFont="1" applyBorder="1" applyAlignment="1">
      <alignment horizontal="center" vertical="center" textRotation="90" wrapText="1"/>
    </xf>
    <xf numFmtId="0" fontId="60" fillId="0" borderId="24" xfId="15" applyFont="1" applyBorder="1" applyAlignment="1">
      <alignment horizontal="left" vertical="center" wrapText="1" indent="2"/>
    </xf>
    <xf numFmtId="172" fontId="60" fillId="0" borderId="0" xfId="14" applyNumberFormat="1" applyFont="1" applyAlignment="1">
      <alignment horizontal="right" vertical="center" wrapText="1" readingOrder="1"/>
    </xf>
    <xf numFmtId="1" fontId="60" fillId="0" borderId="0" xfId="15" applyNumberFormat="1" applyFont="1" applyAlignment="1">
      <alignment horizontal="right" vertical="center" wrapText="1" readingOrder="2"/>
    </xf>
    <xf numFmtId="9" fontId="60" fillId="0" borderId="0" xfId="15" applyNumberFormat="1" applyFont="1" applyBorder="1" applyAlignment="1">
      <alignment horizontal="right" vertical="center" readingOrder="2"/>
    </xf>
    <xf numFmtId="1" fontId="60" fillId="0" borderId="0" xfId="14" applyNumberFormat="1" applyFont="1" applyAlignment="1">
      <alignment horizontal="center" vertical="center" wrapText="1" readingOrder="2"/>
    </xf>
    <xf numFmtId="0" fontId="60" fillId="0" borderId="14" xfId="15" applyFont="1" applyBorder="1" applyAlignment="1">
      <alignment vertical="center" wrapText="1"/>
    </xf>
    <xf numFmtId="1" fontId="60" fillId="0" borderId="0" xfId="15" applyNumberFormat="1" applyFont="1" applyAlignment="1">
      <alignment vertical="center" wrapText="1"/>
    </xf>
    <xf numFmtId="164" fontId="60" fillId="0" borderId="0" xfId="15" applyNumberFormat="1" applyFont="1" applyAlignment="1">
      <alignment vertical="center" wrapText="1"/>
    </xf>
    <xf numFmtId="9" fontId="60" fillId="0" borderId="15" xfId="15" applyNumberFormat="1" applyFont="1" applyBorder="1" applyAlignment="1">
      <alignment horizontal="center" vertical="center"/>
    </xf>
    <xf numFmtId="172" fontId="60" fillId="0" borderId="0" xfId="14" applyNumberFormat="1" applyFont="1" applyAlignment="1">
      <alignment vertical="center" wrapText="1"/>
    </xf>
    <xf numFmtId="9" fontId="60" fillId="0" borderId="0" xfId="15" applyNumberFormat="1" applyFont="1" applyBorder="1" applyAlignment="1">
      <alignment horizontal="center" vertical="center"/>
    </xf>
    <xf numFmtId="43" fontId="6" fillId="41" borderId="0" xfId="15" applyNumberFormat="1" applyFill="1">
      <alignment readingOrder="1"/>
    </xf>
    <xf numFmtId="9" fontId="6" fillId="41" borderId="0" xfId="15" applyNumberFormat="1" applyFill="1">
      <alignment readingOrder="1"/>
    </xf>
    <xf numFmtId="164" fontId="60" fillId="0" borderId="0" xfId="15" applyNumberFormat="1" applyFont="1" applyAlignment="1">
      <alignment horizontal="right" vertical="center" wrapText="1" readingOrder="2"/>
    </xf>
    <xf numFmtId="164" fontId="60" fillId="0" borderId="0" xfId="14" applyNumberFormat="1" applyFont="1" applyAlignment="1">
      <alignment horizontal="center" vertical="center" wrapText="1" readingOrder="2"/>
    </xf>
    <xf numFmtId="0" fontId="60" fillId="42" borderId="24" xfId="15" applyFont="1" applyFill="1" applyBorder="1" applyAlignment="1">
      <alignment horizontal="left" vertical="center" wrapText="1" indent="2"/>
    </xf>
    <xf numFmtId="172" fontId="60" fillId="42" borderId="0" xfId="14" applyNumberFormat="1" applyFont="1" applyFill="1" applyAlignment="1">
      <alignment horizontal="right" vertical="center" wrapText="1" readingOrder="1"/>
    </xf>
    <xf numFmtId="1" fontId="60" fillId="42" borderId="0" xfId="15" applyNumberFormat="1" applyFont="1" applyFill="1" applyAlignment="1">
      <alignment horizontal="right" vertical="center" wrapText="1" readingOrder="2"/>
    </xf>
    <xf numFmtId="9" fontId="60" fillId="42" borderId="0" xfId="15" applyNumberFormat="1" applyFont="1" applyFill="1" applyBorder="1" applyAlignment="1">
      <alignment horizontal="right" vertical="center" readingOrder="2"/>
    </xf>
    <xf numFmtId="164" fontId="60" fillId="42" borderId="0" xfId="14" applyNumberFormat="1" applyFont="1" applyFill="1" applyAlignment="1">
      <alignment horizontal="center" vertical="center" wrapText="1" readingOrder="2"/>
    </xf>
    <xf numFmtId="0" fontId="60" fillId="42" borderId="14" xfId="15" applyFont="1" applyFill="1" applyBorder="1" applyAlignment="1">
      <alignment vertical="center" wrapText="1"/>
    </xf>
    <xf numFmtId="1" fontId="60" fillId="42" borderId="0" xfId="15" applyNumberFormat="1" applyFont="1" applyFill="1" applyAlignment="1">
      <alignment vertical="center" wrapText="1"/>
    </xf>
    <xf numFmtId="2" fontId="60" fillId="42" borderId="0" xfId="15" applyNumberFormat="1" applyFont="1" applyFill="1" applyAlignment="1">
      <alignment vertical="center" wrapText="1"/>
    </xf>
    <xf numFmtId="9" fontId="60" fillId="42" borderId="15" xfId="15" applyNumberFormat="1" applyFont="1" applyFill="1" applyBorder="1" applyAlignment="1">
      <alignment horizontal="center" vertical="center"/>
    </xf>
    <xf numFmtId="172" fontId="60" fillId="42" borderId="0" xfId="14" applyNumberFormat="1" applyFont="1" applyFill="1" applyAlignment="1">
      <alignment vertical="center" wrapText="1"/>
    </xf>
    <xf numFmtId="9" fontId="60" fillId="42" borderId="0" xfId="15" applyNumberFormat="1" applyFont="1" applyFill="1" applyBorder="1" applyAlignment="1">
      <alignment horizontal="center" vertical="center"/>
    </xf>
    <xf numFmtId="173" fontId="60" fillId="42" borderId="0" xfId="14" applyNumberFormat="1" applyFont="1" applyFill="1" applyAlignment="1">
      <alignment horizontal="right" vertical="center" wrapText="1" readingOrder="1"/>
    </xf>
    <xf numFmtId="164" fontId="60" fillId="42" borderId="0" xfId="15" applyNumberFormat="1" applyFont="1" applyFill="1" applyAlignment="1">
      <alignment horizontal="right" vertical="center" wrapText="1" readingOrder="2"/>
    </xf>
    <xf numFmtId="1" fontId="60" fillId="42" borderId="0" xfId="14" applyNumberFormat="1" applyFont="1" applyFill="1" applyAlignment="1">
      <alignment horizontal="center" vertical="center" wrapText="1" readingOrder="2"/>
    </xf>
    <xf numFmtId="164" fontId="60" fillId="42" borderId="0" xfId="15" applyNumberFormat="1" applyFont="1" applyFill="1" applyAlignment="1">
      <alignment vertical="center" wrapText="1"/>
    </xf>
    <xf numFmtId="2" fontId="60" fillId="0" borderId="0" xfId="15" applyNumberFormat="1" applyFont="1" applyAlignment="1">
      <alignment horizontal="right" vertical="center" wrapText="1" readingOrder="2"/>
    </xf>
    <xf numFmtId="0" fontId="6" fillId="0" borderId="0" xfId="15" applyAlignment="1">
      <alignment horizontal="center" vertical="center" wrapText="1" readingOrder="2"/>
    </xf>
    <xf numFmtId="2" fontId="60" fillId="0" borderId="0" xfId="15" applyNumberFormat="1" applyFont="1" applyAlignment="1">
      <alignment vertical="center" wrapText="1"/>
    </xf>
    <xf numFmtId="0" fontId="60" fillId="0" borderId="14" xfId="15" applyFont="1" applyBorder="1" applyAlignment="1">
      <alignment horizontal="left" vertical="center" wrapText="1" indent="1"/>
    </xf>
    <xf numFmtId="0" fontId="6" fillId="0" borderId="0" xfId="15" applyAlignment="1">
      <alignment wrapText="1" readingOrder="1"/>
    </xf>
    <xf numFmtId="1" fontId="60" fillId="42" borderId="0" xfId="15" applyNumberFormat="1" applyFont="1" applyFill="1" applyAlignment="1">
      <alignment horizontal="left" vertical="center" wrapText="1" readingOrder="2"/>
    </xf>
    <xf numFmtId="2" fontId="60" fillId="42" borderId="0" xfId="15" applyNumberFormat="1" applyFont="1" applyFill="1" applyBorder="1" applyAlignment="1">
      <alignment horizontal="left" vertical="center" readingOrder="2"/>
    </xf>
    <xf numFmtId="2" fontId="60" fillId="42" borderId="0" xfId="15" applyNumberFormat="1" applyFont="1" applyFill="1" applyBorder="1" applyAlignment="1">
      <alignment horizontal="center" vertical="center"/>
    </xf>
    <xf numFmtId="0" fontId="60" fillId="42" borderId="14" xfId="15" applyFont="1" applyFill="1" applyBorder="1" applyAlignment="1">
      <alignment horizontal="left" vertical="center" wrapText="1" indent="1"/>
    </xf>
    <xf numFmtId="0" fontId="60" fillId="0" borderId="17" xfId="15" applyFont="1" applyBorder="1" applyAlignment="1">
      <alignment horizontal="left" vertical="center" wrapText="1" indent="2"/>
    </xf>
    <xf numFmtId="1" fontId="60" fillId="0" borderId="12" xfId="15" applyNumberFormat="1" applyFont="1" applyBorder="1" applyAlignment="1">
      <alignment horizontal="right" vertical="center" wrapText="1" readingOrder="2"/>
    </xf>
    <xf numFmtId="2" fontId="60" fillId="0" borderId="12" xfId="15" applyNumberFormat="1" applyFont="1" applyBorder="1" applyAlignment="1">
      <alignment horizontal="left" vertical="center" readingOrder="2"/>
    </xf>
    <xf numFmtId="164" fontId="60" fillId="0" borderId="12" xfId="14" applyNumberFormat="1" applyFont="1" applyBorder="1" applyAlignment="1">
      <alignment horizontal="center" vertical="center" wrapText="1" readingOrder="2"/>
    </xf>
    <xf numFmtId="0" fontId="60" fillId="0" borderId="11" xfId="15" applyFont="1" applyBorder="1" applyAlignment="1">
      <alignment vertical="center" wrapText="1"/>
    </xf>
    <xf numFmtId="164" fontId="60" fillId="0" borderId="12" xfId="15" applyNumberFormat="1" applyFont="1" applyBorder="1" applyAlignment="1">
      <alignment vertical="center" wrapText="1"/>
    </xf>
    <xf numFmtId="9" fontId="60" fillId="0" borderId="13" xfId="15" applyNumberFormat="1" applyFont="1" applyBorder="1" applyAlignment="1">
      <alignment horizontal="center" vertical="center"/>
    </xf>
    <xf numFmtId="172" fontId="60" fillId="0" borderId="11" xfId="14" applyNumberFormat="1" applyFont="1" applyBorder="1" applyAlignment="1">
      <alignment vertical="center" wrapText="1"/>
    </xf>
    <xf numFmtId="1" fontId="60" fillId="0" borderId="12" xfId="15" applyNumberFormat="1" applyFont="1" applyBorder="1" applyAlignment="1">
      <alignment vertical="center" wrapText="1"/>
    </xf>
    <xf numFmtId="2" fontId="60" fillId="0" borderId="12" xfId="15" applyNumberFormat="1" applyFont="1" applyBorder="1" applyAlignment="1">
      <alignment horizontal="center" vertical="center"/>
    </xf>
    <xf numFmtId="172" fontId="60" fillId="0" borderId="12" xfId="14" applyNumberFormat="1" applyFont="1" applyBorder="1" applyAlignment="1">
      <alignment vertical="center" wrapText="1"/>
    </xf>
    <xf numFmtId="0" fontId="6" fillId="0" borderId="0" xfId="15" applyFont="1" applyAlignment="1">
      <alignment vertical="center" wrapText="1"/>
    </xf>
    <xf numFmtId="0" fontId="62" fillId="0" borderId="0" xfId="15" applyFont="1"/>
    <xf numFmtId="0" fontId="6" fillId="0" borderId="34" xfId="15" applyBorder="1"/>
    <xf numFmtId="0" fontId="6" fillId="0" borderId="0" xfId="15" applyBorder="1"/>
    <xf numFmtId="0" fontId="63" fillId="0" borderId="0" xfId="15" applyFont="1"/>
    <xf numFmtId="0" fontId="6" fillId="0" borderId="0" xfId="15" applyFont="1">
      <alignment readingOrder="1"/>
    </xf>
    <xf numFmtId="0" fontId="44" fillId="0" borderId="5" xfId="15" applyFont="1" applyBorder="1" applyAlignment="1">
      <alignment horizontal="left" vertical="center" wrapText="1" indent="1"/>
    </xf>
    <xf numFmtId="0" fontId="44" fillId="0" borderId="5" xfId="15" applyFont="1" applyBorder="1" applyAlignment="1">
      <alignment horizontal="center" vertical="center" wrapText="1"/>
    </xf>
    <xf numFmtId="175" fontId="6" fillId="41" borderId="0" xfId="15" applyNumberFormat="1" applyFill="1">
      <alignment readingOrder="1"/>
    </xf>
    <xf numFmtId="170" fontId="44" fillId="0" borderId="5" xfId="15" applyNumberFormat="1" applyFont="1" applyBorder="1" applyAlignment="1">
      <alignment horizontal="center" vertical="center" wrapText="1"/>
    </xf>
    <xf numFmtId="0" fontId="44" fillId="0" borderId="41" xfId="15" applyFont="1" applyBorder="1" applyAlignment="1">
      <alignment horizontal="left" vertical="center" wrapText="1" indent="1"/>
    </xf>
    <xf numFmtId="2" fontId="44" fillId="0" borderId="41" xfId="15" applyNumberFormat="1" applyFont="1" applyBorder="1" applyAlignment="1">
      <alignment horizontal="center" vertical="center" wrapText="1"/>
    </xf>
    <xf numFmtId="0" fontId="44" fillId="0" borderId="41" xfId="15" applyFont="1" applyBorder="1" applyAlignment="1">
      <alignment horizontal="center" vertical="center" wrapText="1"/>
    </xf>
    <xf numFmtId="0" fontId="44" fillId="0" borderId="17" xfId="15" applyFont="1" applyBorder="1" applyAlignment="1">
      <alignment horizontal="left" vertical="center" wrapText="1" indent="1"/>
    </xf>
    <xf numFmtId="0" fontId="44" fillId="0" borderId="17" xfId="15" applyFont="1" applyBorder="1" applyAlignment="1">
      <alignment horizontal="center" vertical="center" wrapText="1"/>
    </xf>
    <xf numFmtId="1" fontId="44" fillId="0" borderId="17" xfId="15" applyNumberFormat="1" applyFont="1" applyBorder="1" applyAlignment="1">
      <alignment horizontal="center" vertical="center" wrapText="1"/>
    </xf>
    <xf numFmtId="0" fontId="64" fillId="0" borderId="0" xfId="15" applyFont="1"/>
    <xf numFmtId="175" fontId="47" fillId="0" borderId="5" xfId="15" applyNumberFormat="1" applyFont="1" applyBorder="1" applyAlignment="1">
      <alignment horizontal="center" vertical="center" wrapText="1"/>
    </xf>
    <xf numFmtId="0" fontId="47" fillId="0" borderId="41" xfId="15" applyFont="1" applyBorder="1" applyAlignment="1">
      <alignment horizontal="left" vertical="center" wrapText="1" indent="1"/>
    </xf>
    <xf numFmtId="175" fontId="47" fillId="0" borderId="41" xfId="15" applyNumberFormat="1" applyFont="1" applyBorder="1" applyAlignment="1">
      <alignment horizontal="center" vertical="center" wrapText="1"/>
    </xf>
    <xf numFmtId="1" fontId="47" fillId="0" borderId="41" xfId="15" applyNumberFormat="1" applyFont="1" applyBorder="1" applyAlignment="1">
      <alignment horizontal="center" vertical="center" wrapText="1"/>
    </xf>
    <xf numFmtId="0" fontId="47" fillId="0" borderId="17" xfId="15" applyFont="1" applyBorder="1" applyAlignment="1">
      <alignment horizontal="left" vertical="center" wrapText="1" indent="1"/>
    </xf>
    <xf numFmtId="175" fontId="47" fillId="0" borderId="17" xfId="15" applyNumberFormat="1" applyFont="1" applyBorder="1" applyAlignment="1">
      <alignment horizontal="center" vertical="center" wrapText="1"/>
    </xf>
    <xf numFmtId="3" fontId="47" fillId="0" borderId="17" xfId="15" applyNumberFormat="1" applyFont="1" applyBorder="1" applyAlignment="1">
      <alignment horizontal="center" vertical="center" wrapText="1"/>
    </xf>
    <xf numFmtId="2" fontId="47" fillId="0" borderId="5" xfId="15" applyNumberFormat="1" applyFont="1" applyBorder="1" applyAlignment="1">
      <alignment horizontal="center" vertical="center" wrapText="1"/>
    </xf>
    <xf numFmtId="170" fontId="47" fillId="0" borderId="5" xfId="15" applyNumberFormat="1" applyFont="1" applyBorder="1" applyAlignment="1">
      <alignment horizontal="center" vertical="center" wrapText="1"/>
    </xf>
    <xf numFmtId="2" fontId="47" fillId="0" borderId="41" xfId="15" applyNumberFormat="1" applyFont="1" applyBorder="1" applyAlignment="1">
      <alignment horizontal="center" vertical="center" wrapText="1"/>
    </xf>
    <xf numFmtId="170" fontId="47" fillId="0" borderId="41" xfId="15" applyNumberFormat="1" applyFont="1" applyBorder="1" applyAlignment="1">
      <alignment horizontal="center" vertical="center" wrapText="1"/>
    </xf>
    <xf numFmtId="2" fontId="47" fillId="0" borderId="17" xfId="15" applyNumberFormat="1" applyFont="1" applyBorder="1" applyAlignment="1">
      <alignment horizontal="center" vertical="center" wrapText="1"/>
    </xf>
    <xf numFmtId="170" fontId="47" fillId="0" borderId="17" xfId="15" applyNumberFormat="1" applyFont="1" applyBorder="1" applyAlignment="1">
      <alignment horizontal="center" vertical="center" wrapText="1"/>
    </xf>
    <xf numFmtId="0" fontId="45" fillId="14" borderId="5" xfId="15" applyFont="1" applyFill="1" applyBorder="1" applyAlignment="1">
      <alignment horizontal="right" vertical="top" wrapText="1"/>
    </xf>
    <xf numFmtId="0" fontId="23" fillId="14" borderId="39" xfId="15" applyFont="1" applyFill="1" applyBorder="1" applyAlignment="1">
      <alignment horizontal="center" wrapText="1"/>
    </xf>
    <xf numFmtId="0" fontId="23" fillId="14" borderId="23" xfId="15" applyFont="1" applyFill="1" applyBorder="1" applyAlignment="1">
      <alignment horizontal="left" wrapText="1"/>
    </xf>
    <xf numFmtId="0" fontId="23" fillId="14" borderId="23" xfId="15" applyFont="1" applyFill="1" applyBorder="1" applyAlignment="1">
      <alignment horizontal="center" wrapText="1"/>
    </xf>
    <xf numFmtId="0" fontId="23" fillId="14" borderId="9" xfId="15" applyFont="1" applyFill="1" applyBorder="1" applyAlignment="1">
      <alignment horizontal="center" wrapText="1"/>
    </xf>
    <xf numFmtId="0" fontId="23" fillId="14" borderId="35" xfId="15" applyFont="1" applyFill="1" applyBorder="1" applyAlignment="1">
      <alignment horizontal="center" wrapText="1"/>
    </xf>
    <xf numFmtId="0" fontId="23" fillId="14" borderId="0" xfId="15" applyFont="1" applyFill="1" applyBorder="1" applyAlignment="1">
      <alignment horizontal="center" wrapText="1"/>
    </xf>
    <xf numFmtId="0" fontId="6" fillId="0" borderId="0" xfId="15" applyFill="1" applyBorder="1" applyAlignment="1">
      <alignment wrapText="1" readingOrder="1"/>
    </xf>
    <xf numFmtId="0" fontId="6" fillId="41" borderId="5" xfId="15" applyFill="1" applyBorder="1">
      <alignment readingOrder="1"/>
    </xf>
    <xf numFmtId="0" fontId="45" fillId="41" borderId="5" xfId="15" applyFont="1" applyFill="1" applyBorder="1" applyAlignment="1">
      <alignment horizontal="center" vertical="center" wrapText="1"/>
    </xf>
    <xf numFmtId="0" fontId="3" fillId="0" borderId="20" xfId="15" applyFont="1" applyBorder="1" applyAlignment="1">
      <alignment vertical="center" wrapText="1"/>
    </xf>
    <xf numFmtId="0" fontId="3" fillId="0" borderId="21" xfId="15" applyFont="1" applyBorder="1" applyAlignment="1">
      <alignment vertical="center" wrapText="1"/>
    </xf>
    <xf numFmtId="164" fontId="3" fillId="0" borderId="0" xfId="15" applyNumberFormat="1" applyFont="1" applyAlignment="1">
      <alignment horizontal="center" vertical="center" wrapText="1"/>
    </xf>
    <xf numFmtId="164" fontId="3" fillId="0" borderId="21" xfId="15" applyNumberFormat="1" applyFont="1" applyBorder="1" applyAlignment="1">
      <alignment horizontal="center" vertical="center" wrapText="1"/>
    </xf>
    <xf numFmtId="2" fontId="3" fillId="0" borderId="44" xfId="15" applyNumberFormat="1" applyFont="1" applyBorder="1" applyAlignment="1">
      <alignment horizontal="center" vertical="center" wrapText="1"/>
    </xf>
    <xf numFmtId="2" fontId="3" fillId="0" borderId="0" xfId="15" applyNumberFormat="1" applyFont="1" applyAlignment="1">
      <alignment horizontal="center" vertical="center" wrapText="1"/>
    </xf>
    <xf numFmtId="2" fontId="3" fillId="0" borderId="21" xfId="15" applyNumberFormat="1" applyFont="1" applyBorder="1" applyAlignment="1">
      <alignment horizontal="center" vertical="center" wrapText="1"/>
    </xf>
    <xf numFmtId="1" fontId="3" fillId="0" borderId="21" xfId="15" applyNumberFormat="1" applyFont="1" applyBorder="1" applyAlignment="1">
      <alignment horizontal="center" vertical="center" wrapText="1"/>
    </xf>
    <xf numFmtId="2" fontId="3" fillId="0" borderId="21" xfId="15" applyNumberFormat="1" applyFont="1" applyFill="1" applyBorder="1" applyAlignment="1">
      <alignment horizontal="center" vertical="center" wrapText="1"/>
    </xf>
    <xf numFmtId="0" fontId="6" fillId="41" borderId="5" xfId="15" applyFill="1" applyBorder="1" applyAlignment="1">
      <alignment wrapText="1" readingOrder="1"/>
    </xf>
    <xf numFmtId="164" fontId="6" fillId="41" borderId="5" xfId="15" applyNumberFormat="1" applyFill="1" applyBorder="1">
      <alignment readingOrder="1"/>
    </xf>
    <xf numFmtId="2" fontId="6" fillId="0" borderId="0" xfId="15" applyNumberFormat="1">
      <alignment readingOrder="1"/>
    </xf>
    <xf numFmtId="164" fontId="3" fillId="0" borderId="0" xfId="15" applyNumberFormat="1" applyFont="1" applyBorder="1" applyAlignment="1">
      <alignment horizontal="center" vertical="center" wrapText="1"/>
    </xf>
    <xf numFmtId="2" fontId="3" fillId="0" borderId="0" xfId="15" applyNumberFormat="1" applyFont="1" applyBorder="1" applyAlignment="1">
      <alignment horizontal="center" vertical="center" wrapText="1"/>
    </xf>
    <xf numFmtId="0" fontId="3" fillId="0" borderId="0" xfId="15" applyFont="1" applyAlignment="1">
      <alignment horizontal="center"/>
    </xf>
    <xf numFmtId="164" fontId="3" fillId="0" borderId="20" xfId="15" applyNumberFormat="1" applyFont="1" applyBorder="1" applyAlignment="1">
      <alignment horizontal="center" vertical="center" wrapText="1"/>
    </xf>
    <xf numFmtId="2" fontId="3" fillId="0" borderId="20" xfId="15" applyNumberFormat="1" applyFont="1" applyBorder="1" applyAlignment="1">
      <alignment horizontal="center" vertical="center" wrapText="1"/>
    </xf>
    <xf numFmtId="0" fontId="3" fillId="0" borderId="22" xfId="15" applyFont="1" applyBorder="1" applyAlignment="1">
      <alignment vertical="center" wrapText="1"/>
    </xf>
    <xf numFmtId="0" fontId="3" fillId="0" borderId="23" xfId="15" applyFont="1" applyBorder="1" applyAlignment="1">
      <alignment vertical="center" wrapText="1"/>
    </xf>
    <xf numFmtId="164" fontId="3" fillId="0" borderId="43" xfId="15" applyNumberFormat="1" applyFont="1" applyBorder="1" applyAlignment="1">
      <alignment horizontal="center" vertical="center" wrapText="1"/>
    </xf>
    <xf numFmtId="0" fontId="3" fillId="0" borderId="43" xfId="15" applyFont="1" applyBorder="1" applyAlignment="1">
      <alignment horizontal="center" vertical="center" wrapText="1"/>
    </xf>
    <xf numFmtId="164" fontId="3" fillId="0" borderId="23" xfId="15" applyNumberFormat="1" applyFont="1" applyBorder="1" applyAlignment="1">
      <alignment horizontal="center" vertical="center" wrapText="1"/>
    </xf>
    <xf numFmtId="2" fontId="3" fillId="0" borderId="45" xfId="15" applyNumberFormat="1" applyFont="1" applyBorder="1" applyAlignment="1">
      <alignment horizontal="center" vertical="center" wrapText="1"/>
    </xf>
    <xf numFmtId="2" fontId="3" fillId="0" borderId="43" xfId="15" applyNumberFormat="1" applyFont="1" applyBorder="1" applyAlignment="1">
      <alignment horizontal="center" vertical="center" wrapText="1"/>
    </xf>
    <xf numFmtId="2" fontId="3" fillId="0" borderId="23" xfId="15" applyNumberFormat="1" applyFont="1" applyBorder="1" applyAlignment="1">
      <alignment horizontal="center" vertical="center" wrapText="1"/>
    </xf>
    <xf numFmtId="1" fontId="3" fillId="0" borderId="23" xfId="15" applyNumberFormat="1" applyFont="1" applyBorder="1" applyAlignment="1">
      <alignment horizontal="center" vertical="center" wrapText="1"/>
    </xf>
    <xf numFmtId="0" fontId="12" fillId="0" borderId="0" xfId="15" applyFont="1" applyAlignment="1">
      <alignment horizontal="center" vertical="center" wrapText="1"/>
    </xf>
    <xf numFmtId="0" fontId="6" fillId="41" borderId="0" xfId="15" applyFont="1" applyFill="1" applyAlignment="1">
      <alignment vertical="center" wrapText="1"/>
    </xf>
    <xf numFmtId="0" fontId="6" fillId="0" borderId="0" xfId="15" applyFont="1" applyFill="1" applyAlignment="1">
      <alignment vertical="center" wrapText="1"/>
    </xf>
    <xf numFmtId="0" fontId="46" fillId="0" borderId="5" xfId="15" applyFont="1" applyBorder="1" applyAlignment="1">
      <alignment wrapText="1"/>
    </xf>
    <xf numFmtId="0" fontId="46" fillId="0" borderId="5" xfId="15" applyFont="1" applyBorder="1" applyAlignment="1">
      <alignment horizontal="left" wrapText="1"/>
    </xf>
    <xf numFmtId="0" fontId="46" fillId="0" borderId="5" xfId="15" applyFont="1" applyBorder="1" applyAlignment="1">
      <alignment horizontal="center" wrapText="1"/>
    </xf>
    <xf numFmtId="0" fontId="45" fillId="41" borderId="24" xfId="15" applyFont="1" applyFill="1" applyBorder="1" applyAlignment="1">
      <alignment horizontal="center" vertical="center" wrapText="1"/>
    </xf>
    <xf numFmtId="0" fontId="47" fillId="0" borderId="5" xfId="15" applyFont="1" applyBorder="1" applyAlignment="1">
      <alignment horizontal="left" vertical="center" wrapText="1"/>
    </xf>
    <xf numFmtId="0" fontId="47" fillId="0" borderId="5" xfId="15" applyFont="1" applyBorder="1" applyAlignment="1">
      <alignment horizontal="left"/>
    </xf>
    <xf numFmtId="1" fontId="47" fillId="0" borderId="5" xfId="15" applyNumberFormat="1" applyFont="1" applyBorder="1" applyAlignment="1">
      <alignment horizontal="center"/>
    </xf>
    <xf numFmtId="9" fontId="44" fillId="0" borderId="5" xfId="9" applyFont="1" applyBorder="1" applyAlignment="1">
      <alignment horizontal="center" vertical="top"/>
    </xf>
    <xf numFmtId="9" fontId="47" fillId="0" borderId="5" xfId="9" applyFont="1" applyBorder="1" applyAlignment="1">
      <alignment horizontal="center"/>
    </xf>
    <xf numFmtId="174" fontId="6" fillId="41" borderId="0" xfId="15" applyNumberFormat="1" applyFill="1">
      <alignment readingOrder="1"/>
    </xf>
    <xf numFmtId="1" fontId="6" fillId="41" borderId="0" xfId="15" applyNumberFormat="1" applyFill="1">
      <alignment readingOrder="1"/>
    </xf>
    <xf numFmtId="0" fontId="47" fillId="11" borderId="5" xfId="15" applyFont="1" applyFill="1" applyBorder="1" applyAlignment="1">
      <alignment horizontal="left"/>
    </xf>
    <xf numFmtId="1" fontId="47" fillId="11" borderId="5" xfId="15" applyNumberFormat="1" applyFont="1" applyFill="1" applyBorder="1" applyAlignment="1">
      <alignment horizontal="center"/>
    </xf>
    <xf numFmtId="9" fontId="44" fillId="11" borderId="5" xfId="9" applyFont="1" applyFill="1" applyBorder="1" applyAlignment="1">
      <alignment horizontal="center" vertical="top"/>
    </xf>
    <xf numFmtId="9" fontId="47" fillId="11" borderId="5" xfId="9" applyFont="1" applyFill="1" applyBorder="1" applyAlignment="1">
      <alignment horizontal="center"/>
    </xf>
    <xf numFmtId="0" fontId="6" fillId="0" borderId="24" xfId="15" applyFill="1" applyBorder="1" applyAlignment="1">
      <alignment wrapText="1" readingOrder="1"/>
    </xf>
    <xf numFmtId="0" fontId="47" fillId="0" borderId="5" xfId="15" applyFont="1" applyBorder="1" applyAlignment="1">
      <alignment horizontal="left" wrapText="1"/>
    </xf>
    <xf numFmtId="1" fontId="47" fillId="0" borderId="5" xfId="15" applyNumberFormat="1" applyFont="1" applyBorder="1" applyAlignment="1">
      <alignment horizontal="center" wrapText="1"/>
    </xf>
    <xf numFmtId="0" fontId="44" fillId="0" borderId="5" xfId="15" applyFont="1" applyBorder="1" applyAlignment="1">
      <alignment horizontal="center" vertical="top" wrapText="1"/>
    </xf>
    <xf numFmtId="9" fontId="47" fillId="0" borderId="5" xfId="15" applyNumberFormat="1" applyFont="1" applyBorder="1" applyAlignment="1">
      <alignment horizontal="center" wrapText="1"/>
    </xf>
    <xf numFmtId="0" fontId="47" fillId="11" borderId="5" xfId="15" applyFont="1" applyFill="1" applyBorder="1" applyAlignment="1">
      <alignment horizontal="left" wrapText="1"/>
    </xf>
    <xf numFmtId="1" fontId="47" fillId="11" borderId="5" xfId="15" applyNumberFormat="1" applyFont="1" applyFill="1" applyBorder="1" applyAlignment="1">
      <alignment horizontal="center" wrapText="1"/>
    </xf>
    <xf numFmtId="0" fontId="44" fillId="11" borderId="5" xfId="15" applyFont="1" applyFill="1" applyBorder="1" applyAlignment="1">
      <alignment horizontal="center" vertical="top" wrapText="1"/>
    </xf>
    <xf numFmtId="9" fontId="47" fillId="11" borderId="5" xfId="15" applyNumberFormat="1" applyFont="1" applyFill="1" applyBorder="1" applyAlignment="1">
      <alignment horizontal="center" vertical="center" wrapText="1"/>
    </xf>
    <xf numFmtId="9" fontId="47" fillId="0" borderId="5" xfId="15" applyNumberFormat="1" applyFont="1" applyBorder="1" applyAlignment="1">
      <alignment horizontal="center" vertical="center" wrapText="1"/>
    </xf>
    <xf numFmtId="9" fontId="47" fillId="11" borderId="5" xfId="15" applyNumberFormat="1" applyFont="1" applyFill="1" applyBorder="1" applyAlignment="1">
      <alignment horizontal="center" wrapText="1"/>
    </xf>
    <xf numFmtId="0" fontId="47" fillId="0" borderId="5" xfId="15" applyFont="1" applyBorder="1" applyAlignment="1">
      <alignment horizontal="right" vertical="center" wrapText="1"/>
    </xf>
    <xf numFmtId="0" fontId="46" fillId="0" borderId="5" xfId="15" applyFont="1" applyBorder="1" applyAlignment="1">
      <alignment horizontal="left" vertical="center" wrapText="1"/>
    </xf>
    <xf numFmtId="0" fontId="46" fillId="0" borderId="5" xfId="15" applyFont="1" applyBorder="1" applyAlignment="1">
      <alignment vertical="center" wrapText="1"/>
    </xf>
    <xf numFmtId="0" fontId="46" fillId="0" borderId="5" xfId="15" applyFont="1" applyBorder="1" applyAlignment="1">
      <alignment horizontal="center" vertical="center" wrapText="1"/>
    </xf>
    <xf numFmtId="0" fontId="46" fillId="11" borderId="2" xfId="15" applyFont="1" applyFill="1" applyBorder="1" applyAlignment="1">
      <alignment horizontal="center" vertical="center" textRotation="90"/>
    </xf>
    <xf numFmtId="0" fontId="47" fillId="11" borderId="5" xfId="15" applyFont="1" applyFill="1" applyBorder="1" applyAlignment="1">
      <alignment horizontal="left" vertical="center" wrapText="1"/>
    </xf>
    <xf numFmtId="1" fontId="47" fillId="11" borderId="5" xfId="15" applyNumberFormat="1" applyFont="1" applyFill="1" applyBorder="1" applyAlignment="1">
      <alignment horizontal="center" vertical="center" wrapText="1"/>
    </xf>
    <xf numFmtId="164" fontId="47" fillId="11" borderId="5" xfId="15" applyNumberFormat="1" applyFont="1" applyFill="1" applyBorder="1" applyAlignment="1">
      <alignment horizontal="center" vertical="center" wrapText="1"/>
    </xf>
    <xf numFmtId="0" fontId="46" fillId="11" borderId="24" xfId="15" applyFont="1" applyFill="1" applyBorder="1" applyAlignment="1">
      <alignment horizontal="center" vertical="center" textRotation="90"/>
    </xf>
    <xf numFmtId="174" fontId="47" fillId="11" borderId="5" xfId="15" applyNumberFormat="1" applyFont="1" applyFill="1" applyBorder="1" applyAlignment="1">
      <alignment horizontal="center" vertical="center" wrapText="1"/>
    </xf>
    <xf numFmtId="0" fontId="44" fillId="11" borderId="5" xfId="15" applyFont="1" applyFill="1" applyBorder="1" applyAlignment="1">
      <alignment horizontal="left" vertical="top" wrapText="1"/>
    </xf>
    <xf numFmtId="0" fontId="47" fillId="11" borderId="5" xfId="15" applyFont="1" applyFill="1" applyBorder="1" applyAlignment="1">
      <alignment horizontal="left" vertical="top" wrapText="1"/>
    </xf>
    <xf numFmtId="0" fontId="47" fillId="11" borderId="5" xfId="15" applyFont="1" applyFill="1" applyBorder="1" applyAlignment="1">
      <alignment horizontal="center" vertical="top" wrapText="1"/>
    </xf>
    <xf numFmtId="164" fontId="47" fillId="11" borderId="5" xfId="15" applyNumberFormat="1" applyFont="1" applyFill="1" applyBorder="1" applyAlignment="1">
      <alignment horizontal="center" wrapText="1"/>
    </xf>
    <xf numFmtId="0" fontId="47" fillId="11" borderId="24" xfId="15" applyFont="1" applyFill="1" applyBorder="1" applyAlignment="1">
      <alignment horizontal="left" vertical="top" wrapText="1"/>
    </xf>
    <xf numFmtId="0" fontId="47" fillId="0" borderId="24" xfId="15" applyFont="1" applyBorder="1" applyAlignment="1">
      <alignment horizontal="left" vertical="top" wrapText="1"/>
    </xf>
    <xf numFmtId="0" fontId="47" fillId="0" borderId="5" xfId="15" applyFont="1" applyBorder="1" applyAlignment="1">
      <alignment horizontal="left" vertical="top" wrapText="1"/>
    </xf>
    <xf numFmtId="0" fontId="47" fillId="0" borderId="5" xfId="15" applyFont="1" applyBorder="1" applyAlignment="1">
      <alignment horizontal="center" vertical="top" wrapText="1"/>
    </xf>
    <xf numFmtId="164" fontId="47" fillId="0" borderId="5" xfId="15" applyNumberFormat="1" applyFont="1" applyBorder="1" applyAlignment="1">
      <alignment horizontal="center" wrapText="1"/>
    </xf>
    <xf numFmtId="164" fontId="47" fillId="0" borderId="5" xfId="15" applyNumberFormat="1" applyFont="1" applyFill="1" applyBorder="1" applyAlignment="1">
      <alignment horizontal="center" vertical="top" wrapText="1"/>
    </xf>
    <xf numFmtId="0" fontId="46" fillId="0" borderId="24" xfId="15" applyFont="1" applyBorder="1" applyAlignment="1">
      <alignment horizontal="center" vertical="center" textRotation="90"/>
    </xf>
    <xf numFmtId="0" fontId="44" fillId="0" borderId="5" xfId="15" applyFont="1" applyBorder="1" applyAlignment="1">
      <alignment horizontal="left" vertical="top" wrapText="1"/>
    </xf>
    <xf numFmtId="0" fontId="46" fillId="0" borderId="17" xfId="15" applyFont="1" applyBorder="1" applyAlignment="1">
      <alignment horizontal="center" vertical="center" textRotation="90"/>
    </xf>
    <xf numFmtId="0" fontId="0" fillId="8" borderId="5" xfId="0" applyFill="1" applyBorder="1"/>
    <xf numFmtId="43" fontId="0" fillId="0" borderId="0" xfId="14" applyFont="1"/>
    <xf numFmtId="1" fontId="0" fillId="0" borderId="0" xfId="0" applyNumberFormat="1"/>
    <xf numFmtId="164" fontId="0" fillId="14" borderId="0" xfId="0" applyNumberFormat="1" applyFill="1" applyAlignment="1">
      <alignment horizontal="center" readingOrder="1"/>
    </xf>
    <xf numFmtId="0" fontId="21" fillId="0" borderId="0" xfId="13" applyFont="1"/>
    <xf numFmtId="0" fontId="66" fillId="12" borderId="46" xfId="13" applyFont="1" applyFill="1" applyBorder="1"/>
    <xf numFmtId="0" fontId="66" fillId="12" borderId="47" xfId="13" applyFont="1" applyFill="1" applyBorder="1"/>
    <xf numFmtId="0" fontId="66" fillId="12" borderId="8" xfId="13" applyFont="1" applyFill="1" applyBorder="1"/>
    <xf numFmtId="0" fontId="67" fillId="15" borderId="17" xfId="125" applyFont="1" applyFill="1" applyBorder="1" applyAlignment="1">
      <alignment horizontal="left" vertical="center" wrapText="1"/>
    </xf>
    <xf numFmtId="0" fontId="67" fillId="15" borderId="5" xfId="125" applyFont="1" applyFill="1" applyBorder="1" applyAlignment="1">
      <alignment horizontal="left" vertical="center" wrapText="1"/>
    </xf>
    <xf numFmtId="0" fontId="68" fillId="0" borderId="5" xfId="125" applyNumberFormat="1" applyFont="1" applyFill="1" applyBorder="1" applyAlignment="1">
      <alignment horizontal="left" vertical="center" wrapText="1"/>
    </xf>
    <xf numFmtId="0" fontId="68" fillId="0" borderId="5" xfId="125" applyFont="1" applyFill="1" applyBorder="1" applyAlignment="1">
      <alignment horizontal="left" vertical="center" wrapText="1"/>
    </xf>
    <xf numFmtId="0" fontId="21" fillId="0" borderId="5" xfId="125" applyFont="1" applyFill="1" applyBorder="1" applyAlignment="1">
      <alignment horizontal="left" vertical="center" wrapText="1"/>
    </xf>
    <xf numFmtId="0" fontId="68" fillId="0" borderId="5" xfId="125" applyFont="1" applyBorder="1" applyAlignment="1">
      <alignment horizontal="left" vertical="center" wrapText="1" readingOrder="1"/>
    </xf>
    <xf numFmtId="0" fontId="68" fillId="0" borderId="5" xfId="125" applyFont="1" applyBorder="1" applyAlignment="1">
      <alignment vertical="center" wrapText="1" readingOrder="1"/>
    </xf>
    <xf numFmtId="0" fontId="68" fillId="0" borderId="5" xfId="125" applyFont="1" applyBorder="1" applyAlignment="1">
      <alignment wrapText="1" readingOrder="1"/>
    </xf>
    <xf numFmtId="0" fontId="68" fillId="0" borderId="5" xfId="125" applyNumberFormat="1" applyFont="1" applyBorder="1" applyAlignment="1">
      <alignment vertical="center" wrapText="1" readingOrder="1"/>
    </xf>
    <xf numFmtId="2" fontId="6" fillId="0" borderId="0" xfId="126" applyNumberFormat="1" applyFont="1"/>
    <xf numFmtId="9" fontId="0" fillId="0" borderId="0" xfId="14" applyNumberFormat="1" applyFont="1"/>
    <xf numFmtId="8" fontId="6" fillId="0" borderId="0" xfId="15" applyNumberFormat="1">
      <alignment readingOrder="1"/>
    </xf>
    <xf numFmtId="8" fontId="6" fillId="0" borderId="12" xfId="15" applyNumberFormat="1" applyBorder="1">
      <alignment readingOrder="1"/>
    </xf>
    <xf numFmtId="44" fontId="0" fillId="0" borderId="0" xfId="1" applyFont="1">
      <alignment readingOrder="1"/>
    </xf>
    <xf numFmtId="44" fontId="0" fillId="0" borderId="12" xfId="1" applyFont="1" applyBorder="1">
      <alignment readingOrder="1"/>
    </xf>
    <xf numFmtId="8" fontId="0" fillId="0" borderId="0" xfId="1" applyNumberFormat="1" applyFont="1">
      <alignment readingOrder="1"/>
    </xf>
    <xf numFmtId="44" fontId="0" fillId="0" borderId="0" xfId="1" applyNumberFormat="1" applyFont="1">
      <alignment readingOrder="1"/>
    </xf>
    <xf numFmtId="0" fontId="6" fillId="0" borderId="0" xfId="15" quotePrefix="1">
      <alignment readingOrder="1"/>
    </xf>
    <xf numFmtId="0" fontId="22" fillId="0" borderId="0" xfId="124" applyAlignment="1">
      <alignment vertical="center"/>
    </xf>
    <xf numFmtId="0" fontId="6" fillId="0" borderId="0" xfId="15" applyFont="1" applyAlignment="1">
      <alignment wrapText="1" readingOrder="1"/>
    </xf>
    <xf numFmtId="8" fontId="6" fillId="0" borderId="0" xfId="15" applyNumberFormat="1" applyFont="1">
      <alignment readingOrder="1"/>
    </xf>
    <xf numFmtId="0" fontId="22" fillId="0" borderId="0" xfId="124" applyAlignment="1">
      <alignment wrapText="1" readingOrder="1"/>
    </xf>
    <xf numFmtId="0" fontId="22" fillId="0" borderId="0" xfId="124" applyAlignment="1">
      <alignment vertical="center" wrapText="1"/>
    </xf>
    <xf numFmtId="6" fontId="6" fillId="0" borderId="0" xfId="15" applyNumberFormat="1">
      <alignment readingOrder="1"/>
    </xf>
    <xf numFmtId="0" fontId="9" fillId="64" borderId="51" xfId="2" applyFont="1" applyFill="1" applyBorder="1" applyAlignment="1">
      <alignment horizontal="center"/>
    </xf>
    <xf numFmtId="0" fontId="11" fillId="11" borderId="51" xfId="2" applyFont="1" applyFill="1" applyBorder="1" applyAlignment="1">
      <alignment horizontal="center" wrapText="1"/>
    </xf>
    <xf numFmtId="0" fontId="11" fillId="11" borderId="52" xfId="2" applyFont="1" applyFill="1" applyBorder="1" applyAlignment="1">
      <alignment horizontal="center" wrapText="1"/>
    </xf>
    <xf numFmtId="0" fontId="20" fillId="15" borderId="34" xfId="0" applyFont="1" applyFill="1" applyBorder="1"/>
    <xf numFmtId="0" fontId="0" fillId="0" borderId="0" xfId="0" applyFill="1"/>
    <xf numFmtId="43" fontId="0" fillId="0" borderId="0" xfId="0" applyNumberFormat="1"/>
    <xf numFmtId="9" fontId="6" fillId="66" borderId="0" xfId="9" applyFont="1" applyFill="1"/>
    <xf numFmtId="9" fontId="0" fillId="0" borderId="0" xfId="9" applyFont="1"/>
    <xf numFmtId="0" fontId="13" fillId="67" borderId="6" xfId="0" applyFont="1" applyFill="1" applyBorder="1" applyAlignment="1">
      <alignment horizontal="left" wrapText="1" readingOrder="1"/>
    </xf>
    <xf numFmtId="0" fontId="13" fillId="67" borderId="7" xfId="0" applyFont="1" applyFill="1" applyBorder="1" applyAlignment="1">
      <alignment horizontal="center" wrapText="1" readingOrder="1"/>
    </xf>
    <xf numFmtId="0" fontId="13" fillId="7" borderId="16" xfId="0" applyFont="1" applyFill="1" applyBorder="1" applyAlignment="1">
      <alignment horizontal="center" wrapText="1" readingOrder="1"/>
    </xf>
    <xf numFmtId="0" fontId="0" fillId="0" borderId="18" xfId="0" applyBorder="1">
      <alignment readingOrder="1"/>
    </xf>
    <xf numFmtId="0" fontId="0" fillId="0" borderId="42" xfId="0" applyBorder="1">
      <alignment readingOrder="1"/>
    </xf>
    <xf numFmtId="0" fontId="0" fillId="0" borderId="19" xfId="0" applyBorder="1">
      <alignment readingOrder="1"/>
    </xf>
    <xf numFmtId="0" fontId="0" fillId="0" borderId="20" xfId="0" applyBorder="1">
      <alignment readingOrder="1"/>
    </xf>
    <xf numFmtId="0" fontId="0" fillId="0" borderId="0" xfId="0" applyBorder="1">
      <alignment readingOrder="1"/>
    </xf>
    <xf numFmtId="0" fontId="0" fillId="0" borderId="21" xfId="0" applyBorder="1">
      <alignment readingOrder="1"/>
    </xf>
    <xf numFmtId="0" fontId="0" fillId="0" borderId="22" xfId="0" applyBorder="1">
      <alignment readingOrder="1"/>
    </xf>
    <xf numFmtId="0" fontId="0" fillId="0" borderId="43" xfId="0" applyBorder="1">
      <alignment readingOrder="1"/>
    </xf>
    <xf numFmtId="0" fontId="0" fillId="0" borderId="23" xfId="0" applyBorder="1">
      <alignment readingOrder="1"/>
    </xf>
    <xf numFmtId="0" fontId="11" fillId="68" borderId="46" xfId="0" applyFont="1" applyFill="1" applyBorder="1" applyAlignment="1">
      <alignment horizontal="centerContinuous" wrapText="1" readingOrder="1"/>
    </xf>
    <xf numFmtId="0" fontId="11" fillId="68" borderId="8" xfId="0" applyFont="1" applyFill="1" applyBorder="1" applyAlignment="1">
      <alignment horizontal="centerContinuous" wrapText="1" readingOrder="1"/>
    </xf>
    <xf numFmtId="164" fontId="11" fillId="68" borderId="46" xfId="0" applyNumberFormat="1" applyFont="1" applyFill="1" applyBorder="1" applyAlignment="1">
      <alignment horizontal="centerContinuous" wrapText="1" readingOrder="1"/>
    </xf>
    <xf numFmtId="164" fontId="11" fillId="68" borderId="47" xfId="0" applyNumberFormat="1" applyFont="1" applyFill="1" applyBorder="1" applyAlignment="1">
      <alignment horizontal="centerContinuous" wrapText="1" readingOrder="1"/>
    </xf>
    <xf numFmtId="164" fontId="11" fillId="68" borderId="8" xfId="0" applyNumberFormat="1" applyFont="1" applyFill="1" applyBorder="1" applyAlignment="1">
      <alignment horizontal="centerContinuous" wrapText="1" readingOrder="1"/>
    </xf>
    <xf numFmtId="164" fontId="11" fillId="68" borderId="16" xfId="0" applyNumberFormat="1" applyFont="1" applyFill="1" applyBorder="1" applyAlignment="1">
      <alignment horizontal="center" wrapText="1" readingOrder="1"/>
    </xf>
    <xf numFmtId="177" fontId="11" fillId="8" borderId="7" xfId="0" applyNumberFormat="1" applyFont="1" applyFill="1" applyBorder="1" applyAlignment="1">
      <alignment horizontal="center" wrapText="1" readingOrder="1"/>
    </xf>
    <xf numFmtId="164" fontId="84" fillId="0" borderId="0" xfId="0" applyNumberFormat="1" applyFont="1">
      <alignment readingOrder="1"/>
    </xf>
    <xf numFmtId="0" fontId="11" fillId="9" borderId="46" xfId="0" applyFont="1" applyFill="1" applyBorder="1" applyAlignment="1">
      <alignment horizontal="centerContinuous" wrapText="1" readingOrder="1"/>
    </xf>
    <xf numFmtId="0" fontId="11" fillId="9" borderId="47" xfId="0" applyFont="1" applyFill="1" applyBorder="1" applyAlignment="1">
      <alignment horizontal="centerContinuous" wrapText="1" readingOrder="1"/>
    </xf>
    <xf numFmtId="164" fontId="11" fillId="9" borderId="47" xfId="0" applyNumberFormat="1" applyFont="1" applyFill="1" applyBorder="1" applyAlignment="1">
      <alignment horizontal="centerContinuous" wrapText="1" readingOrder="1"/>
    </xf>
    <xf numFmtId="164" fontId="11" fillId="9" borderId="16" xfId="0" applyNumberFormat="1" applyFont="1" applyFill="1" applyBorder="1" applyAlignment="1">
      <alignment horizontal="center" wrapText="1" readingOrder="1"/>
    </xf>
    <xf numFmtId="164" fontId="11" fillId="9" borderId="46" xfId="0" applyNumberFormat="1" applyFont="1" applyFill="1" applyBorder="1" applyAlignment="1">
      <alignment horizontal="centerContinuous" wrapText="1" readingOrder="1"/>
    </xf>
    <xf numFmtId="164" fontId="12" fillId="0" borderId="0" xfId="0" applyNumberFormat="1" applyFont="1">
      <alignment readingOrder="1"/>
    </xf>
    <xf numFmtId="178" fontId="12" fillId="0" borderId="0" xfId="0" applyNumberFormat="1" applyFont="1">
      <alignment readingOrder="1"/>
    </xf>
    <xf numFmtId="178" fontId="0" fillId="0" borderId="0" xfId="0" applyNumberFormat="1">
      <alignment readingOrder="1"/>
    </xf>
    <xf numFmtId="178" fontId="84" fillId="0" borderId="0" xfId="0" applyNumberFormat="1" applyFont="1">
      <alignment readingOrder="1"/>
    </xf>
    <xf numFmtId="9" fontId="0" fillId="0" borderId="35" xfId="0" applyNumberFormat="1" applyBorder="1">
      <alignment readingOrder="1"/>
    </xf>
    <xf numFmtId="0" fontId="11" fillId="9" borderId="5" xfId="0" applyFont="1" applyFill="1" applyBorder="1" applyAlignment="1">
      <alignment horizontal="center" wrapText="1" readingOrder="1"/>
    </xf>
    <xf numFmtId="0" fontId="11" fillId="8" borderId="5" xfId="0" applyFont="1" applyFill="1" applyBorder="1" applyAlignment="1">
      <alignment horizontal="center" wrapText="1" readingOrder="1"/>
    </xf>
    <xf numFmtId="0" fontId="20" fillId="15" borderId="52" xfId="0" applyFont="1" applyFill="1" applyBorder="1"/>
    <xf numFmtId="0" fontId="20" fillId="6" borderId="52" xfId="0" applyFont="1" applyFill="1" applyBorder="1"/>
    <xf numFmtId="2" fontId="0" fillId="11" borderId="0" xfId="0" applyNumberFormat="1" applyFill="1" applyAlignment="1">
      <alignment horizontal="center" readingOrder="1"/>
    </xf>
    <xf numFmtId="43" fontId="0" fillId="11" borderId="0" xfId="14" applyFont="1" applyFill="1" applyAlignment="1">
      <alignment horizontal="center" readingOrder="1"/>
    </xf>
    <xf numFmtId="0" fontId="0" fillId="15" borderId="0" xfId="0" applyFill="1">
      <alignment readingOrder="1"/>
    </xf>
    <xf numFmtId="0" fontId="0" fillId="15" borderId="0" xfId="0" applyFill="1" applyAlignment="1">
      <alignment vertical="center" wrapText="1" readingOrder="1"/>
    </xf>
    <xf numFmtId="0" fontId="85" fillId="0" borderId="0" xfId="0" applyFont="1" applyAlignment="1">
      <alignment horizontal="left"/>
    </xf>
    <xf numFmtId="0" fontId="85" fillId="0" borderId="54" xfId="0" applyFont="1" applyBorder="1" applyAlignment="1">
      <alignment horizontal="left" vertical="center" wrapText="1"/>
    </xf>
    <xf numFmtId="0" fontId="85" fillId="0" borderId="54" xfId="0" applyFont="1" applyBorder="1" applyAlignment="1">
      <alignment horizontal="center" vertical="center" wrapText="1"/>
    </xf>
    <xf numFmtId="0" fontId="85" fillId="0" borderId="55" xfId="0" applyFont="1" applyBorder="1" applyAlignment="1">
      <alignment horizontal="left"/>
    </xf>
    <xf numFmtId="2" fontId="85" fillId="0" borderId="55" xfId="0" applyNumberFormat="1" applyFont="1" applyBorder="1" applyAlignment="1">
      <alignment horizontal="right"/>
    </xf>
    <xf numFmtId="0" fontId="0" fillId="0" borderId="56" xfId="0" applyBorder="1" applyAlignment="1">
      <alignment horizontal="right"/>
    </xf>
    <xf numFmtId="2" fontId="0" fillId="0" borderId="56" xfId="0" applyNumberFormat="1" applyBorder="1" applyAlignment="1">
      <alignment horizontal="right"/>
    </xf>
    <xf numFmtId="0" fontId="85" fillId="0" borderId="56" xfId="0" applyFont="1" applyBorder="1" applyAlignment="1">
      <alignment horizontal="left"/>
    </xf>
    <xf numFmtId="2" fontId="85" fillId="0" borderId="56" xfId="0" applyNumberFormat="1" applyFont="1" applyBorder="1" applyAlignment="1">
      <alignment horizontal="right"/>
    </xf>
    <xf numFmtId="0" fontId="0" fillId="0" borderId="58" xfId="0" applyBorder="1" applyAlignment="1">
      <alignment horizontal="right"/>
    </xf>
    <xf numFmtId="9" fontId="0" fillId="0" borderId="0" xfId="0" applyNumberFormat="1"/>
    <xf numFmtId="164" fontId="0" fillId="13" borderId="0" xfId="0" applyNumberFormat="1" applyFill="1">
      <alignment readingOrder="1"/>
    </xf>
    <xf numFmtId="0" fontId="87" fillId="82" borderId="60" xfId="0" applyFont="1" applyFill="1" applyBorder="1"/>
    <xf numFmtId="0" fontId="87" fillId="82" borderId="61" xfId="0" applyFont="1" applyFill="1" applyBorder="1"/>
    <xf numFmtId="0" fontId="87" fillId="82" borderId="62" xfId="0" applyFont="1" applyFill="1" applyBorder="1"/>
    <xf numFmtId="0" fontId="88" fillId="83" borderId="60" xfId="0" applyFont="1" applyFill="1" applyBorder="1"/>
    <xf numFmtId="0" fontId="88" fillId="83" borderId="61" xfId="0" applyFont="1" applyFill="1" applyBorder="1"/>
    <xf numFmtId="3" fontId="88" fillId="83" borderId="61" xfId="0" applyNumberFormat="1" applyFont="1" applyFill="1" applyBorder="1"/>
    <xf numFmtId="170" fontId="88" fillId="83" borderId="62" xfId="0" applyNumberFormat="1" applyFont="1" applyFill="1" applyBorder="1"/>
    <xf numFmtId="0" fontId="88" fillId="0" borderId="60" xfId="0" applyFont="1" applyBorder="1"/>
    <xf numFmtId="0" fontId="88" fillId="0" borderId="61" xfId="0" applyFont="1" applyBorder="1"/>
    <xf numFmtId="3" fontId="88" fillId="0" borderId="61" xfId="0" applyNumberFormat="1" applyFont="1" applyBorder="1"/>
    <xf numFmtId="170" fontId="88" fillId="0" borderId="62" xfId="0" applyNumberFormat="1" applyFont="1" applyBorder="1"/>
    <xf numFmtId="0" fontId="0" fillId="12" borderId="0" xfId="0" applyFill="1" applyAlignment="1">
      <alignment horizontal="left" vertical="center" readingOrder="1"/>
    </xf>
    <xf numFmtId="2" fontId="86" fillId="0" borderId="57" xfId="0" applyNumberFormat="1" applyFont="1" applyBorder="1" applyAlignment="1">
      <alignment horizontal="center" vertical="center" wrapText="1"/>
    </xf>
    <xf numFmtId="2" fontId="86" fillId="0" borderId="59" xfId="0" applyNumberFormat="1" applyFont="1" applyBorder="1" applyAlignment="1">
      <alignment horizontal="center" vertical="center" wrapText="1"/>
    </xf>
    <xf numFmtId="0" fontId="11" fillId="3" borderId="1" xfId="2" applyFont="1" applyFill="1" applyBorder="1" applyAlignment="1">
      <alignment horizontal="center"/>
    </xf>
    <xf numFmtId="0" fontId="11" fillId="3" borderId="4" xfId="2" applyFont="1" applyFill="1" applyBorder="1" applyAlignment="1">
      <alignment horizontal="center"/>
    </xf>
    <xf numFmtId="0" fontId="11" fillId="3" borderId="3" xfId="2"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5" borderId="52" xfId="2" applyFont="1" applyFill="1" applyBorder="1" applyAlignment="1">
      <alignment horizontal="center"/>
    </xf>
    <xf numFmtId="0" fontId="11" fillId="3" borderId="6" xfId="2" applyFont="1" applyFill="1" applyBorder="1" applyAlignment="1">
      <alignment horizontal="center"/>
    </xf>
    <xf numFmtId="0" fontId="11" fillId="3" borderId="16" xfId="2" applyFont="1" applyFill="1" applyBorder="1" applyAlignment="1">
      <alignment horizontal="center"/>
    </xf>
    <xf numFmtId="0" fontId="11" fillId="3" borderId="7" xfId="2" applyFont="1" applyFill="1" applyBorder="1" applyAlignment="1">
      <alignment horizontal="center"/>
    </xf>
    <xf numFmtId="0" fontId="8" fillId="4" borderId="5" xfId="0" applyFont="1" applyFill="1" applyBorder="1" applyAlignment="1">
      <alignment horizontal="center"/>
    </xf>
    <xf numFmtId="0" fontId="12" fillId="0" borderId="5" xfId="0" applyFont="1" applyBorder="1" applyAlignment="1">
      <alignment horizontal="center"/>
    </xf>
    <xf numFmtId="0" fontId="12" fillId="0" borderId="2" xfId="15" applyFont="1" applyBorder="1" applyAlignment="1">
      <alignment horizontal="center" readingOrder="1"/>
    </xf>
    <xf numFmtId="0" fontId="6" fillId="0" borderId="1" xfId="15" applyBorder="1" applyAlignment="1">
      <alignment horizontal="center" readingOrder="1"/>
    </xf>
    <xf numFmtId="0" fontId="6" fillId="0" borderId="4" xfId="15" applyBorder="1" applyAlignment="1">
      <alignment horizontal="center" readingOrder="1"/>
    </xf>
    <xf numFmtId="0" fontId="6" fillId="0" borderId="3" xfId="15" applyBorder="1" applyAlignment="1">
      <alignment horizontal="center" readingOrder="1"/>
    </xf>
    <xf numFmtId="0" fontId="12" fillId="0" borderId="5" xfId="15" applyFont="1" applyBorder="1" applyAlignment="1">
      <alignment horizontal="center" readingOrder="1"/>
    </xf>
    <xf numFmtId="0" fontId="6" fillId="0" borderId="34" xfId="15" applyBorder="1" applyAlignment="1">
      <alignment horizontal="center" readingOrder="1"/>
    </xf>
    <xf numFmtId="0" fontId="47" fillId="11" borderId="2" xfId="15" applyFont="1" applyFill="1" applyBorder="1" applyAlignment="1">
      <alignment horizontal="left" vertical="center" wrapText="1"/>
    </xf>
    <xf numFmtId="0" fontId="47" fillId="11" borderId="17" xfId="15" applyFont="1" applyFill="1" applyBorder="1" applyAlignment="1">
      <alignment horizontal="left" vertical="center" wrapText="1"/>
    </xf>
    <xf numFmtId="0" fontId="47" fillId="0" borderId="2" xfId="15" applyFont="1" applyBorder="1" applyAlignment="1">
      <alignment horizontal="left" vertical="center" wrapText="1"/>
    </xf>
    <xf numFmtId="0" fontId="47" fillId="0" borderId="24" xfId="15" applyFont="1" applyBorder="1" applyAlignment="1">
      <alignment horizontal="left" vertical="center" wrapText="1"/>
    </xf>
    <xf numFmtId="0" fontId="47" fillId="0" borderId="17" xfId="15" applyFont="1" applyBorder="1" applyAlignment="1">
      <alignment horizontal="left" vertical="center" wrapText="1"/>
    </xf>
    <xf numFmtId="0" fontId="47" fillId="0" borderId="5" xfId="15" applyFont="1" applyBorder="1" applyAlignment="1">
      <alignment horizontal="left" vertical="center" wrapText="1"/>
    </xf>
    <xf numFmtId="0" fontId="55" fillId="0" borderId="12" xfId="15" applyFont="1" applyBorder="1" applyAlignment="1">
      <alignment horizontal="center" vertical="center"/>
    </xf>
    <xf numFmtId="0" fontId="65" fillId="0" borderId="5" xfId="15" applyFont="1" applyBorder="1" applyAlignment="1">
      <alignment horizontal="center" vertical="center"/>
    </xf>
    <xf numFmtId="0" fontId="12" fillId="0" borderId="0" xfId="15" applyFont="1" applyAlignment="1">
      <alignment horizontal="center" vertical="center" wrapText="1"/>
    </xf>
    <xf numFmtId="0" fontId="65" fillId="0" borderId="0" xfId="15" applyFont="1" applyBorder="1" applyAlignment="1">
      <alignment horizontal="center" vertical="center"/>
    </xf>
    <xf numFmtId="0" fontId="23" fillId="14" borderId="18" xfId="15" applyFont="1" applyFill="1" applyBorder="1" applyAlignment="1">
      <alignment horizontal="center" vertical="center" wrapText="1"/>
    </xf>
    <xf numFmtId="0" fontId="23" fillId="14" borderId="19" xfId="15" applyFont="1" applyFill="1" applyBorder="1" applyAlignment="1">
      <alignment horizontal="center" vertical="center" wrapText="1"/>
    </xf>
    <xf numFmtId="0" fontId="23" fillId="14" borderId="42" xfId="15" applyFont="1" applyFill="1" applyBorder="1" applyAlignment="1">
      <alignment horizontal="center" vertical="center" wrapText="1"/>
    </xf>
    <xf numFmtId="0" fontId="23" fillId="14" borderId="22" xfId="15" applyFont="1" applyFill="1" applyBorder="1" applyAlignment="1">
      <alignment horizontal="center" vertical="center" wrapText="1"/>
    </xf>
    <xf numFmtId="0" fontId="23" fillId="14" borderId="43" xfId="15" applyFont="1" applyFill="1" applyBorder="1" applyAlignment="1">
      <alignment horizontal="center" vertical="center" wrapText="1"/>
    </xf>
    <xf numFmtId="0" fontId="23" fillId="14" borderId="23" xfId="15" applyFont="1" applyFill="1" applyBorder="1" applyAlignment="1">
      <alignment horizontal="center" vertical="center" wrapText="1"/>
    </xf>
    <xf numFmtId="0" fontId="3" fillId="14" borderId="36" xfId="15" applyFont="1" applyFill="1" applyBorder="1" applyAlignment="1">
      <alignment vertical="center" wrapText="1"/>
    </xf>
    <xf numFmtId="0" fontId="3" fillId="14" borderId="38" xfId="15" applyFont="1" applyFill="1" applyBorder="1" applyAlignment="1">
      <alignment vertical="center" wrapText="1"/>
    </xf>
    <xf numFmtId="0" fontId="3" fillId="14" borderId="18" xfId="15" applyFont="1" applyFill="1" applyBorder="1" applyAlignment="1">
      <alignment vertical="center" wrapText="1"/>
    </xf>
    <xf numFmtId="0" fontId="3" fillId="14" borderId="22" xfId="15" applyFont="1" applyFill="1" applyBorder="1" applyAlignment="1">
      <alignment vertical="center" wrapText="1"/>
    </xf>
    <xf numFmtId="0" fontId="3" fillId="14" borderId="19" xfId="15" applyFont="1" applyFill="1" applyBorder="1" applyAlignment="1">
      <alignment vertical="center" wrapText="1"/>
    </xf>
    <xf numFmtId="0" fontId="3" fillId="14" borderId="23" xfId="15" applyFont="1" applyFill="1" applyBorder="1" applyAlignment="1">
      <alignment vertical="center" wrapText="1"/>
    </xf>
    <xf numFmtId="0" fontId="46" fillId="14" borderId="5" xfId="15" applyFont="1" applyFill="1" applyBorder="1" applyAlignment="1">
      <alignment horizontal="left" vertical="center" wrapText="1" indent="1"/>
    </xf>
    <xf numFmtId="0" fontId="46" fillId="14" borderId="6" xfId="15" applyFont="1" applyFill="1" applyBorder="1" applyAlignment="1">
      <alignment horizontal="center" vertical="center" wrapText="1"/>
    </xf>
    <xf numFmtId="0" fontId="46" fillId="14" borderId="16" xfId="15" applyFont="1" applyFill="1" applyBorder="1" applyAlignment="1">
      <alignment horizontal="center" vertical="center" wrapText="1"/>
    </xf>
    <xf numFmtId="0" fontId="46" fillId="14" borderId="7" xfId="15" applyFont="1" applyFill="1" applyBorder="1" applyAlignment="1">
      <alignment horizontal="center" vertical="center" wrapText="1"/>
    </xf>
    <xf numFmtId="0" fontId="60" fillId="42" borderId="14" xfId="15" applyFont="1" applyFill="1" applyBorder="1" applyAlignment="1">
      <alignment horizontal="center" vertical="center" wrapText="1"/>
    </xf>
    <xf numFmtId="0" fontId="60" fillId="42" borderId="15" xfId="15" applyFont="1" applyFill="1" applyBorder="1" applyAlignment="1">
      <alignment horizontal="center" vertical="center" wrapText="1"/>
    </xf>
    <xf numFmtId="0" fontId="45" fillId="14" borderId="5" xfId="15" applyFont="1" applyFill="1" applyBorder="1" applyAlignment="1">
      <alignment horizontal="left" vertical="center" wrapText="1" indent="1"/>
    </xf>
    <xf numFmtId="0" fontId="45" fillId="14" borderId="5" xfId="15" applyFont="1" applyFill="1" applyBorder="1" applyAlignment="1">
      <alignment horizontal="center" vertical="center" wrapText="1"/>
    </xf>
    <xf numFmtId="0" fontId="57" fillId="0" borderId="14" xfId="15" applyFont="1" applyBorder="1" applyAlignment="1">
      <alignment horizontal="center" vertical="center" wrapText="1"/>
    </xf>
    <xf numFmtId="0" fontId="57" fillId="0" borderId="0" xfId="15" applyFont="1" applyBorder="1" applyAlignment="1">
      <alignment horizontal="center" vertical="center" wrapText="1"/>
    </xf>
    <xf numFmtId="0" fontId="57" fillId="0" borderId="0" xfId="15" applyFont="1" applyBorder="1" applyAlignment="1">
      <alignment vertical="center"/>
    </xf>
    <xf numFmtId="0" fontId="60" fillId="0" borderId="14" xfId="15" applyFont="1" applyBorder="1" applyAlignment="1">
      <alignment horizontal="center" vertical="center" wrapText="1"/>
    </xf>
    <xf numFmtId="0" fontId="60" fillId="0" borderId="15" xfId="15" applyFont="1" applyBorder="1" applyAlignment="1">
      <alignment horizontal="center" vertical="center" wrapText="1"/>
    </xf>
    <xf numFmtId="0" fontId="60" fillId="0" borderId="14" xfId="15" applyFont="1" applyBorder="1" applyAlignment="1">
      <alignment horizontal="left" vertical="center" wrapText="1" indent="1"/>
    </xf>
    <xf numFmtId="0" fontId="50" fillId="14" borderId="6" xfId="15" applyFont="1" applyFill="1" applyBorder="1" applyAlignment="1">
      <alignment horizontal="center"/>
    </xf>
    <xf numFmtId="0" fontId="50" fillId="14" borderId="16" xfId="15" applyFont="1" applyFill="1" applyBorder="1" applyAlignment="1">
      <alignment horizontal="center"/>
    </xf>
    <xf numFmtId="0" fontId="50" fillId="14" borderId="7" xfId="15" applyFont="1" applyFill="1" applyBorder="1" applyAlignment="1">
      <alignment horizontal="center"/>
    </xf>
    <xf numFmtId="0" fontId="46" fillId="0" borderId="5" xfId="15" applyFont="1" applyBorder="1" applyAlignment="1">
      <alignment horizontal="left" vertical="center" wrapText="1" indent="1"/>
    </xf>
    <xf numFmtId="0" fontId="48" fillId="0" borderId="16" xfId="15" applyFont="1" applyBorder="1" applyAlignment="1">
      <alignment horizontal="left" vertical="center" wrapText="1" indent="1"/>
    </xf>
    <xf numFmtId="0" fontId="45" fillId="0" borderId="6" xfId="15" applyFont="1" applyBorder="1" applyAlignment="1">
      <alignment horizontal="center"/>
    </xf>
    <xf numFmtId="0" fontId="45" fillId="0" borderId="16" xfId="15" applyFont="1" applyBorder="1" applyAlignment="1">
      <alignment horizontal="center"/>
    </xf>
    <xf numFmtId="0" fontId="45" fillId="0" borderId="7" xfId="15" applyFont="1" applyBorder="1" applyAlignment="1">
      <alignment horizontal="center"/>
    </xf>
    <xf numFmtId="0" fontId="55" fillId="14" borderId="5" xfId="15" applyFont="1" applyFill="1" applyBorder="1" applyAlignment="1">
      <alignment horizontal="center" wrapText="1"/>
    </xf>
    <xf numFmtId="0" fontId="56" fillId="0" borderId="5" xfId="15" applyFont="1" applyBorder="1" applyAlignment="1">
      <alignment vertical="center"/>
    </xf>
    <xf numFmtId="0" fontId="6" fillId="0" borderId="5" xfId="15" applyBorder="1" applyAlignment="1"/>
    <xf numFmtId="0" fontId="50" fillId="0" borderId="0" xfId="15" applyFont="1" applyAlignment="1">
      <alignment horizontal="center"/>
    </xf>
    <xf numFmtId="0" fontId="50" fillId="0" borderId="12" xfId="15" applyFont="1" applyBorder="1" applyAlignment="1">
      <alignment horizontal="center"/>
    </xf>
    <xf numFmtId="0" fontId="50" fillId="0" borderId="13" xfId="15" applyFont="1" applyBorder="1" applyAlignment="1">
      <alignment horizontal="center"/>
    </xf>
    <xf numFmtId="0" fontId="47" fillId="0" borderId="14" xfId="15" applyFont="1" applyBorder="1" applyAlignment="1">
      <alignment horizontal="left" vertical="center" wrapText="1"/>
    </xf>
    <xf numFmtId="0" fontId="6" fillId="0" borderId="11" xfId="15" applyBorder="1" applyAlignment="1">
      <alignment horizontal="left" vertical="center" wrapText="1"/>
    </xf>
    <xf numFmtId="0" fontId="6" fillId="0" borderId="17" xfId="15" applyBorder="1" applyAlignment="1">
      <alignment horizontal="left" vertical="center" wrapText="1"/>
    </xf>
    <xf numFmtId="0" fontId="47" fillId="0" borderId="15" xfId="15" applyFont="1" applyBorder="1" applyAlignment="1">
      <alignment horizontal="left" vertical="center" wrapText="1"/>
    </xf>
    <xf numFmtId="0" fontId="6" fillId="0" borderId="13" xfId="15" applyBorder="1" applyAlignment="1">
      <alignment horizontal="left" vertical="center" wrapText="1"/>
    </xf>
    <xf numFmtId="0" fontId="48" fillId="0" borderId="17" xfId="15" applyFont="1" applyBorder="1" applyAlignment="1">
      <alignment horizontal="left" vertical="center" wrapText="1"/>
    </xf>
    <xf numFmtId="0" fontId="45" fillId="14" borderId="15" xfId="15" applyFont="1" applyFill="1" applyBorder="1" applyAlignment="1">
      <alignment horizontal="center" wrapText="1"/>
    </xf>
    <xf numFmtId="0" fontId="45" fillId="14" borderId="13" xfId="15" applyFont="1" applyFill="1" applyBorder="1" applyAlignment="1">
      <alignment horizontal="center" wrapText="1"/>
    </xf>
    <xf numFmtId="0" fontId="45" fillId="14" borderId="12" xfId="15" applyFont="1" applyFill="1" applyBorder="1" applyAlignment="1">
      <alignment horizontal="center" wrapText="1"/>
    </xf>
    <xf numFmtId="0" fontId="45" fillId="14" borderId="24" xfId="15" applyFont="1" applyFill="1" applyBorder="1" applyAlignment="1">
      <alignment horizontal="center" wrapText="1"/>
    </xf>
    <xf numFmtId="0" fontId="45" fillId="14" borderId="17" xfId="15" applyFont="1" applyFill="1" applyBorder="1" applyAlignment="1">
      <alignment horizontal="center" wrapText="1"/>
    </xf>
    <xf numFmtId="0" fontId="46" fillId="0" borderId="17" xfId="15" applyFont="1" applyBorder="1" applyAlignment="1">
      <alignment horizontal="left" vertical="top" wrapText="1"/>
    </xf>
    <xf numFmtId="0" fontId="6" fillId="14" borderId="5" xfId="15" applyFill="1" applyBorder="1" applyAlignment="1">
      <alignment horizontal="center" readingOrder="1"/>
    </xf>
    <xf numFmtId="0" fontId="55" fillId="14" borderId="5" xfId="15" applyFont="1" applyFill="1" applyBorder="1" applyAlignment="1">
      <alignment horizontal="center"/>
    </xf>
  </cellXfs>
  <cellStyles count="536">
    <cellStyle name="20% - Accent1 2" xfId="16"/>
    <cellStyle name="20% - Accent1 2 2" xfId="127"/>
    <cellStyle name="20% - Accent1 3" xfId="128"/>
    <cellStyle name="20% - Accent1 3 2" xfId="375"/>
    <cellStyle name="20% - Accent1 4" xfId="376"/>
    <cellStyle name="20% - Accent1 4 2" xfId="377"/>
    <cellStyle name="20% - Accent1 5" xfId="378"/>
    <cellStyle name="20% - Accent2 2" xfId="17"/>
    <cellStyle name="20% - Accent2 2 2" xfId="379"/>
    <cellStyle name="20% - Accent2 3" xfId="129"/>
    <cellStyle name="20% - Accent2 3 2" xfId="380"/>
    <cellStyle name="20% - Accent2 4" xfId="381"/>
    <cellStyle name="20% - Accent2 4 2" xfId="382"/>
    <cellStyle name="20% - Accent2 5" xfId="383"/>
    <cellStyle name="20% - Accent3 2" xfId="18"/>
    <cellStyle name="20% - Accent3 2 2" xfId="130"/>
    <cellStyle name="20% - Accent3 3" xfId="131"/>
    <cellStyle name="20% - Accent3 3 2" xfId="384"/>
    <cellStyle name="20% - Accent3 4" xfId="385"/>
    <cellStyle name="20% - Accent3 4 2" xfId="386"/>
    <cellStyle name="20% - Accent3 5" xfId="387"/>
    <cellStyle name="20% - Accent4 2" xfId="19"/>
    <cellStyle name="20% - Accent4 2 2" xfId="132"/>
    <cellStyle name="20% - Accent4 3" xfId="133"/>
    <cellStyle name="20% - Accent4 3 2" xfId="388"/>
    <cellStyle name="20% - Accent4 4" xfId="389"/>
    <cellStyle name="20% - Accent4 4 2" xfId="390"/>
    <cellStyle name="20% - Accent4 5" xfId="391"/>
    <cellStyle name="20% - Accent5 2" xfId="20"/>
    <cellStyle name="20% - Accent5 2 2" xfId="392"/>
    <cellStyle name="20% - Accent5 3" xfId="134"/>
    <cellStyle name="20% - Accent5 3 2" xfId="393"/>
    <cellStyle name="20% - Accent5 4" xfId="394"/>
    <cellStyle name="20% - Accent5 4 2" xfId="395"/>
    <cellStyle name="20% - Accent5 5" xfId="396"/>
    <cellStyle name="20% - Accent6 2" xfId="21"/>
    <cellStyle name="20% - Accent6 2 2" xfId="397"/>
    <cellStyle name="20% - Accent6 3" xfId="135"/>
    <cellStyle name="20% - Accent6 3 2" xfId="398"/>
    <cellStyle name="20% - Accent6 4" xfId="399"/>
    <cellStyle name="20% - Accent6 4 2" xfId="400"/>
    <cellStyle name="20% - Accent6 5" xfId="401"/>
    <cellStyle name="40% - Accent1 2" xfId="22"/>
    <cellStyle name="40% - Accent1 2 2" xfId="136"/>
    <cellStyle name="40% - Accent1 3" xfId="137"/>
    <cellStyle name="40% - Accent1 3 2" xfId="402"/>
    <cellStyle name="40% - Accent1 4" xfId="403"/>
    <cellStyle name="40% - Accent1 4 2" xfId="404"/>
    <cellStyle name="40% - Accent1 5" xfId="405"/>
    <cellStyle name="40% - Accent2 2" xfId="23"/>
    <cellStyle name="40% - Accent2 2 2" xfId="138"/>
    <cellStyle name="40% - Accent2 3" xfId="139"/>
    <cellStyle name="40% - Accent2 3 2" xfId="406"/>
    <cellStyle name="40% - Accent2 4" xfId="407"/>
    <cellStyle name="40% - Accent2 4 2" xfId="408"/>
    <cellStyle name="40% - Accent2 5" xfId="409"/>
    <cellStyle name="40% - Accent3 2" xfId="24"/>
    <cellStyle name="40% - Accent3 2 2" xfId="140"/>
    <cellStyle name="40% - Accent3 3" xfId="141"/>
    <cellStyle name="40% - Accent3 3 2" xfId="410"/>
    <cellStyle name="40% - Accent3 4" xfId="411"/>
    <cellStyle name="40% - Accent3 4 2" xfId="412"/>
    <cellStyle name="40% - Accent3 5" xfId="413"/>
    <cellStyle name="40% - Accent4 2" xfId="25"/>
    <cellStyle name="40% - Accent4 2 2" xfId="142"/>
    <cellStyle name="40% - Accent4 3" xfId="143"/>
    <cellStyle name="40% - Accent4 3 2" xfId="414"/>
    <cellStyle name="40% - Accent4 4" xfId="415"/>
    <cellStyle name="40% - Accent4 4 2" xfId="416"/>
    <cellStyle name="40% - Accent4 5" xfId="417"/>
    <cellStyle name="40% - Accent5 2" xfId="26"/>
    <cellStyle name="40% - Accent5 2 2" xfId="418"/>
    <cellStyle name="40% - Accent5 3" xfId="144"/>
    <cellStyle name="40% - Accent5 3 2" xfId="419"/>
    <cellStyle name="40% - Accent5 4" xfId="420"/>
    <cellStyle name="40% - Accent5 4 2" xfId="421"/>
    <cellStyle name="40% - Accent5 5" xfId="422"/>
    <cellStyle name="40% - Accent6 2" xfId="27"/>
    <cellStyle name="40% - Accent6 2 2" xfId="145"/>
    <cellStyle name="40% - Accent6 3" xfId="146"/>
    <cellStyle name="40% - Accent6 3 2" xfId="423"/>
    <cellStyle name="40% - Accent6 4" xfId="424"/>
    <cellStyle name="40% - Accent6 4 2" xfId="425"/>
    <cellStyle name="40% - Accent6 5" xfId="426"/>
    <cellStyle name="60% - Accent1 2" xfId="28"/>
    <cellStyle name="60% - Accent1 2 2" xfId="147"/>
    <cellStyle name="60% - Accent1 3" xfId="148"/>
    <cellStyle name="60% - Accent2 2" xfId="29"/>
    <cellStyle name="60% - Accent2 2 2" xfId="149"/>
    <cellStyle name="60% - Accent2 3" xfId="150"/>
    <cellStyle name="60% - Accent3 2" xfId="30"/>
    <cellStyle name="60% - Accent3 2 2" xfId="151"/>
    <cellStyle name="60% - Accent3 3" xfId="152"/>
    <cellStyle name="60% - Accent4 2" xfId="31"/>
    <cellStyle name="60% - Accent4 2 2" xfId="153"/>
    <cellStyle name="60% - Accent4 3" xfId="154"/>
    <cellStyle name="60% - Accent5 2" xfId="32"/>
    <cellStyle name="60% - Accent5 3" xfId="155"/>
    <cellStyle name="60% - Accent6 2" xfId="33"/>
    <cellStyle name="60% - Accent6 2 2" xfId="156"/>
    <cellStyle name="60% - Accent6 3" xfId="157"/>
    <cellStyle name="Accent1 - 20%" xfId="158"/>
    <cellStyle name="Accent1 - 40%" xfId="159"/>
    <cellStyle name="Accent1 - 60%" xfId="160"/>
    <cellStyle name="Accent1 2" xfId="34"/>
    <cellStyle name="Accent1 2 2" xfId="161"/>
    <cellStyle name="Accent1 3" xfId="162"/>
    <cellStyle name="Accent2 - 20%" xfId="163"/>
    <cellStyle name="Accent2 - 40%" xfId="164"/>
    <cellStyle name="Accent2 - 60%" xfId="165"/>
    <cellStyle name="Accent2 2" xfId="35"/>
    <cellStyle name="Accent2 3" xfId="166"/>
    <cellStyle name="Accent3 - 20%" xfId="167"/>
    <cellStyle name="Accent3 - 40%" xfId="168"/>
    <cellStyle name="Accent3 - 60%" xfId="169"/>
    <cellStyle name="Accent3 2" xfId="36"/>
    <cellStyle name="Accent3 2 2" xfId="170"/>
    <cellStyle name="Accent3 3" xfId="171"/>
    <cellStyle name="Accent4 - 20%" xfId="172"/>
    <cellStyle name="Accent4 - 40%" xfId="173"/>
    <cellStyle name="Accent4 - 60%" xfId="174"/>
    <cellStyle name="Accent4 2" xfId="37"/>
    <cellStyle name="Accent4 2 2" xfId="175"/>
    <cellStyle name="Accent4 3" xfId="176"/>
    <cellStyle name="Accent5 - 20%" xfId="177"/>
    <cellStyle name="Accent5 - 40%" xfId="178"/>
    <cellStyle name="Accent5 - 60%" xfId="179"/>
    <cellStyle name="Accent5 2" xfId="38"/>
    <cellStyle name="Accent5 3" xfId="180"/>
    <cellStyle name="Accent6 - 20%" xfId="181"/>
    <cellStyle name="Accent6 - 40%" xfId="182"/>
    <cellStyle name="Accent6 - 60%" xfId="183"/>
    <cellStyle name="Accent6 2" xfId="39"/>
    <cellStyle name="Accent6 3" xfId="184"/>
    <cellStyle name="Bad 2" xfId="40"/>
    <cellStyle name="Bad 2 2" xfId="185"/>
    <cellStyle name="Bad 3" xfId="186"/>
    <cellStyle name="Calculation 2" xfId="41"/>
    <cellStyle name="Calculation 2 2" xfId="187"/>
    <cellStyle name="Calculation 3" xfId="188"/>
    <cellStyle name="Check Cell 2" xfId="42"/>
    <cellStyle name="Check Cell 3" xfId="189"/>
    <cellStyle name="Comma" xfId="14" builtinId="3"/>
    <cellStyle name="Comma [0] 2" xfId="190"/>
    <cellStyle name="Comma 10" xfId="427"/>
    <cellStyle name="Comma 11" xfId="428"/>
    <cellStyle name="Comma 2" xfId="43"/>
    <cellStyle name="Comma 2 2" xfId="44"/>
    <cellStyle name="Comma 2 2 2" xfId="45"/>
    <cellStyle name="Comma 2 2 3" xfId="191"/>
    <cellStyle name="Comma 2 2 3 2" xfId="429"/>
    <cellStyle name="Comma 2 2 4" xfId="430"/>
    <cellStyle name="Comma 2 2 4 2" xfId="431"/>
    <cellStyle name="Comma 2 2 5" xfId="432"/>
    <cellStyle name="Comma 2 2 5 2" xfId="433"/>
    <cellStyle name="Comma 2 2 6" xfId="434"/>
    <cellStyle name="Comma 2 2 6 2" xfId="435"/>
    <cellStyle name="Comma 2 2 7" xfId="436"/>
    <cellStyle name="Comma 2 2 8" xfId="437"/>
    <cellStyle name="Comma 2 3" xfId="46"/>
    <cellStyle name="Comma 2 3 2" xfId="438"/>
    <cellStyle name="Comma 2 4" xfId="192"/>
    <cellStyle name="Comma 2 5" xfId="193"/>
    <cellStyle name="Comma 3" xfId="12"/>
    <cellStyle name="Comma 3 10" xfId="439"/>
    <cellStyle name="Comma 3 2" xfId="47"/>
    <cellStyle name="Comma 3 2 2" xfId="48"/>
    <cellStyle name="Comma 3 2 3" xfId="194"/>
    <cellStyle name="Comma 3 3" xfId="49"/>
    <cellStyle name="Comma 3 3 2" xfId="195"/>
    <cellStyle name="Comma 3 3 3" xfId="196"/>
    <cellStyle name="Comma 3 3 4" xfId="197"/>
    <cellStyle name="Comma 3 4" xfId="198"/>
    <cellStyle name="Comma 3 4 2" xfId="440"/>
    <cellStyle name="Comma 3 5" xfId="441"/>
    <cellStyle name="Comma 3 5 2" xfId="442"/>
    <cellStyle name="Comma 3 6" xfId="443"/>
    <cellStyle name="Comma 3 6 2" xfId="444"/>
    <cellStyle name="Comma 3 7" xfId="445"/>
    <cellStyle name="Comma 3 8" xfId="446"/>
    <cellStyle name="Comma 3 9" xfId="447"/>
    <cellStyle name="Comma 4" xfId="199"/>
    <cellStyle name="Comma 4 2" xfId="200"/>
    <cellStyle name="Comma 4 2 2" xfId="201"/>
    <cellStyle name="Comma 4 3" xfId="202"/>
    <cellStyle name="Comma 5" xfId="203"/>
    <cellStyle name="Comma 5 2" xfId="204"/>
    <cellStyle name="Comma 5 3" xfId="205"/>
    <cellStyle name="Comma 6" xfId="206"/>
    <cellStyle name="Comma 7" xfId="207"/>
    <cellStyle name="Comma 8" xfId="208"/>
    <cellStyle name="Comma 9" xfId="448"/>
    <cellStyle name="Currency" xfId="1" builtinId="4"/>
    <cellStyle name="Currency 2" xfId="50"/>
    <cellStyle name="Currency 2 2" xfId="51"/>
    <cellStyle name="Currency 2 2 2" xfId="52"/>
    <cellStyle name="Currency 2 2 3" xfId="209"/>
    <cellStyle name="Currency 2 3" xfId="53"/>
    <cellStyle name="Currency 2 4" xfId="210"/>
    <cellStyle name="Currency 2 5" xfId="211"/>
    <cellStyle name="Currency 3" xfId="54"/>
    <cellStyle name="Currency 3 2" xfId="55"/>
    <cellStyle name="Currency 3 2 2" xfId="56"/>
    <cellStyle name="Currency 3 2 3" xfId="212"/>
    <cellStyle name="Currency 3 3" xfId="57"/>
    <cellStyle name="Currency 3 4" xfId="213"/>
    <cellStyle name="Currency 3 5" xfId="449"/>
    <cellStyle name="Currency 4" xfId="214"/>
    <cellStyle name="Currency 4 2" xfId="450"/>
    <cellStyle name="Currency 4 3" xfId="451"/>
    <cellStyle name="Currency 5" xfId="215"/>
    <cellStyle name="Currency 5 2" xfId="216"/>
    <cellStyle name="Currency 5 2 2" xfId="217"/>
    <cellStyle name="Currency 5 3" xfId="218"/>
    <cellStyle name="Currency 6" xfId="219"/>
    <cellStyle name="Currency 6 2" xfId="220"/>
    <cellStyle name="Currency 7" xfId="221"/>
    <cellStyle name="Currency 7 2" xfId="222"/>
    <cellStyle name="Currency 8" xfId="223"/>
    <cellStyle name="Data Field" xfId="5"/>
    <cellStyle name="Data Field 2" xfId="58"/>
    <cellStyle name="Data Field 2 2" xfId="59"/>
    <cellStyle name="Data Field 2 3" xfId="224"/>
    <cellStyle name="Data Field 3" xfId="60"/>
    <cellStyle name="Data Field 4" xfId="225"/>
    <cellStyle name="Data Field 5" xfId="452"/>
    <cellStyle name="Data Name" xfId="6"/>
    <cellStyle name="Data Name 2" xfId="226"/>
    <cellStyle name="Data Name 2 2" xfId="453"/>
    <cellStyle name="Data Name 3" xfId="227"/>
    <cellStyle name="Data Name 4" xfId="228"/>
    <cellStyle name="Date/Time" xfId="7"/>
    <cellStyle name="Emphasis 1" xfId="229"/>
    <cellStyle name="Emphasis 2" xfId="230"/>
    <cellStyle name="Emphasis 3" xfId="231"/>
    <cellStyle name="Explanatory Text 2" xfId="61"/>
    <cellStyle name="Explanatory Text 3" xfId="232"/>
    <cellStyle name="Good 2" xfId="62"/>
    <cellStyle name="Good 3" xfId="233"/>
    <cellStyle name="Heading" xfId="8"/>
    <cellStyle name="Heading 1 2" xfId="63"/>
    <cellStyle name="Heading 1 2 2" xfId="234"/>
    <cellStyle name="Heading 1 3" xfId="235"/>
    <cellStyle name="Heading 2 2" xfId="64"/>
    <cellStyle name="Heading 2 2 2" xfId="236"/>
    <cellStyle name="Heading 2 3" xfId="65"/>
    <cellStyle name="Heading 2 4" xfId="237"/>
    <cellStyle name="Heading 3 2" xfId="66"/>
    <cellStyle name="Heading 3 2 2" xfId="238"/>
    <cellStyle name="Heading 3 3" xfId="239"/>
    <cellStyle name="Heading 4 2" xfId="67"/>
    <cellStyle name="Heading 4 2 2" xfId="240"/>
    <cellStyle name="Heading 4 3" xfId="241"/>
    <cellStyle name="Hyperlink 2" xfId="68"/>
    <cellStyle name="Hyperlink 2 2" xfId="69"/>
    <cellStyle name="Hyperlink 2 2 2" xfId="242"/>
    <cellStyle name="Hyperlink 2 3" xfId="454"/>
    <cellStyle name="Hyperlink 2_ResWXMF_FY10v2_0" xfId="243"/>
    <cellStyle name="Hyperlink 3" xfId="70"/>
    <cellStyle name="Hyperlink 3 2" xfId="244"/>
    <cellStyle name="Hyperlink 3 2 2" xfId="245"/>
    <cellStyle name="Hyperlink 4" xfId="124"/>
    <cellStyle name="Hyperlink 5" xfId="246"/>
    <cellStyle name="Hyperlink 6" xfId="247"/>
    <cellStyle name="Hyperlink 7" xfId="248"/>
    <cellStyle name="Hyperlink 8" xfId="249"/>
    <cellStyle name="Input 2" xfId="71"/>
    <cellStyle name="Input 3" xfId="250"/>
    <cellStyle name="Linked Cell 2" xfId="72"/>
    <cellStyle name="Linked Cell 3" xfId="251"/>
    <cellStyle name="Neutral 2" xfId="73"/>
    <cellStyle name="Neutral 3" xfId="252"/>
    <cellStyle name="Normal" xfId="0" builtinId="0"/>
    <cellStyle name="Normal 10" xfId="74"/>
    <cellStyle name="Normal 10 2" xfId="253"/>
    <cellStyle name="Normal 11" xfId="75"/>
    <cellStyle name="Normal 11 2" xfId="455"/>
    <cellStyle name="Normal 12" xfId="76"/>
    <cellStyle name="Normal 12 2" xfId="456"/>
    <cellStyle name="Normal 13" xfId="15"/>
    <cellStyle name="Normal 13 2" xfId="77"/>
    <cellStyle name="Normal 13 3" xfId="254"/>
    <cellStyle name="Normal 14" xfId="78"/>
    <cellStyle name="Normal 14 2" xfId="255"/>
    <cellStyle name="Normal 14 2 2" xfId="256"/>
    <cellStyle name="Normal 14 3" xfId="257"/>
    <cellStyle name="Normal 14 3 2" xfId="258"/>
    <cellStyle name="Normal 14 4" xfId="259"/>
    <cellStyle name="Normal 14 5" xfId="457"/>
    <cellStyle name="Normal 15" xfId="79"/>
    <cellStyle name="Normal 15 2" xfId="260"/>
    <cellStyle name="Normal 15 2 2" xfId="261"/>
    <cellStyle name="Normal 15 3" xfId="262"/>
    <cellStyle name="Normal 15 4" xfId="263"/>
    <cellStyle name="Normal 15 5" xfId="458"/>
    <cellStyle name="Normal 16" xfId="264"/>
    <cellStyle name="Normal 16 2" xfId="265"/>
    <cellStyle name="Normal 16 3" xfId="266"/>
    <cellStyle name="Normal 16 4" xfId="459"/>
    <cellStyle name="Normal 17" xfId="267"/>
    <cellStyle name="Normal 17 2" xfId="268"/>
    <cellStyle name="Normal 18" xfId="269"/>
    <cellStyle name="Normal 19" xfId="270"/>
    <cellStyle name="Normal 2" xfId="10"/>
    <cellStyle name="Normal 2 10" xfId="460"/>
    <cellStyle name="Normal 2 11" xfId="461"/>
    <cellStyle name="Normal 2 12" xfId="462"/>
    <cellStyle name="Normal 2 2" xfId="13"/>
    <cellStyle name="Normal 2 2 2" xfId="80"/>
    <cellStyle name="Normal 2 2 2 2" xfId="81"/>
    <cellStyle name="Normal 2 2 2 3" xfId="271"/>
    <cellStyle name="Normal 2 2 3" xfId="82"/>
    <cellStyle name="Normal 2 2 3 2" xfId="272"/>
    <cellStyle name="Normal 2 2 3 3" xfId="273"/>
    <cellStyle name="Normal 2 2 4" xfId="274"/>
    <cellStyle name="Normal 2 2 4 2" xfId="463"/>
    <cellStyle name="Normal 2 2 5" xfId="464"/>
    <cellStyle name="Normal 2 2 6" xfId="465"/>
    <cellStyle name="Normal 2 3" xfId="83"/>
    <cellStyle name="Normal 2 3 2" xfId="84"/>
    <cellStyle name="Normal 2 3 2 2" xfId="275"/>
    <cellStyle name="Normal 2 3 2 2 2" xfId="276"/>
    <cellStyle name="Normal 2 3 2 3" xfId="466"/>
    <cellStyle name="Normal 2 3 3" xfId="277"/>
    <cellStyle name="Normal 2 3 3 2" xfId="278"/>
    <cellStyle name="Normal 2 3 4" xfId="467"/>
    <cellStyle name="Normal 2 4" xfId="85"/>
    <cellStyle name="Normal 2 4 2" xfId="86"/>
    <cellStyle name="Normal 2 4 2 2" xfId="279"/>
    <cellStyle name="Normal 2 4 2 3" xfId="280"/>
    <cellStyle name="Normal 2 4 2 4" xfId="281"/>
    <cellStyle name="Normal 2 4 3" xfId="282"/>
    <cellStyle name="Normal 2 5" xfId="87"/>
    <cellStyle name="Normal 2 5 2" xfId="468"/>
    <cellStyle name="Normal 2 6" xfId="88"/>
    <cellStyle name="Normal 2 6 2" xfId="283"/>
    <cellStyle name="Normal 2 6 2 2" xfId="284"/>
    <cellStyle name="Normal 2 6 2 3" xfId="285"/>
    <cellStyle name="Normal 2 6 3" xfId="286"/>
    <cellStyle name="Normal 2 6 3 2" xfId="287"/>
    <cellStyle name="Normal 2 6 4" xfId="288"/>
    <cellStyle name="Normal 2 6 4 2" xfId="289"/>
    <cellStyle name="Normal 2 6 5" xfId="290"/>
    <cellStyle name="Normal 2 6 6" xfId="291"/>
    <cellStyle name="Normal 2 7" xfId="292"/>
    <cellStyle name="Normal 2 7 2" xfId="293"/>
    <cellStyle name="Normal 2 7 2 2" xfId="294"/>
    <cellStyle name="Normal 2 7 3" xfId="295"/>
    <cellStyle name="Normal 2 8" xfId="296"/>
    <cellStyle name="Normal 2 8 2" xfId="469"/>
    <cellStyle name="Normal 2 9" xfId="297"/>
    <cellStyle name="Normal 2 9 2" xfId="470"/>
    <cellStyle name="Normal 2_EStarLighting_ExistingFY10v1_5_CWv1" xfId="298"/>
    <cellStyle name="Normal 20" xfId="299"/>
    <cellStyle name="Normal 21" xfId="300"/>
    <cellStyle name="Normal 22" xfId="301"/>
    <cellStyle name="Normal 23" xfId="302"/>
    <cellStyle name="Normal 24" xfId="303"/>
    <cellStyle name="Normal 25" xfId="304"/>
    <cellStyle name="Normal 26" xfId="305"/>
    <cellStyle name="Normal 27" xfId="306"/>
    <cellStyle name="Normal 28" xfId="307"/>
    <cellStyle name="Normal 29" xfId="308"/>
    <cellStyle name="Normal 3" xfId="89"/>
    <cellStyle name="Normal 3 2" xfId="90"/>
    <cellStyle name="Normal 3 2 2" xfId="91"/>
    <cellStyle name="Normal 3 2 3" xfId="309"/>
    <cellStyle name="Normal 3 3" xfId="92"/>
    <cellStyle name="Normal 3 3 2" xfId="310"/>
    <cellStyle name="Normal 3 3 2 2" xfId="311"/>
    <cellStyle name="Normal 3 4" xfId="312"/>
    <cellStyle name="Normal 3 4 2" xfId="471"/>
    <cellStyle name="Normal 3 5" xfId="472"/>
    <cellStyle name="Normal 3 66" xfId="313"/>
    <cellStyle name="Normal 30" xfId="314"/>
    <cellStyle name="Normal 31" xfId="315"/>
    <cellStyle name="Normal 32" xfId="316"/>
    <cellStyle name="Normal 33" xfId="317"/>
    <cellStyle name="Normal 34" xfId="318"/>
    <cellStyle name="Normal 35" xfId="319"/>
    <cellStyle name="Normal 36" xfId="320"/>
    <cellStyle name="Normal 37" xfId="321"/>
    <cellStyle name="Normal 38" xfId="322"/>
    <cellStyle name="Normal 39" xfId="323"/>
    <cellStyle name="Normal 4" xfId="93"/>
    <cellStyle name="Normal 4 2" xfId="94"/>
    <cellStyle name="Normal 4 2 2" xfId="473"/>
    <cellStyle name="Normal 4 3" xfId="95"/>
    <cellStyle name="Normal 4 3 2" xfId="324"/>
    <cellStyle name="Normal 4 3 2 2" xfId="325"/>
    <cellStyle name="Normal 4 3 2 3" xfId="326"/>
    <cellStyle name="Normal 4 3 3" xfId="327"/>
    <cellStyle name="Normal 4 3 4" xfId="474"/>
    <cellStyle name="Normal 4 4" xfId="328"/>
    <cellStyle name="Normal 4 4 2" xfId="329"/>
    <cellStyle name="Normal 4 4 3" xfId="330"/>
    <cellStyle name="Normal 4 5" xfId="331"/>
    <cellStyle name="Normal 4 5 2" xfId="332"/>
    <cellStyle name="Normal 4 5 3" xfId="333"/>
    <cellStyle name="Normal 4 6" xfId="334"/>
    <cellStyle name="Normal 4 7" xfId="335"/>
    <cellStyle name="Normal 4 8" xfId="475"/>
    <cellStyle name="Normal 40" xfId="336"/>
    <cellStyle name="Normal 41" xfId="337"/>
    <cellStyle name="Normal 42" xfId="338"/>
    <cellStyle name="Normal 43" xfId="339"/>
    <cellStyle name="Normal 44" xfId="340"/>
    <cellStyle name="Normal 45" xfId="341"/>
    <cellStyle name="Normal 46" xfId="342"/>
    <cellStyle name="Normal 47" xfId="343"/>
    <cellStyle name="Normal 48" xfId="344"/>
    <cellStyle name="Normal 48 2" xfId="345"/>
    <cellStyle name="Normal 49" xfId="346"/>
    <cellStyle name="Normal 5" xfId="96"/>
    <cellStyle name="Normal 5 2" xfId="97"/>
    <cellStyle name="Normal 5 2 2" xfId="476"/>
    <cellStyle name="Normal 5 3" xfId="477"/>
    <cellStyle name="Normal 5 3 2" xfId="478"/>
    <cellStyle name="Normal 5 4" xfId="479"/>
    <cellStyle name="Normal 5 4 2" xfId="480"/>
    <cellStyle name="Normal 5 5" xfId="481"/>
    <cellStyle name="Normal 5 5 2" xfId="482"/>
    <cellStyle name="Normal 5 6" xfId="483"/>
    <cellStyle name="Normal 5 6 2" xfId="484"/>
    <cellStyle name="Normal 5 7" xfId="485"/>
    <cellStyle name="Normal 50" xfId="347"/>
    <cellStyle name="Normal 51" xfId="486"/>
    <cellStyle name="Normal 6" xfId="98"/>
    <cellStyle name="Normal 6 2" xfId="487"/>
    <cellStyle name="Normal 6 3" xfId="488"/>
    <cellStyle name="Normal 6 4" xfId="489"/>
    <cellStyle name="Normal 6 5" xfId="490"/>
    <cellStyle name="Normal 7" xfId="99"/>
    <cellStyle name="Normal 7 2" xfId="100"/>
    <cellStyle name="Normal 7 2 2" xfId="491"/>
    <cellStyle name="Normal 7 3" xfId="492"/>
    <cellStyle name="Normal 8" xfId="101"/>
    <cellStyle name="Normal 8 2" xfId="102"/>
    <cellStyle name="Normal 8 2 2" xfId="493"/>
    <cellStyle name="Normal 8 3" xfId="494"/>
    <cellStyle name="Normal 9" xfId="103"/>
    <cellStyle name="Normal 9 2" xfId="104"/>
    <cellStyle name="Normal 9 3" xfId="348"/>
    <cellStyle name="Normal_EStarWASHERResTiersFY07v1_3_postJan07" xfId="4"/>
    <cellStyle name="Normal_MTDUCT" xfId="2"/>
    <cellStyle name="Normal_MTRESAPPLPOT" xfId="126"/>
    <cellStyle name="Normal_PC-LPDPackage-6P-D14" xfId="125"/>
    <cellStyle name="Normal_ProCostFinAssumptions_Sector" xfId="3"/>
    <cellStyle name="Note 2" xfId="105"/>
    <cellStyle name="Note 2 2" xfId="349"/>
    <cellStyle name="Note 2 2 2" xfId="495"/>
    <cellStyle name="Note 2 3" xfId="496"/>
    <cellStyle name="Note 2 3 2" xfId="497"/>
    <cellStyle name="Note 2 4" xfId="498"/>
    <cellStyle name="Note 2 4 2" xfId="499"/>
    <cellStyle name="Note 2 5" xfId="500"/>
    <cellStyle name="Note 3" xfId="106"/>
    <cellStyle name="Note 4" xfId="350"/>
    <cellStyle name="Note 5" xfId="351"/>
    <cellStyle name="Output 2" xfId="107"/>
    <cellStyle name="Output 2 2" xfId="352"/>
    <cellStyle name="Output 3" xfId="353"/>
    <cellStyle name="Percent" xfId="9" builtinId="5"/>
    <cellStyle name="Percent 2" xfId="108"/>
    <cellStyle name="Percent 2 10" xfId="501"/>
    <cellStyle name="Percent 2 2" xfId="109"/>
    <cellStyle name="Percent 2 2 2" xfId="110"/>
    <cellStyle name="Percent 2 2 2 2" xfId="111"/>
    <cellStyle name="Percent 2 2 2 2 2" xfId="502"/>
    <cellStyle name="Percent 2 2 2 3" xfId="354"/>
    <cellStyle name="Percent 2 2 3" xfId="112"/>
    <cellStyle name="Percent 2 2 4" xfId="355"/>
    <cellStyle name="Percent 2 3" xfId="356"/>
    <cellStyle name="Percent 2 3 2" xfId="357"/>
    <cellStyle name="Percent 2 3 2 2" xfId="503"/>
    <cellStyle name="Percent 2 3 2 2 2" xfId="504"/>
    <cellStyle name="Percent 2 3 2 3" xfId="505"/>
    <cellStyle name="Percent 2 3 2 3 2" xfId="506"/>
    <cellStyle name="Percent 2 3 2 4" xfId="507"/>
    <cellStyle name="Percent 2 3 2 4 2" xfId="508"/>
    <cellStyle name="Percent 2 3 2 5" xfId="509"/>
    <cellStyle name="Percent 2 3 2 6" xfId="510"/>
    <cellStyle name="Percent 2 3 3" xfId="358"/>
    <cellStyle name="Percent 2 4" xfId="511"/>
    <cellStyle name="Percent 2 4 2" xfId="512"/>
    <cellStyle name="Percent 2 4 3" xfId="513"/>
    <cellStyle name="Percent 2 5" xfId="514"/>
    <cellStyle name="Percent 2 5 2" xfId="515"/>
    <cellStyle name="Percent 2 6" xfId="516"/>
    <cellStyle name="Percent 2 6 2" xfId="517"/>
    <cellStyle name="Percent 2 7" xfId="518"/>
    <cellStyle name="Percent 2 7 2" xfId="519"/>
    <cellStyle name="Percent 2 8" xfId="520"/>
    <cellStyle name="Percent 2 9" xfId="521"/>
    <cellStyle name="Percent 3" xfId="11"/>
    <cellStyle name="Percent 3 2" xfId="113"/>
    <cellStyle name="Percent 3 2 2" xfId="114"/>
    <cellStyle name="Percent 3 2 2 2" xfId="522"/>
    <cellStyle name="Percent 3 2 3" xfId="359"/>
    <cellStyle name="Percent 3 2 3 2" xfId="523"/>
    <cellStyle name="Percent 3 2 4" xfId="524"/>
    <cellStyle name="Percent 3 2 4 2" xfId="525"/>
    <cellStyle name="Percent 3 2 5" xfId="526"/>
    <cellStyle name="Percent 3 2 5 2" xfId="527"/>
    <cellStyle name="Percent 3 2 6" xfId="528"/>
    <cellStyle name="Percent 3 2 7" xfId="529"/>
    <cellStyle name="Percent 3 2 8" xfId="530"/>
    <cellStyle name="Percent 3 3" xfId="115"/>
    <cellStyle name="Percent 3 4" xfId="360"/>
    <cellStyle name="Percent 3 5" xfId="531"/>
    <cellStyle name="Percent 4" xfId="116"/>
    <cellStyle name="Percent 4 2" xfId="117"/>
    <cellStyle name="Percent 4 2 2" xfId="532"/>
    <cellStyle name="Percent 4 3" xfId="533"/>
    <cellStyle name="Percent 5" xfId="118"/>
    <cellStyle name="Percent 5 2" xfId="534"/>
    <cellStyle name="Percent 6" xfId="361"/>
    <cellStyle name="Percent 6 2" xfId="362"/>
    <cellStyle name="Percent 7" xfId="363"/>
    <cellStyle name="Percent 8" xfId="364"/>
    <cellStyle name="Percent 9" xfId="535"/>
    <cellStyle name="Sheet Title" xfId="365"/>
    <cellStyle name="Style 1" xfId="366"/>
    <cellStyle name="Style 1 2" xfId="367"/>
    <cellStyle name="Style 28" xfId="368"/>
    <cellStyle name="Title 2" xfId="119"/>
    <cellStyle name="Title 2 2" xfId="369"/>
    <cellStyle name="Title 3" xfId="370"/>
    <cellStyle name="Total 2" xfId="120"/>
    <cellStyle name="Total 2 2" xfId="371"/>
    <cellStyle name="Total 3" xfId="372"/>
    <cellStyle name="Warning Text 2" xfId="121"/>
    <cellStyle name="Warning Text 3" xfId="373"/>
    <cellStyle name="표준 2_WP-1 보고자료 (2009.06.03)" xfId="374"/>
    <cellStyle name="표준_ENERGY CONSUMP" xfId="122"/>
    <cellStyle name="常规_海外市场服务网站资料操作BOM"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Advanced Power Strips - New</c:v>
            </c:pt>
          </c:strCache>
        </c:strRef>
      </c:tx>
      <c:layout>
        <c:manualLayout>
          <c:xMode val="edge"/>
          <c:yMode val="edge"/>
          <c:x val="0.27677829502253981"/>
          <c:y val="3.2608695652174523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09"/>
          <c:y val="0.14402173913043703"/>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20049.616126239333</c:v>
                </c:pt>
                <c:pt idx="1">
                  <c:v>18994.025441571484</c:v>
                </c:pt>
                <c:pt idx="2">
                  <c:v>17828.516778645626</c:v>
                </c:pt>
                <c:pt idx="3">
                  <c:v>17079.507568245892</c:v>
                </c:pt>
                <c:pt idx="4">
                  <c:v>16455.996497425818</c:v>
                </c:pt>
                <c:pt idx="5">
                  <c:v>15538.006743192545</c:v>
                </c:pt>
                <c:pt idx="6">
                  <c:v>14967.741978081314</c:v>
                </c:pt>
                <c:pt idx="7">
                  <c:v>14759.409649786539</c:v>
                </c:pt>
                <c:pt idx="8">
                  <c:v>14471.874562373821</c:v>
                </c:pt>
                <c:pt idx="9">
                  <c:v>14591.340951650061</c:v>
                </c:pt>
                <c:pt idx="10">
                  <c:v>14554.548758923085</c:v>
                </c:pt>
                <c:pt idx="11">
                  <c:v>14230.784665510871</c:v>
                </c:pt>
                <c:pt idx="12">
                  <c:v>13720.511300739956</c:v>
                </c:pt>
                <c:pt idx="13">
                  <c:v>13601.297027861057</c:v>
                </c:pt>
                <c:pt idx="14">
                  <c:v>13625.027278896983</c:v>
                </c:pt>
                <c:pt idx="15">
                  <c:v>13403.078607302134</c:v>
                </c:pt>
                <c:pt idx="16">
                  <c:v>12801.283728448629</c:v>
                </c:pt>
                <c:pt idx="17">
                  <c:v>12621.240997865836</c:v>
                </c:pt>
                <c:pt idx="18">
                  <c:v>12494.7558093194</c:v>
                </c:pt>
                <c:pt idx="19">
                  <c:v>12579.581169964184</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2521.8034992464022</c:v>
                </c:pt>
                <c:pt idx="1">
                  <c:v>2469.3560639494963</c:v>
                </c:pt>
                <c:pt idx="2">
                  <c:v>2423.5245755231076</c:v>
                </c:pt>
                <c:pt idx="3">
                  <c:v>2323.4302177558352</c:v>
                </c:pt>
                <c:pt idx="4">
                  <c:v>2168.3546325496441</c:v>
                </c:pt>
                <c:pt idx="5">
                  <c:v>2071.6483882312918</c:v>
                </c:pt>
                <c:pt idx="6">
                  <c:v>2034.1473565069127</c:v>
                </c:pt>
                <c:pt idx="7">
                  <c:v>2052.9500693824225</c:v>
                </c:pt>
                <c:pt idx="8">
                  <c:v>2083.4115515370759</c:v>
                </c:pt>
                <c:pt idx="9">
                  <c:v>2120.0279282007036</c:v>
                </c:pt>
                <c:pt idx="10">
                  <c:v>2108.7841631447882</c:v>
                </c:pt>
                <c:pt idx="11">
                  <c:v>2089.2638124735618</c:v>
                </c:pt>
                <c:pt idx="12">
                  <c:v>2072.4743539468436</c:v>
                </c:pt>
                <c:pt idx="13">
                  <c:v>2029.9977761360731</c:v>
                </c:pt>
                <c:pt idx="14">
                  <c:v>1985.8561111586448</c:v>
                </c:pt>
                <c:pt idx="15">
                  <c:v>1921.7345454932831</c:v>
                </c:pt>
                <c:pt idx="16">
                  <c:v>1865.8821957868197</c:v>
                </c:pt>
                <c:pt idx="17">
                  <c:v>1819.4305395832591</c:v>
                </c:pt>
                <c:pt idx="18">
                  <c:v>1762.0422351772675</c:v>
                </c:pt>
                <c:pt idx="19">
                  <c:v>1755.3762929161157</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322.12830839480654</c:v>
                </c:pt>
                <c:pt idx="1">
                  <c:v>321.11739772275092</c:v>
                </c:pt>
                <c:pt idx="2">
                  <c:v>329.38008288717765</c:v>
                </c:pt>
                <c:pt idx="3">
                  <c:v>338.21030142526649</c:v>
                </c:pt>
                <c:pt idx="4">
                  <c:v>324.64229899605203</c:v>
                </c:pt>
                <c:pt idx="5">
                  <c:v>316.63841258490794</c:v>
                </c:pt>
                <c:pt idx="6">
                  <c:v>314.79803534155758</c:v>
                </c:pt>
                <c:pt idx="7">
                  <c:v>313.66564848483466</c:v>
                </c:pt>
                <c:pt idx="8">
                  <c:v>312.46550861733738</c:v>
                </c:pt>
                <c:pt idx="9">
                  <c:v>309.73945143704799</c:v>
                </c:pt>
                <c:pt idx="10">
                  <c:v>305.15971707279851</c:v>
                </c:pt>
                <c:pt idx="11">
                  <c:v>301.93405033188077</c:v>
                </c:pt>
                <c:pt idx="12">
                  <c:v>299.45444667775729</c:v>
                </c:pt>
                <c:pt idx="13">
                  <c:v>296.87461964748934</c:v>
                </c:pt>
                <c:pt idx="14">
                  <c:v>294.06877637149029</c:v>
                </c:pt>
                <c:pt idx="15">
                  <c:v>290.37472033753693</c:v>
                </c:pt>
                <c:pt idx="16">
                  <c:v>286.63035103952382</c:v>
                </c:pt>
                <c:pt idx="17">
                  <c:v>283.11464602591667</c:v>
                </c:pt>
                <c:pt idx="18">
                  <c:v>279.6523132448059</c:v>
                </c:pt>
                <c:pt idx="19">
                  <c:v>279.68531971546491</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58616448"/>
        <c:axId val="58630528"/>
      </c:barChart>
      <c:catAx>
        <c:axId val="58616448"/>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8630528"/>
        <c:crosses val="autoZero"/>
        <c:auto val="1"/>
        <c:lblAlgn val="ctr"/>
        <c:lblOffset val="100"/>
        <c:tickLblSkip val="1"/>
        <c:tickMarkSkip val="1"/>
      </c:catAx>
      <c:valAx>
        <c:axId val="58630528"/>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8616448"/>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766" r="0.75000000000000766"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36</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2095500</xdr:colOff>
      <xdr:row>7</xdr:row>
      <xdr:rowOff>0</xdr:rowOff>
    </xdr:from>
    <xdr:to>
      <xdr:col>2</xdr:col>
      <xdr:colOff>1019175</xdr:colOff>
      <xdr:row>7</xdr:row>
      <xdr:rowOff>0</xdr:rowOff>
    </xdr:to>
    <xdr:sp macro="" textlink="">
      <xdr:nvSpPr>
        <xdr:cNvPr id="2" name="AutoShape 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3" name="AutoShape 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4" name="AutoShape 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5" name="AutoShape 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6" name="AutoShape 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7" name="AutoShape 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8" name="AutoShape 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9" name="AutoShape 8"/>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0" name="AutoShape 9"/>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1" name="AutoShape 10"/>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2" name="AutoShape 1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3" name="AutoShape 1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4" name="AutoShape 1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5" name="AutoShape 1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6" name="AutoShape 1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7" name="AutoShape 1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8" name="AutoShape 1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9" name="AutoShape 18"/>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0" name="AutoShape 19"/>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1" name="AutoShape 20"/>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2" name="AutoShape 2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3" name="AutoShape 2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4" name="AutoShape 2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5" name="AutoShape 2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6" name="AutoShape 2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7" name="AutoShape 2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8" name="AutoShape 2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14</xdr:row>
      <xdr:rowOff>133350</xdr:rowOff>
    </xdr:from>
    <xdr:to>
      <xdr:col>5</xdr:col>
      <xdr:colOff>457200</xdr:colOff>
      <xdr:row>22</xdr:row>
      <xdr:rowOff>19049</xdr:rowOff>
    </xdr:to>
    <xdr:pic>
      <xdr:nvPicPr>
        <xdr:cNvPr id="2" name="Picture 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647700" y="2400300"/>
          <a:ext cx="4714875" cy="1181099"/>
        </a:xfrm>
        <a:prstGeom prst="rect">
          <a:avLst/>
        </a:prstGeom>
        <a:noFill/>
        <a:ln>
          <a:noFill/>
        </a:ln>
      </xdr:spPr>
    </xdr:pic>
    <xdr:clientData/>
  </xdr:twoCellAnchor>
  <xdr:twoCellAnchor editAs="oneCell">
    <xdr:from>
      <xdr:col>1</xdr:col>
      <xdr:colOff>47624</xdr:colOff>
      <xdr:row>25</xdr:row>
      <xdr:rowOff>9525</xdr:rowOff>
    </xdr:from>
    <xdr:to>
      <xdr:col>5</xdr:col>
      <xdr:colOff>428624</xdr:colOff>
      <xdr:row>32</xdr:row>
      <xdr:rowOff>9525</xdr:rowOff>
    </xdr:to>
    <xdr:pic>
      <xdr:nvPicPr>
        <xdr:cNvPr id="3" name="Picture 2"/>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657224" y="4057650"/>
          <a:ext cx="4676775" cy="1133475"/>
        </a:xfrm>
        <a:prstGeom prst="rect">
          <a:avLst/>
        </a:prstGeom>
        <a:noFill/>
        <a:ln>
          <a:noFill/>
        </a:ln>
      </xdr:spPr>
    </xdr:pic>
    <xdr:clientData/>
  </xdr:twoCellAnchor>
  <xdr:twoCellAnchor editAs="oneCell">
    <xdr:from>
      <xdr:col>8</xdr:col>
      <xdr:colOff>0</xdr:colOff>
      <xdr:row>4</xdr:row>
      <xdr:rowOff>0</xdr:rowOff>
    </xdr:from>
    <xdr:to>
      <xdr:col>14</xdr:col>
      <xdr:colOff>95250</xdr:colOff>
      <xdr:row>11</xdr:row>
      <xdr:rowOff>142875</xdr:rowOff>
    </xdr:to>
    <xdr:pic>
      <xdr:nvPicPr>
        <xdr:cNvPr id="4" name="Picture 3"/>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7486650" y="647700"/>
          <a:ext cx="4772025" cy="1276350"/>
        </a:xfrm>
        <a:prstGeom prst="rect">
          <a:avLst/>
        </a:prstGeom>
        <a:noFill/>
        <a:ln>
          <a:noFill/>
        </a:ln>
      </xdr:spPr>
    </xdr:pic>
    <xdr:clientData/>
  </xdr:twoCellAnchor>
  <xdr:twoCellAnchor editAs="oneCell">
    <xdr:from>
      <xdr:col>8</xdr:col>
      <xdr:colOff>19050</xdr:colOff>
      <xdr:row>15</xdr:row>
      <xdr:rowOff>9525</xdr:rowOff>
    </xdr:from>
    <xdr:to>
      <xdr:col>14</xdr:col>
      <xdr:colOff>9525</xdr:colOff>
      <xdr:row>22</xdr:row>
      <xdr:rowOff>19050</xdr:rowOff>
    </xdr:to>
    <xdr:pic>
      <xdr:nvPicPr>
        <xdr:cNvPr id="5" name="Picture 4"/>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7505700" y="2438400"/>
          <a:ext cx="4667250" cy="1143000"/>
        </a:xfrm>
        <a:prstGeom prst="rect">
          <a:avLst/>
        </a:prstGeom>
        <a:noFill/>
        <a:ln>
          <a:noFill/>
        </a:ln>
      </xdr:spPr>
    </xdr:pic>
    <xdr:clientData/>
  </xdr:twoCellAnchor>
  <xdr:twoCellAnchor editAs="oneCell">
    <xdr:from>
      <xdr:col>7</xdr:col>
      <xdr:colOff>609599</xdr:colOff>
      <xdr:row>25</xdr:row>
      <xdr:rowOff>0</xdr:rowOff>
    </xdr:from>
    <xdr:to>
      <xdr:col>14</xdr:col>
      <xdr:colOff>95249</xdr:colOff>
      <xdr:row>32</xdr:row>
      <xdr:rowOff>9525</xdr:rowOff>
    </xdr:to>
    <xdr:pic>
      <xdr:nvPicPr>
        <xdr:cNvPr id="6" name="Picture 5"/>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7486649" y="4048125"/>
          <a:ext cx="4772025" cy="1143000"/>
        </a:xfrm>
        <a:prstGeom prst="rect">
          <a:avLst/>
        </a:prstGeom>
        <a:noFill/>
        <a:ln>
          <a:noFill/>
        </a:ln>
      </xdr:spPr>
    </xdr:pic>
    <xdr:clientData/>
  </xdr:twoCellAnchor>
  <xdr:twoCellAnchor editAs="oneCell">
    <xdr:from>
      <xdr:col>0</xdr:col>
      <xdr:colOff>542925</xdr:colOff>
      <xdr:row>3</xdr:row>
      <xdr:rowOff>47626</xdr:rowOff>
    </xdr:from>
    <xdr:to>
      <xdr:col>5</xdr:col>
      <xdr:colOff>723900</xdr:colOff>
      <xdr:row>12</xdr:row>
      <xdr:rowOff>57151</xdr:rowOff>
    </xdr:to>
    <xdr:pic>
      <xdr:nvPicPr>
        <xdr:cNvPr id="7" name="Picture 6"/>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542925" y="533401"/>
          <a:ext cx="5086350" cy="146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323850</xdr:colOff>
      <xdr:row>103</xdr:row>
      <xdr:rowOff>85725</xdr:rowOff>
    </xdr:from>
    <xdr:to>
      <xdr:col>37</xdr:col>
      <xdr:colOff>342900</xdr:colOff>
      <xdr:row>103</xdr:row>
      <xdr:rowOff>85725</xdr:rowOff>
    </xdr:to>
    <xdr:cxnSp macro="">
      <xdr:nvCxnSpPr>
        <xdr:cNvPr id="2" name="Straight Arrow Connector 1"/>
        <xdr:cNvCxnSpPr/>
      </xdr:nvCxnSpPr>
      <xdr:spPr bwMode="auto">
        <a:xfrm>
          <a:off x="8077200" y="22698075"/>
          <a:ext cx="18326100" cy="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10</xdr:col>
      <xdr:colOff>400050</xdr:colOff>
      <xdr:row>104</xdr:row>
      <xdr:rowOff>85725</xdr:rowOff>
    </xdr:from>
    <xdr:to>
      <xdr:col>27</xdr:col>
      <xdr:colOff>504825</xdr:colOff>
      <xdr:row>104</xdr:row>
      <xdr:rowOff>95250</xdr:rowOff>
    </xdr:to>
    <xdr:cxnSp macro="">
      <xdr:nvCxnSpPr>
        <xdr:cNvPr id="3" name="Straight Arrow Connector 2"/>
        <xdr:cNvCxnSpPr/>
      </xdr:nvCxnSpPr>
      <xdr:spPr bwMode="auto">
        <a:xfrm flipV="1">
          <a:off x="8153400" y="22860000"/>
          <a:ext cx="12315825" cy="95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 val="Pop Forecast (High Case)"/>
      <sheetName val="Pop Forecast (Low Case)"/>
      <sheetName val="7P Forecasts D2"/>
      <sheetName val="ProCost 6th Plan Inputs"/>
    </sheetNames>
    <definedNames>
      <definedName name="rng_ForecastColumnLookup" refersTo="='Forecast Switchboard'!$H$21:$AE$21"/>
      <definedName name="rng_ForecastRowLookup" refersTo="='Forecast Switchboard'!$G$22:$G$502"/>
      <definedName name="switch_ForecastScenario" refersTo="='Forecast Switchboard'!$H$3"/>
      <definedName name="switch_ForecastState" refersTo="='Forecast Switchboard'!$H$4"/>
      <definedName name="tbl_Forecast" refersTo="='Forecast Switchboard'!$H$22:$AE$502"/>
    </definedNames>
    <sheetDataSet>
      <sheetData sheetId="0"/>
      <sheetData sheetId="1">
        <row r="3">
          <cell r="H3" t="str">
            <v>Base</v>
          </cell>
        </row>
        <row r="4">
          <cell r="H4" t="str">
            <v>Region</v>
          </cell>
        </row>
        <row r="21">
          <cell r="H21" t="str">
            <v>Sector</v>
          </cell>
          <cell r="I21" t="str">
            <v>Building/Industry Type</v>
          </cell>
          <cell r="J21" t="str">
            <v>Vintage / Subcategory</v>
          </cell>
          <cell r="K21" t="str">
            <v>Forecast Units</v>
          </cell>
          <cell r="L21">
            <v>2016</v>
          </cell>
          <cell r="M21">
            <v>2017</v>
          </cell>
          <cell r="N21">
            <v>2018</v>
          </cell>
          <cell r="O21">
            <v>2019</v>
          </cell>
          <cell r="P21">
            <v>2020</v>
          </cell>
          <cell r="Q21">
            <v>2021</v>
          </cell>
          <cell r="R21">
            <v>2022</v>
          </cell>
          <cell r="S21">
            <v>2023</v>
          </cell>
          <cell r="T21">
            <v>2024</v>
          </cell>
          <cell r="U21">
            <v>2025</v>
          </cell>
          <cell r="V21">
            <v>2026</v>
          </cell>
          <cell r="W21">
            <v>2027</v>
          </cell>
          <cell r="X21">
            <v>2028</v>
          </cell>
          <cell r="Y21">
            <v>2029</v>
          </cell>
          <cell r="Z21">
            <v>2030</v>
          </cell>
          <cell r="AA21">
            <v>2031</v>
          </cell>
          <cell r="AB21">
            <v>2032</v>
          </cell>
          <cell r="AC21">
            <v>2033</v>
          </cell>
          <cell r="AD21">
            <v>2034</v>
          </cell>
          <cell r="AE21">
            <v>2035</v>
          </cell>
        </row>
        <row r="22">
          <cell r="G22" t="str">
            <v>RegionSingle FamilyNew</v>
          </cell>
          <cell r="H22" t="str">
            <v>Res</v>
          </cell>
          <cell r="I22" t="str">
            <v>Single Family</v>
          </cell>
          <cell r="J22" t="str">
            <v>New</v>
          </cell>
          <cell r="K22" t="str">
            <v>Buildings</v>
          </cell>
          <cell r="L22">
            <v>62685.758999999998</v>
          </cell>
          <cell r="M22">
            <v>59961.781000000003</v>
          </cell>
          <cell r="N22">
            <v>56834.012000000002</v>
          </cell>
          <cell r="O22">
            <v>54985.192999999999</v>
          </cell>
          <cell r="P22">
            <v>53507.474000000002</v>
          </cell>
          <cell r="Q22">
            <v>50982.05</v>
          </cell>
          <cell r="R22">
            <v>49561.669000000002</v>
          </cell>
          <cell r="S22">
            <v>49324.517999999996</v>
          </cell>
          <cell r="T22">
            <v>48815.77</v>
          </cell>
          <cell r="U22">
            <v>49683.252</v>
          </cell>
          <cell r="V22">
            <v>50030.137000000002</v>
          </cell>
          <cell r="W22">
            <v>49387.762999999999</v>
          </cell>
          <cell r="X22">
            <v>48079.345999999998</v>
          </cell>
          <cell r="Y22">
            <v>48129.050999999999</v>
          </cell>
          <cell r="Z22">
            <v>48690.569000000003</v>
          </cell>
          <cell r="AA22">
            <v>48482.864000000001</v>
          </cell>
          <cell r="AB22">
            <v>46879.000999999997</v>
          </cell>
          <cell r="AC22">
            <v>46798.777999999998</v>
          </cell>
          <cell r="AD22">
            <v>46917.627</v>
          </cell>
          <cell r="AE22">
            <v>47236.144999999997</v>
          </cell>
        </row>
        <row r="23">
          <cell r="G23" t="str">
            <v>RegionMultifamily - Low RiseNew</v>
          </cell>
          <cell r="H23" t="str">
            <v>Res</v>
          </cell>
          <cell r="I23" t="str">
            <v>Multifamily - Low Rise</v>
          </cell>
          <cell r="J23" t="str">
            <v>New</v>
          </cell>
          <cell r="K23" t="str">
            <v>Buildings</v>
          </cell>
          <cell r="L23">
            <v>23280.347100904564</v>
          </cell>
          <cell r="M23">
            <v>23017.418106038647</v>
          </cell>
          <cell r="N23">
            <v>22811.60852767331</v>
          </cell>
          <cell r="O23">
            <v>22085.916378202593</v>
          </cell>
          <cell r="P23">
            <v>20817.853908138593</v>
          </cell>
          <cell r="Q23">
            <v>20070.279329962508</v>
          </cell>
          <cell r="R23">
            <v>19887.831284331631</v>
          </cell>
          <cell r="S23">
            <v>20257.583209811291</v>
          </cell>
          <cell r="T23">
            <v>20750.368029493613</v>
          </cell>
          <cell r="U23">
            <v>21314.334279744231</v>
          </cell>
          <cell r="V23">
            <v>21403.286239774712</v>
          </cell>
          <cell r="W23">
            <v>21409.137516518917</v>
          </cell>
          <cell r="X23">
            <v>21443.358292282628</v>
          </cell>
          <cell r="Y23">
            <v>21209.865626522758</v>
          </cell>
          <cell r="Z23">
            <v>20954.17798283829</v>
          </cell>
          <cell r="AA23">
            <v>20525.44023202754</v>
          </cell>
          <cell r="AB23">
            <v>20175.505597554071</v>
          </cell>
          <cell r="AC23">
            <v>19919.723927484571</v>
          </cell>
          <cell r="AD23">
            <v>19536.194066416414</v>
          </cell>
          <cell r="AE23">
            <v>19462.287131015248</v>
          </cell>
        </row>
        <row r="24">
          <cell r="G24" t="str">
            <v>RegionMultifamily - High RiseNew</v>
          </cell>
          <cell r="H24" t="str">
            <v>Res</v>
          </cell>
          <cell r="I24" t="str">
            <v>Multifamily - High Rise</v>
          </cell>
          <cell r="J24" t="str">
            <v>New</v>
          </cell>
          <cell r="K24" t="str">
            <v>Buildings</v>
          </cell>
          <cell r="L24">
            <v>5226.2387411561367</v>
          </cell>
          <cell r="M24">
            <v>5239.95312759432</v>
          </cell>
          <cell r="N24">
            <v>5271.2612760989568</v>
          </cell>
          <cell r="O24">
            <v>4985.883552972361</v>
          </cell>
          <cell r="P24">
            <v>4608.5912035798974</v>
          </cell>
          <cell r="Q24">
            <v>4509.6375960361838</v>
          </cell>
          <cell r="R24">
            <v>4481.760351096189</v>
          </cell>
          <cell r="S24">
            <v>4621.8312800578688</v>
          </cell>
          <cell r="T24">
            <v>4700.9782942419988</v>
          </cell>
          <cell r="U24">
            <v>4828.2391631488581</v>
          </cell>
          <cell r="V24">
            <v>4790.0249139778334</v>
          </cell>
          <cell r="W24">
            <v>4782.0649962402858</v>
          </cell>
          <cell r="X24">
            <v>4748.3908346265653</v>
          </cell>
          <cell r="Y24">
            <v>4733.4823682495089</v>
          </cell>
          <cell r="Z24">
            <v>4698.697177079107</v>
          </cell>
          <cell r="AA24">
            <v>4599.2987885998937</v>
          </cell>
          <cell r="AB24">
            <v>4526.3104216428001</v>
          </cell>
          <cell r="AC24">
            <v>4422.0600452822764</v>
          </cell>
          <cell r="AD24">
            <v>4405.182362066379</v>
          </cell>
          <cell r="AE24">
            <v>4385.1136986120664</v>
          </cell>
        </row>
        <row r="25">
          <cell r="G25" t="str">
            <v>RegionManufacturedNew</v>
          </cell>
          <cell r="H25" t="str">
            <v>Res</v>
          </cell>
          <cell r="I25" t="str">
            <v>Manufactured</v>
          </cell>
          <cell r="J25" t="str">
            <v>New</v>
          </cell>
          <cell r="K25" t="str">
            <v>Buildings</v>
          </cell>
          <cell r="L25">
            <v>1869.5754050925925</v>
          </cell>
          <cell r="M25">
            <v>1881.796305941358</v>
          </cell>
          <cell r="N25">
            <v>1949.1340235982509</v>
          </cell>
          <cell r="O25">
            <v>2021.1963608646258</v>
          </cell>
          <cell r="P25">
            <v>1959.5061710087307</v>
          </cell>
          <cell r="Q25">
            <v>1928.5764356212967</v>
          </cell>
          <cell r="R25">
            <v>1934.9641170211423</v>
          </cell>
          <cell r="S25">
            <v>1945.862235675901</v>
          </cell>
          <cell r="T25">
            <v>1956.539890631658</v>
          </cell>
          <cell r="U25">
            <v>1957.7742018038925</v>
          </cell>
          <cell r="V25">
            <v>1947.2038419604366</v>
          </cell>
          <cell r="W25">
            <v>1945.153453785721</v>
          </cell>
          <cell r="X25">
            <v>1947.9162901464586</v>
          </cell>
          <cell r="Y25">
            <v>1950.0749856673444</v>
          </cell>
          <cell r="Z25">
            <v>1950.7771106659191</v>
          </cell>
          <cell r="AA25">
            <v>1949.8166473382953</v>
          </cell>
          <cell r="AB25">
            <v>1948.4903882606959</v>
          </cell>
          <cell r="AC25">
            <v>1948.7048126440727</v>
          </cell>
          <cell r="AD25">
            <v>1949.296705787131</v>
          </cell>
          <cell r="AE25">
            <v>1949.5267750605763</v>
          </cell>
        </row>
        <row r="26">
          <cell r="G26" t="str">
            <v>RegionSingle FamilyExisting</v>
          </cell>
          <cell r="H26" t="str">
            <v>Res</v>
          </cell>
          <cell r="I26" t="str">
            <v>Single Family</v>
          </cell>
          <cell r="J26" t="str">
            <v>Existing</v>
          </cell>
          <cell r="K26" t="str">
            <v>Buildings</v>
          </cell>
          <cell r="L26">
            <v>4203528.2719999999</v>
          </cell>
          <cell r="M26">
            <v>4193982.9785983553</v>
          </cell>
          <cell r="N26">
            <v>4184459.3604704877</v>
          </cell>
          <cell r="O26">
            <v>4174957.36839659</v>
          </cell>
          <cell r="P26">
            <v>4165476.9532686244</v>
          </cell>
          <cell r="Q26">
            <v>4156018.0660900641</v>
          </cell>
          <cell r="R26">
            <v>4146580.6579756448</v>
          </cell>
          <cell r="S26">
            <v>4137164.6801511091</v>
          </cell>
          <cell r="T26">
            <v>4127770.0839529554</v>
          </cell>
          <cell r="U26">
            <v>4118396.8208281873</v>
          </cell>
          <cell r="V26">
            <v>4109044.8423340586</v>
          </cell>
          <cell r="W26">
            <v>4099714.1001378288</v>
          </cell>
          <cell r="X26">
            <v>4090404.5460165106</v>
          </cell>
          <cell r="Y26">
            <v>4081116.1318566194</v>
          </cell>
          <cell r="Z26">
            <v>4071848.8096539262</v>
          </cell>
          <cell r="AA26">
            <v>4062602.5315132081</v>
          </cell>
          <cell r="AB26">
            <v>4053377.2496480034</v>
          </cell>
          <cell r="AC26">
            <v>4044172.9163803621</v>
          </cell>
          <cell r="AD26">
            <v>4034989.4841406001</v>
          </cell>
          <cell r="AE26">
            <v>4025826.9054670548</v>
          </cell>
        </row>
        <row r="27">
          <cell r="G27" t="str">
            <v>RegionMultifamily - Low RiseExisting</v>
          </cell>
          <cell r="H27" t="str">
            <v>Res</v>
          </cell>
          <cell r="I27" t="str">
            <v>Multifamily - Low Rise</v>
          </cell>
          <cell r="J27" t="str">
            <v>Existing</v>
          </cell>
          <cell r="K27" t="str">
            <v>Buildings</v>
          </cell>
          <cell r="L27">
            <v>926243.25609262148</v>
          </cell>
          <cell r="M27">
            <v>924139.92640956037</v>
          </cell>
          <cell r="N27">
            <v>922041.3730050053</v>
          </cell>
          <cell r="O27">
            <v>919947.58503289847</v>
          </cell>
          <cell r="P27">
            <v>917858.55167181045</v>
          </cell>
          <cell r="Q27">
            <v>915774.26212488639</v>
          </cell>
          <cell r="R27">
            <v>913694.70561978838</v>
          </cell>
          <cell r="S27">
            <v>911619.87140864041</v>
          </cell>
          <cell r="T27">
            <v>909549.74876797362</v>
          </cell>
          <cell r="U27">
            <v>907484.32699866977</v>
          </cell>
          <cell r="V27">
            <v>905423.59542590659</v>
          </cell>
          <cell r="W27">
            <v>903367.54339910217</v>
          </cell>
          <cell r="X27">
            <v>901316.16029185988</v>
          </cell>
          <cell r="Y27">
            <v>899269.43550191447</v>
          </cell>
          <cell r="Z27">
            <v>897227.35845107585</v>
          </cell>
          <cell r="AA27">
            <v>895189.9185851753</v>
          </cell>
          <cell r="AB27">
            <v>893157.10537401051</v>
          </cell>
          <cell r="AC27">
            <v>891128.90831129183</v>
          </cell>
          <cell r="AD27">
            <v>889105.31691458682</v>
          </cell>
          <cell r="AE27">
            <v>887086.32072526717</v>
          </cell>
        </row>
        <row r="28">
          <cell r="G28" t="str">
            <v>RegionMultifamily - High RiseExisting</v>
          </cell>
          <cell r="H28" t="str">
            <v>Res</v>
          </cell>
          <cell r="I28" t="str">
            <v>Multifamily - High Rise</v>
          </cell>
          <cell r="J28" t="str">
            <v>Existing</v>
          </cell>
          <cell r="K28" t="str">
            <v>Buildings</v>
          </cell>
          <cell r="L28">
            <v>211180.07985625503</v>
          </cell>
          <cell r="M28">
            <v>210700.52836963299</v>
          </cell>
          <cell r="N28">
            <v>210222.06585706791</v>
          </cell>
          <cell r="O28">
            <v>209744.68984569819</v>
          </cell>
          <cell r="P28">
            <v>209268.39786827751</v>
          </cell>
          <cell r="Q28">
            <v>208793.18746316229</v>
          </cell>
          <cell r="R28">
            <v>208319.05617429892</v>
          </cell>
          <cell r="S28">
            <v>207846.00155121088</v>
          </cell>
          <cell r="T28">
            <v>207374.0211489865</v>
          </cell>
          <cell r="U28">
            <v>206903.11252826577</v>
          </cell>
          <cell r="V28">
            <v>206433.27325522827</v>
          </cell>
          <cell r="W28">
            <v>205964.50090158021</v>
          </cell>
          <cell r="X28">
            <v>205496.79304454199</v>
          </cell>
          <cell r="Y28">
            <v>205030.14726683579</v>
          </cell>
          <cell r="Z28">
            <v>204564.56115667295</v>
          </cell>
          <cell r="AA28">
            <v>204100.03230774152</v>
          </cell>
          <cell r="AB28">
            <v>203636.55831919383</v>
          </cell>
          <cell r="AC28">
            <v>203174.13679563423</v>
          </cell>
          <cell r="AD28">
            <v>202712.76534710638</v>
          </cell>
          <cell r="AE28">
            <v>202252.44158908122</v>
          </cell>
        </row>
        <row r="29">
          <cell r="G29" t="str">
            <v>RegionManufacturedExisting</v>
          </cell>
          <cell r="H29" t="str">
            <v>Res</v>
          </cell>
          <cell r="I29" t="str">
            <v>Manufactured</v>
          </cell>
          <cell r="J29" t="str">
            <v>Existing</v>
          </cell>
          <cell r="K29" t="str">
            <v>Buildings</v>
          </cell>
          <cell r="L29">
            <v>572006.3278356482</v>
          </cell>
          <cell r="M29">
            <v>565893.30394507048</v>
          </cell>
          <cell r="N29">
            <v>559845.60985814757</v>
          </cell>
          <cell r="O29">
            <v>553862.54739615123</v>
          </cell>
          <cell r="P29">
            <v>547943.42584177968</v>
          </cell>
          <cell r="Q29">
            <v>542087.56185941794</v>
          </cell>
          <cell r="R29">
            <v>536294.27941624937</v>
          </cell>
          <cell r="S29">
            <v>530562.90970421082</v>
          </cell>
          <cell r="T29">
            <v>524892.79106278194</v>
          </cell>
          <cell r="U29">
            <v>519283.26890259917</v>
          </cell>
          <cell r="V29">
            <v>513733.69562988722</v>
          </cell>
          <cell r="W29">
            <v>508243.4305716962</v>
          </cell>
          <cell r="X29">
            <v>502811.8399019395</v>
          </cell>
          <cell r="Y29">
            <v>497438.2965682213</v>
          </cell>
          <cell r="Z29">
            <v>492122.18021944637</v>
          </cell>
          <cell r="AA29">
            <v>486862.87713420321</v>
          </cell>
          <cell r="AB29">
            <v>481659.78014991269</v>
          </cell>
          <cell r="AC29">
            <v>476512.28859273402</v>
          </cell>
          <cell r="AD29">
            <v>471419.80820821953</v>
          </cell>
          <cell r="AE29">
            <v>466381.75109271082</v>
          </cell>
        </row>
        <row r="30">
          <cell r="G30" t="str">
            <v>RegionLarge OffNew</v>
          </cell>
          <cell r="H30" t="str">
            <v>Com</v>
          </cell>
          <cell r="I30" t="str">
            <v>Large Off</v>
          </cell>
          <cell r="J30" t="str">
            <v>New</v>
          </cell>
          <cell r="K30" t="str">
            <v>Millions SqFt</v>
          </cell>
          <cell r="L30">
            <v>7.8066550111953834</v>
          </cell>
          <cell r="M30">
            <v>5.9496992573140863</v>
          </cell>
          <cell r="N30">
            <v>5.890903545908837</v>
          </cell>
          <cell r="O30">
            <v>6.8915688291332424</v>
          </cell>
          <cell r="P30">
            <v>6.6410191533148355</v>
          </cell>
          <cell r="Q30">
            <v>5.4382226791221893</v>
          </cell>
          <cell r="R30">
            <v>6.9236851515846078</v>
          </cell>
          <cell r="S30">
            <v>6.040566884985755</v>
          </cell>
          <cell r="T30">
            <v>5.8620040343764588</v>
          </cell>
          <cell r="U30">
            <v>6.6048352977963205</v>
          </cell>
          <cell r="V30">
            <v>6.6081856774849808</v>
          </cell>
          <cell r="W30">
            <v>7.2276230030590352</v>
          </cell>
          <cell r="X30">
            <v>7.9321378463678132</v>
          </cell>
          <cell r="Y30">
            <v>7.2590370336019197</v>
          </cell>
          <cell r="Z30">
            <v>7.9122271387396417</v>
          </cell>
          <cell r="AA30">
            <v>7.7623340380974311</v>
          </cell>
          <cell r="AB30">
            <v>7.6402299023279152</v>
          </cell>
          <cell r="AC30">
            <v>7.1724831299946894</v>
          </cell>
          <cell r="AD30">
            <v>7.0810470955732994</v>
          </cell>
          <cell r="AE30">
            <v>7.4281005850341701</v>
          </cell>
        </row>
        <row r="31">
          <cell r="G31" t="str">
            <v>RegionMedium OffNew</v>
          </cell>
          <cell r="H31" t="str">
            <v>Com</v>
          </cell>
          <cell r="I31" t="str">
            <v>Medium Off</v>
          </cell>
          <cell r="J31" t="str">
            <v>New</v>
          </cell>
          <cell r="K31" t="str">
            <v>Millions SqFt</v>
          </cell>
          <cell r="L31">
            <v>6.3306892326899415</v>
          </cell>
          <cell r="M31">
            <v>4.6245517962703104</v>
          </cell>
          <cell r="N31">
            <v>4.6954401235311058</v>
          </cell>
          <cell r="O31">
            <v>5.5561738496820645</v>
          </cell>
          <cell r="P31">
            <v>5.2903315868283292</v>
          </cell>
          <cell r="Q31">
            <v>4.0954748538564614</v>
          </cell>
          <cell r="R31">
            <v>5.6166455086822502</v>
          </cell>
          <cell r="S31">
            <v>4.8928421056079552</v>
          </cell>
          <cell r="T31">
            <v>4.6489885594062974</v>
          </cell>
          <cell r="U31">
            <v>5.3600762751998365</v>
          </cell>
          <cell r="V31">
            <v>5.3451061612370649</v>
          </cell>
          <cell r="W31">
            <v>5.7169042762389006</v>
          </cell>
          <cell r="X31">
            <v>6.1644080859749115</v>
          </cell>
          <cell r="Y31">
            <v>5.8003829082546376</v>
          </cell>
          <cell r="Z31">
            <v>6.4331999103991837</v>
          </cell>
          <cell r="AA31">
            <v>6.1077443299386847</v>
          </cell>
          <cell r="AB31">
            <v>6.3133258324543373</v>
          </cell>
          <cell r="AC31">
            <v>5.5403053352108875</v>
          </cell>
          <cell r="AD31">
            <v>5.5266028757425794</v>
          </cell>
          <cell r="AE31">
            <v>5.9833355534459063</v>
          </cell>
        </row>
        <row r="32">
          <cell r="G32" t="str">
            <v>RegionSmall OffNew</v>
          </cell>
          <cell r="H32" t="str">
            <v>Com</v>
          </cell>
          <cell r="I32" t="str">
            <v>Small Off</v>
          </cell>
          <cell r="J32" t="str">
            <v>New</v>
          </cell>
          <cell r="K32" t="str">
            <v>Millions SqFt</v>
          </cell>
          <cell r="L32">
            <v>1.6621196768024407</v>
          </cell>
          <cell r="M32">
            <v>1.2170657423442173</v>
          </cell>
          <cell r="N32">
            <v>1.2444333527444498</v>
          </cell>
          <cell r="O32">
            <v>1.4586094503549032</v>
          </cell>
          <cell r="P32">
            <v>1.4004070058555529</v>
          </cell>
          <cell r="Q32">
            <v>1.0787722980410579</v>
          </cell>
          <cell r="R32">
            <v>1.4747976167420549</v>
          </cell>
          <cell r="S32">
            <v>1.2896357804774434</v>
          </cell>
          <cell r="T32">
            <v>1.2239291307589197</v>
          </cell>
          <cell r="U32">
            <v>1.4012443744673324</v>
          </cell>
          <cell r="V32">
            <v>1.3991315932028052</v>
          </cell>
          <cell r="W32">
            <v>1.4996248899933684</v>
          </cell>
          <cell r="X32">
            <v>1.6197763904689295</v>
          </cell>
          <cell r="Y32">
            <v>1.5187400891362097</v>
          </cell>
          <cell r="Z32">
            <v>1.6890757136254622</v>
          </cell>
          <cell r="AA32">
            <v>1.5972356158259797</v>
          </cell>
          <cell r="AB32">
            <v>1.640465747141107</v>
          </cell>
          <cell r="AC32">
            <v>1.4565955217811706</v>
          </cell>
          <cell r="AD32">
            <v>1.4531741906643101</v>
          </cell>
          <cell r="AE32">
            <v>1.5648660344158036</v>
          </cell>
        </row>
        <row r="33">
          <cell r="G33" t="str">
            <v>RegionXLarge RetNew</v>
          </cell>
          <cell r="H33" t="str">
            <v>Com</v>
          </cell>
          <cell r="I33" t="str">
            <v>XLarge Ret</v>
          </cell>
          <cell r="J33" t="str">
            <v>New</v>
          </cell>
          <cell r="K33" t="str">
            <v>Millions SqFt</v>
          </cell>
          <cell r="L33">
            <v>1.799418169017593</v>
          </cell>
          <cell r="M33">
            <v>1.485755176968429</v>
          </cell>
          <cell r="N33">
            <v>0.89794362681754358</v>
          </cell>
          <cell r="O33">
            <v>0.91201694404352718</v>
          </cell>
          <cell r="P33">
            <v>0.85125423267540556</v>
          </cell>
          <cell r="Q33">
            <v>0.73204497427617965</v>
          </cell>
          <cell r="R33">
            <v>0.73428349109996394</v>
          </cell>
          <cell r="S33">
            <v>0.71341173425108251</v>
          </cell>
          <cell r="T33">
            <v>0.89455902577447755</v>
          </cell>
          <cell r="U33">
            <v>1.032083805968905</v>
          </cell>
          <cell r="V33">
            <v>1.0963398187475875</v>
          </cell>
          <cell r="W33">
            <v>1.617287860192538</v>
          </cell>
          <cell r="X33">
            <v>1.8239074921539626</v>
          </cell>
          <cell r="Y33">
            <v>1.6267354909009817</v>
          </cell>
          <cell r="Z33">
            <v>1.5970323938843554</v>
          </cell>
          <cell r="AA33">
            <v>1.5393396581386409</v>
          </cell>
          <cell r="AB33">
            <v>1.2960530677092543</v>
          </cell>
          <cell r="AC33">
            <v>1.3176455108269955</v>
          </cell>
          <cell r="AD33">
            <v>1.2469979474733393</v>
          </cell>
          <cell r="AE33">
            <v>1.3540449607593745</v>
          </cell>
        </row>
        <row r="34">
          <cell r="G34" t="str">
            <v>RegionLarge RetNew</v>
          </cell>
          <cell r="H34" t="str">
            <v>Com</v>
          </cell>
          <cell r="I34" t="str">
            <v>Large Ret</v>
          </cell>
          <cell r="J34" t="str">
            <v>New</v>
          </cell>
          <cell r="K34" t="str">
            <v>Millions SqFt</v>
          </cell>
          <cell r="L34">
            <v>0.71960427219664069</v>
          </cell>
          <cell r="M34">
            <v>0.59647847099566831</v>
          </cell>
          <cell r="N34">
            <v>0.36611838042447359</v>
          </cell>
          <cell r="O34">
            <v>0.3731768350638246</v>
          </cell>
          <cell r="P34">
            <v>0.34504559304633386</v>
          </cell>
          <cell r="Q34">
            <v>0.2928623587115301</v>
          </cell>
          <cell r="R34">
            <v>0.29376294298921468</v>
          </cell>
          <cell r="S34">
            <v>0.28416308329236456</v>
          </cell>
          <cell r="T34">
            <v>0.36455471421578001</v>
          </cell>
          <cell r="U34">
            <v>0.42646627810709853</v>
          </cell>
          <cell r="V34">
            <v>0.44956380488737768</v>
          </cell>
          <cell r="W34">
            <v>0.65213839834683018</v>
          </cell>
          <cell r="X34">
            <v>0.73353807331773047</v>
          </cell>
          <cell r="Y34">
            <v>0.65560780242911365</v>
          </cell>
          <cell r="Z34">
            <v>0.64604928436358278</v>
          </cell>
          <cell r="AA34">
            <v>0.62178261445398098</v>
          </cell>
          <cell r="AB34">
            <v>0.52554853465709617</v>
          </cell>
          <cell r="AC34">
            <v>0.53266253778165396</v>
          </cell>
          <cell r="AD34">
            <v>0.50454130308386236</v>
          </cell>
          <cell r="AE34">
            <v>0.54553111610891503</v>
          </cell>
        </row>
        <row r="35">
          <cell r="G35" t="str">
            <v>RegionMedium RetNew</v>
          </cell>
          <cell r="H35" t="str">
            <v>Com</v>
          </cell>
          <cell r="I35" t="str">
            <v>Medium Ret</v>
          </cell>
          <cell r="J35" t="str">
            <v>New</v>
          </cell>
          <cell r="K35" t="str">
            <v>Millions SqFt</v>
          </cell>
          <cell r="L35">
            <v>2.7275899469990224</v>
          </cell>
          <cell r="M35">
            <v>2.2451802625726844</v>
          </cell>
          <cell r="N35">
            <v>1.3846551620328988</v>
          </cell>
          <cell r="O35">
            <v>1.414332931216091</v>
          </cell>
          <cell r="P35">
            <v>1.3048976182463843</v>
          </cell>
          <cell r="Q35">
            <v>1.1035456427042536</v>
          </cell>
          <cell r="R35">
            <v>1.0932193385059683</v>
          </cell>
          <cell r="S35">
            <v>1.0602010304011045</v>
          </cell>
          <cell r="T35">
            <v>1.3687417218066935</v>
          </cell>
          <cell r="U35">
            <v>1.6102119957699914</v>
          </cell>
          <cell r="V35">
            <v>1.7014476793012303</v>
          </cell>
          <cell r="W35">
            <v>2.4475448442766612</v>
          </cell>
          <cell r="X35">
            <v>2.7642584104961641</v>
          </cell>
          <cell r="Y35">
            <v>2.4645092385842489</v>
          </cell>
          <cell r="Z35">
            <v>2.435211674558635</v>
          </cell>
          <cell r="AA35">
            <v>2.3436666024455817</v>
          </cell>
          <cell r="AB35">
            <v>1.9970991421399598</v>
          </cell>
          <cell r="AC35">
            <v>2.0220850932468024</v>
          </cell>
          <cell r="AD35">
            <v>1.9074632582746243</v>
          </cell>
          <cell r="AE35">
            <v>2.0633846520749657</v>
          </cell>
        </row>
        <row r="36">
          <cell r="G36" t="str">
            <v>RegionSmall RetNew</v>
          </cell>
          <cell r="H36" t="str">
            <v>Com</v>
          </cell>
          <cell r="I36" t="str">
            <v>Small Ret</v>
          </cell>
          <cell r="J36" t="str">
            <v>New</v>
          </cell>
          <cell r="K36" t="str">
            <v>Millions SqFt</v>
          </cell>
          <cell r="L36">
            <v>0.86249938561661099</v>
          </cell>
          <cell r="M36">
            <v>0.71243811393533818</v>
          </cell>
          <cell r="N36">
            <v>0.43988135050703958</v>
          </cell>
          <cell r="O36">
            <v>0.44879648252082133</v>
          </cell>
          <cell r="P36">
            <v>0.41374173801952452</v>
          </cell>
          <cell r="Q36">
            <v>0.34301620014224921</v>
          </cell>
          <cell r="R36">
            <v>0.33946657261656726</v>
          </cell>
          <cell r="S36">
            <v>0.32965754978673117</v>
          </cell>
          <cell r="T36">
            <v>0.43689232903555525</v>
          </cell>
          <cell r="U36">
            <v>0.51886957722704219</v>
          </cell>
          <cell r="V36">
            <v>0.54817313334918127</v>
          </cell>
          <cell r="W36">
            <v>0.77969532117377649</v>
          </cell>
          <cell r="X36">
            <v>0.87858644381951334</v>
          </cell>
          <cell r="Y36">
            <v>0.78420074698109388</v>
          </cell>
          <cell r="Z36">
            <v>0.77728841592354081</v>
          </cell>
          <cell r="AA36">
            <v>0.74886674252534069</v>
          </cell>
          <cell r="AB36">
            <v>0.63964179951326661</v>
          </cell>
          <cell r="AC36">
            <v>0.64714740319049269</v>
          </cell>
          <cell r="AD36">
            <v>0.61166389038687663</v>
          </cell>
          <cell r="AE36">
            <v>0.66242443593788758</v>
          </cell>
        </row>
        <row r="37">
          <cell r="G37" t="str">
            <v>RegionSchool K-12New</v>
          </cell>
          <cell r="H37" t="str">
            <v>Com</v>
          </cell>
          <cell r="I37" t="str">
            <v>School K-12</v>
          </cell>
          <cell r="J37" t="str">
            <v>New</v>
          </cell>
          <cell r="K37" t="str">
            <v>Millions SqFt</v>
          </cell>
          <cell r="L37">
            <v>0.49337113702797691</v>
          </cell>
          <cell r="M37">
            <v>1.1029723159217257</v>
          </cell>
          <cell r="N37">
            <v>0.94992456965043459</v>
          </cell>
          <cell r="O37">
            <v>0.71720701164062661</v>
          </cell>
          <cell r="P37">
            <v>0.7442281187428561</v>
          </cell>
          <cell r="Q37">
            <v>0.85140099810585501</v>
          </cell>
          <cell r="R37">
            <v>0.99139466996200198</v>
          </cell>
          <cell r="S37">
            <v>1.5014629353162949</v>
          </cell>
          <cell r="T37">
            <v>1.8697826256608596</v>
          </cell>
          <cell r="U37">
            <v>1.6452707482432332</v>
          </cell>
          <cell r="V37">
            <v>1.6753181172445872</v>
          </cell>
          <cell r="W37">
            <v>1.7943041099264481</v>
          </cell>
          <cell r="X37">
            <v>1.8624299937819393</v>
          </cell>
          <cell r="Y37">
            <v>1.7489264522150836</v>
          </cell>
          <cell r="Z37">
            <v>1.7975598556031414</v>
          </cell>
          <cell r="AA37">
            <v>1.6195220459723754</v>
          </cell>
          <cell r="AB37">
            <v>1.8221433074925411</v>
          </cell>
          <cell r="AC37">
            <v>1.6336676691608698</v>
          </cell>
          <cell r="AD37">
            <v>1.7826242149357872</v>
          </cell>
          <cell r="AE37">
            <v>1.6891002859244486</v>
          </cell>
        </row>
        <row r="38">
          <cell r="G38" t="str">
            <v>RegionUniversityNew</v>
          </cell>
          <cell r="H38" t="str">
            <v>Com</v>
          </cell>
          <cell r="I38" t="str">
            <v>University</v>
          </cell>
          <cell r="J38" t="str">
            <v>New</v>
          </cell>
          <cell r="K38" t="str">
            <v>Millions SqFt</v>
          </cell>
          <cell r="L38">
            <v>0.2800209986196866</v>
          </cell>
          <cell r="M38">
            <v>0.29719871383536939</v>
          </cell>
          <cell r="N38">
            <v>0.58203115602335975</v>
          </cell>
          <cell r="O38">
            <v>0.83189457735737737</v>
          </cell>
          <cell r="P38">
            <v>0.66610454718876777</v>
          </cell>
          <cell r="Q38">
            <v>0.73648247778559484</v>
          </cell>
          <cell r="R38">
            <v>0.64334185638367225</v>
          </cell>
          <cell r="S38">
            <v>0.97289424291238524</v>
          </cell>
          <cell r="T38">
            <v>1.1820978013224126</v>
          </cell>
          <cell r="U38">
            <v>1.1785313924254113</v>
          </cell>
          <cell r="V38">
            <v>1.2952038876416079</v>
          </cell>
          <cell r="W38">
            <v>1.3229243736280945</v>
          </cell>
          <cell r="X38">
            <v>1.422909455419719</v>
          </cell>
          <cell r="Y38">
            <v>1.4430187909981058</v>
          </cell>
          <cell r="Z38">
            <v>1.2923971403480323</v>
          </cell>
          <cell r="AA38">
            <v>1.1785050733908478</v>
          </cell>
          <cell r="AB38">
            <v>1.3433889489273994</v>
          </cell>
          <cell r="AC38">
            <v>1.2265545990556588</v>
          </cell>
          <cell r="AD38">
            <v>1.2571458643971927</v>
          </cell>
          <cell r="AE38">
            <v>1.2979913333963795</v>
          </cell>
        </row>
        <row r="39">
          <cell r="G39" t="str">
            <v>RegionWarehouseNew</v>
          </cell>
          <cell r="H39" t="str">
            <v>Com</v>
          </cell>
          <cell r="I39" t="str">
            <v>Warehouse</v>
          </cell>
          <cell r="J39" t="str">
            <v>New</v>
          </cell>
          <cell r="K39" t="str">
            <v>Millions SqFt</v>
          </cell>
          <cell r="L39">
            <v>7.6586609772993617</v>
          </cell>
          <cell r="M39">
            <v>7.5774552212762423</v>
          </cell>
          <cell r="N39">
            <v>5.6453939930651131</v>
          </cell>
          <cell r="O39">
            <v>4.800793231843981</v>
          </cell>
          <cell r="P39">
            <v>3.5881391412601156</v>
          </cell>
          <cell r="Q39">
            <v>3.1529819033971824</v>
          </cell>
          <cell r="R39">
            <v>4.0691744688008198</v>
          </cell>
          <cell r="S39">
            <v>4.5400289951106014</v>
          </cell>
          <cell r="T39">
            <v>4.8555474587969272</v>
          </cell>
          <cell r="U39">
            <v>4.6966359797376018</v>
          </cell>
          <cell r="V39">
            <v>4.8557170740974245</v>
          </cell>
          <cell r="W39">
            <v>4.451750056135543</v>
          </cell>
          <cell r="X39">
            <v>3.8657972013430704</v>
          </cell>
          <cell r="Y39">
            <v>3.9817445148405937</v>
          </cell>
          <cell r="Z39">
            <v>3.9951806948216846</v>
          </cell>
          <cell r="AA39">
            <v>4.4738164673360306</v>
          </cell>
          <cell r="AB39">
            <v>4.2737219736102183</v>
          </cell>
          <cell r="AC39">
            <v>4.0870251812551333</v>
          </cell>
          <cell r="AD39">
            <v>4.137725578117939</v>
          </cell>
          <cell r="AE39">
            <v>3.6922064696454697</v>
          </cell>
        </row>
        <row r="40">
          <cell r="G40" t="str">
            <v>RegionSupermarketNew</v>
          </cell>
          <cell r="H40" t="str">
            <v>Com</v>
          </cell>
          <cell r="I40" t="str">
            <v>Supermarket</v>
          </cell>
          <cell r="J40" t="str">
            <v>New</v>
          </cell>
          <cell r="K40" t="str">
            <v>Millions SqFt</v>
          </cell>
          <cell r="L40">
            <v>0.38924897939746522</v>
          </cell>
          <cell r="M40">
            <v>0.34341311895347121</v>
          </cell>
          <cell r="N40">
            <v>0.29927348040561341</v>
          </cell>
          <cell r="O40">
            <v>0.29688874456634085</v>
          </cell>
          <cell r="P40">
            <v>0.29379933994281465</v>
          </cell>
          <cell r="Q40">
            <v>0.29041766271303127</v>
          </cell>
          <cell r="R40">
            <v>0.28614144770449462</v>
          </cell>
          <cell r="S40">
            <v>0.28163861967746157</v>
          </cell>
          <cell r="T40">
            <v>0.27688800876616482</v>
          </cell>
          <cell r="U40">
            <v>0.27357754310134663</v>
          </cell>
          <cell r="V40">
            <v>0.27063184585003941</v>
          </cell>
          <cell r="W40">
            <v>0.26801411864303953</v>
          </cell>
          <cell r="X40">
            <v>0.26660240614409092</v>
          </cell>
          <cell r="Y40">
            <v>0.25138198684402913</v>
          </cell>
          <cell r="Z40">
            <v>0.26455339135243683</v>
          </cell>
          <cell r="AA40">
            <v>0.26299167309250365</v>
          </cell>
          <cell r="AB40">
            <v>0.26140909607327911</v>
          </cell>
          <cell r="AC40">
            <v>0.25947687815142023</v>
          </cell>
          <cell r="AD40">
            <v>0.25750619496776178</v>
          </cell>
          <cell r="AE40">
            <v>0.25562560804995926</v>
          </cell>
        </row>
        <row r="41">
          <cell r="G41" t="str">
            <v>RegionMiniMartNew</v>
          </cell>
          <cell r="H41" t="str">
            <v>Com</v>
          </cell>
          <cell r="I41" t="str">
            <v>MiniMart</v>
          </cell>
          <cell r="J41" t="str">
            <v>New</v>
          </cell>
          <cell r="K41" t="str">
            <v>Millions SqFt</v>
          </cell>
          <cell r="L41">
            <v>0.19765540078516197</v>
          </cell>
          <cell r="M41">
            <v>0.18600542935034625</v>
          </cell>
          <cell r="N41">
            <v>9.5760802585072302E-2</v>
          </cell>
          <cell r="O41">
            <v>0.10062051473914659</v>
          </cell>
          <cell r="P41">
            <v>8.5646792534183808E-2</v>
          </cell>
          <cell r="Q41">
            <v>6.5415041923045286E-2</v>
          </cell>
          <cell r="R41">
            <v>5.7242996146950373E-2</v>
          </cell>
          <cell r="S41">
            <v>5.5087150941189433E-2</v>
          </cell>
          <cell r="T41">
            <v>7.3916214299540497E-2</v>
          </cell>
          <cell r="U41">
            <v>9.2056169088318471E-2</v>
          </cell>
          <cell r="V41">
            <v>0.10393709432109566</v>
          </cell>
          <cell r="W41">
            <v>0.15172170448022598</v>
          </cell>
          <cell r="X41">
            <v>0.15706997726929292</v>
          </cell>
          <cell r="Y41">
            <v>0.14510580631504899</v>
          </cell>
          <cell r="Z41">
            <v>0.15272706829792246</v>
          </cell>
          <cell r="AA41">
            <v>0.14104647748606622</v>
          </cell>
          <cell r="AB41">
            <v>0.11700741064540764</v>
          </cell>
          <cell r="AC41">
            <v>0.1200067315077773</v>
          </cell>
          <cell r="AD41">
            <v>0.11457442878633581</v>
          </cell>
          <cell r="AE41">
            <v>0.1211768182439132</v>
          </cell>
        </row>
        <row r="42">
          <cell r="G42" t="str">
            <v>RegionRestaurantNew</v>
          </cell>
          <cell r="H42" t="str">
            <v>Com</v>
          </cell>
          <cell r="I42" t="str">
            <v>Restaurant</v>
          </cell>
          <cell r="J42" t="str">
            <v>New</v>
          </cell>
          <cell r="K42" t="str">
            <v>Millions SqFt</v>
          </cell>
          <cell r="L42">
            <v>0.46894871790011039</v>
          </cell>
          <cell r="M42">
            <v>0.47387410836125871</v>
          </cell>
          <cell r="N42">
            <v>0.45144590813821411</v>
          </cell>
          <cell r="O42">
            <v>0.4505136151455652</v>
          </cell>
          <cell r="P42">
            <v>0.44778046039172248</v>
          </cell>
          <cell r="Q42">
            <v>0.44523396067124349</v>
          </cell>
          <cell r="R42">
            <v>0.44273536313864043</v>
          </cell>
          <cell r="S42">
            <v>0.4399078135546039</v>
          </cell>
          <cell r="T42">
            <v>0.43708606600163591</v>
          </cell>
          <cell r="U42">
            <v>0.43513915585550955</v>
          </cell>
          <cell r="V42">
            <v>0.43580404899906589</v>
          </cell>
          <cell r="W42">
            <v>0.59161866303702282</v>
          </cell>
          <cell r="X42">
            <v>0.66467702134516005</v>
          </cell>
          <cell r="Y42">
            <v>0.65353995366480533</v>
          </cell>
          <cell r="Z42">
            <v>0.676060915960916</v>
          </cell>
          <cell r="AA42">
            <v>0.70559825286541389</v>
          </cell>
          <cell r="AB42">
            <v>0.63206878506691044</v>
          </cell>
          <cell r="AC42">
            <v>0.63726309269471215</v>
          </cell>
          <cell r="AD42">
            <v>0.5828366650853003</v>
          </cell>
          <cell r="AE42">
            <v>0.63928201324113043</v>
          </cell>
        </row>
        <row r="43">
          <cell r="G43" t="str">
            <v>RegionLodgingNew</v>
          </cell>
          <cell r="H43" t="str">
            <v>Com</v>
          </cell>
          <cell r="I43" t="str">
            <v>Lodging</v>
          </cell>
          <cell r="J43" t="str">
            <v>New</v>
          </cell>
          <cell r="K43" t="str">
            <v>Millions SqFt</v>
          </cell>
          <cell r="L43">
            <v>1.0326774321313152</v>
          </cell>
          <cell r="M43">
            <v>1.0158776160943388</v>
          </cell>
          <cell r="N43">
            <v>0.74304915446037911</v>
          </cell>
          <cell r="O43">
            <v>0.76054102414226543</v>
          </cell>
          <cell r="P43">
            <v>0.65616402459427536</v>
          </cell>
          <cell r="Q43">
            <v>0.62755023267601961</v>
          </cell>
          <cell r="R43">
            <v>0.61023293273354484</v>
          </cell>
          <cell r="S43">
            <v>0.60571699788717037</v>
          </cell>
          <cell r="T43">
            <v>0.65097903457434547</v>
          </cell>
          <cell r="U43">
            <v>0.69319811486407867</v>
          </cell>
          <cell r="V43">
            <v>0.78843795894088464</v>
          </cell>
          <cell r="W43">
            <v>1.3645659476947984</v>
          </cell>
          <cell r="X43">
            <v>1.6032227373726178</v>
          </cell>
          <cell r="Y43">
            <v>1.6412696995684901</v>
          </cell>
          <cell r="Z43">
            <v>1.670283030615213</v>
          </cell>
          <cell r="AA43">
            <v>1.755661848186447</v>
          </cell>
          <cell r="AB43">
            <v>1.4871375295645746</v>
          </cell>
          <cell r="AC43">
            <v>1.4400033906080374</v>
          </cell>
          <cell r="AD43">
            <v>1.3499648074414823</v>
          </cell>
          <cell r="AE43">
            <v>1.4487057151095009</v>
          </cell>
        </row>
        <row r="44">
          <cell r="G44" t="str">
            <v>RegionHospitalNew</v>
          </cell>
          <cell r="H44" t="str">
            <v>Com</v>
          </cell>
          <cell r="I44" t="str">
            <v>Hospital</v>
          </cell>
          <cell r="J44" t="str">
            <v>New</v>
          </cell>
          <cell r="K44" t="str">
            <v>Millions SqFt</v>
          </cell>
          <cell r="L44">
            <v>4.1336070304911159</v>
          </cell>
          <cell r="M44">
            <v>3.5601449453189118</v>
          </cell>
          <cell r="N44">
            <v>3.2007770264658664</v>
          </cell>
          <cell r="O44">
            <v>2.6531465767673241</v>
          </cell>
          <cell r="P44">
            <v>1.8730082465149496</v>
          </cell>
          <cell r="Q44">
            <v>1.6467285324389391</v>
          </cell>
          <cell r="R44">
            <v>1.5196240263467067</v>
          </cell>
          <cell r="S44">
            <v>1.3328145698119136</v>
          </cell>
          <cell r="T44">
            <v>1.3372342578617185</v>
          </cell>
          <cell r="U44">
            <v>1.4086686461757902</v>
          </cell>
          <cell r="V44">
            <v>1.6725933548501446</v>
          </cell>
          <cell r="W44">
            <v>2.0158466086985318</v>
          </cell>
          <cell r="X44">
            <v>2.3033709594417431</v>
          </cell>
          <cell r="Y44">
            <v>2.063930246052466</v>
          </cell>
          <cell r="Z44">
            <v>1.9880083370090949</v>
          </cell>
          <cell r="AA44">
            <v>1.9342270452860566</v>
          </cell>
          <cell r="AB44">
            <v>1.774507966199161</v>
          </cell>
          <cell r="AC44">
            <v>1.6723841845019074</v>
          </cell>
          <cell r="AD44">
            <v>1.5414284807799123</v>
          </cell>
          <cell r="AE44">
            <v>1.5563040522680198</v>
          </cell>
        </row>
        <row r="45">
          <cell r="G45" t="str">
            <v>RegionResidential CareNew</v>
          </cell>
          <cell r="H45" t="str">
            <v>Com</v>
          </cell>
          <cell r="I45" t="str">
            <v>Residential Care</v>
          </cell>
          <cell r="J45" t="str">
            <v>New</v>
          </cell>
          <cell r="K45" t="str">
            <v>Millions SqFt</v>
          </cell>
          <cell r="L45">
            <v>4.5029406937179912</v>
          </cell>
          <cell r="M45">
            <v>4.0786070344439063</v>
          </cell>
          <cell r="N45">
            <v>3.5919834720533679</v>
          </cell>
          <cell r="O45">
            <v>3.0400934926407626</v>
          </cell>
          <cell r="P45">
            <v>2.3018670718031324</v>
          </cell>
          <cell r="Q45">
            <v>2.1321468422073435</v>
          </cell>
          <cell r="R45">
            <v>1.9771504564110642</v>
          </cell>
          <cell r="S45">
            <v>1.8096072137015302</v>
          </cell>
          <cell r="T45">
            <v>1.9023478055732992</v>
          </cell>
          <cell r="U45">
            <v>2.0129777404511922</v>
          </cell>
          <cell r="V45">
            <v>2.304026079874093</v>
          </cell>
          <cell r="W45">
            <v>2.7992417645016405</v>
          </cell>
          <cell r="X45">
            <v>3.0682339807477179</v>
          </cell>
          <cell r="Y45">
            <v>2.7441690138981158</v>
          </cell>
          <cell r="Z45">
            <v>2.8046561391012603</v>
          </cell>
          <cell r="AA45">
            <v>2.7282838662201567</v>
          </cell>
          <cell r="AB45">
            <v>2.4959637785038216</v>
          </cell>
          <cell r="AC45">
            <v>2.4392052334479857</v>
          </cell>
          <cell r="AD45">
            <v>2.3386950979959957</v>
          </cell>
          <cell r="AE45">
            <v>2.3103955399373803</v>
          </cell>
        </row>
        <row r="46">
          <cell r="G46" t="str">
            <v>RegionAssemblyNew</v>
          </cell>
          <cell r="H46" t="str">
            <v>Com</v>
          </cell>
          <cell r="I46" t="str">
            <v>Assembly</v>
          </cell>
          <cell r="J46" t="str">
            <v>New</v>
          </cell>
          <cell r="K46" t="str">
            <v>Millions SqFt</v>
          </cell>
          <cell r="L46">
            <v>3.1854829351393543</v>
          </cell>
          <cell r="M46">
            <v>3.1699057451518957</v>
          </cell>
          <cell r="N46">
            <v>2.2628528186826316</v>
          </cell>
          <cell r="O46">
            <v>2.6023617076700645</v>
          </cell>
          <cell r="P46">
            <v>2.2919684786454506</v>
          </cell>
          <cell r="Q46">
            <v>2.1556450092355899</v>
          </cell>
          <cell r="R46">
            <v>1.4820394508668711</v>
          </cell>
          <cell r="S46">
            <v>1.5603361472368396</v>
          </cell>
          <cell r="T46">
            <v>2.3546097038898557</v>
          </cell>
          <cell r="U46">
            <v>3.2740386396924066</v>
          </cell>
          <cell r="V46">
            <v>3.6241751874536021</v>
          </cell>
          <cell r="W46">
            <v>4.4420137300219826</v>
          </cell>
          <cell r="X46">
            <v>5.8224273473135861</v>
          </cell>
          <cell r="Y46">
            <v>6.4604400946422142</v>
          </cell>
          <cell r="Z46">
            <v>6.9014803298142597</v>
          </cell>
          <cell r="AA46">
            <v>6.748515751490312</v>
          </cell>
          <cell r="AB46">
            <v>6.4364694734288266</v>
          </cell>
          <cell r="AC46">
            <v>6.3053235195290611</v>
          </cell>
          <cell r="AD46">
            <v>6.2236620394663484</v>
          </cell>
          <cell r="AE46">
            <v>6.0386522880717726</v>
          </cell>
        </row>
        <row r="47">
          <cell r="G47" t="str">
            <v>RegionOtherNew</v>
          </cell>
          <cell r="H47" t="str">
            <v>Com</v>
          </cell>
          <cell r="I47" t="str">
            <v>Other</v>
          </cell>
          <cell r="J47" t="str">
            <v>New</v>
          </cell>
          <cell r="K47" t="str">
            <v>Millions SqFt</v>
          </cell>
          <cell r="L47">
            <v>12.863107129152304</v>
          </cell>
          <cell r="M47">
            <v>10.7220378193485</v>
          </cell>
          <cell r="N47">
            <v>10.142128438066296</v>
          </cell>
          <cell r="O47">
            <v>9.4611923499879236</v>
          </cell>
          <cell r="P47">
            <v>7.3638556881373223</v>
          </cell>
          <cell r="Q47">
            <v>8.1591439254269407</v>
          </cell>
          <cell r="R47">
            <v>7.9603673258815011</v>
          </cell>
          <cell r="S47">
            <v>8.6026166911432824</v>
          </cell>
          <cell r="T47">
            <v>9.3207800366095146</v>
          </cell>
          <cell r="U47">
            <v>9.0572786632714859</v>
          </cell>
          <cell r="V47">
            <v>10.184423730877143</v>
          </cell>
          <cell r="W47">
            <v>10.787657533789663</v>
          </cell>
          <cell r="X47">
            <v>11.005378574708409</v>
          </cell>
          <cell r="Y47">
            <v>10.267063981307951</v>
          </cell>
          <cell r="Z47">
            <v>11.027475862918971</v>
          </cell>
          <cell r="AA47">
            <v>9.9609233822623686</v>
          </cell>
          <cell r="AB47">
            <v>10.340047869658916</v>
          </cell>
          <cell r="AC47">
            <v>9.8383849729989699</v>
          </cell>
          <cell r="AD47">
            <v>9.3282989614436094</v>
          </cell>
          <cell r="AE47">
            <v>9.0355729282982153</v>
          </cell>
        </row>
        <row r="48">
          <cell r="G48" t="str">
            <v>RegionLarge OffStock 2016</v>
          </cell>
          <cell r="H48" t="str">
            <v>Com</v>
          </cell>
          <cell r="I48" t="str">
            <v>Large Off</v>
          </cell>
          <cell r="J48" t="str">
            <v>Stock 2016</v>
          </cell>
          <cell r="K48" t="str">
            <v>Millions SqFt</v>
          </cell>
          <cell r="L48">
            <v>380.08828477966154</v>
          </cell>
          <cell r="M48">
            <v>378.94801992532251</v>
          </cell>
          <cell r="N48">
            <v>377.81117586554655</v>
          </cell>
          <cell r="O48">
            <v>376.67774233794995</v>
          </cell>
          <cell r="P48">
            <v>375.54770911093607</v>
          </cell>
          <cell r="Q48">
            <v>374.42106598360328</v>
          </cell>
          <cell r="R48">
            <v>373.29780278565244</v>
          </cell>
          <cell r="S48">
            <v>372.17790937729552</v>
          </cell>
          <cell r="T48">
            <v>371.06137564916361</v>
          </cell>
          <cell r="U48">
            <v>369.94819152221612</v>
          </cell>
          <cell r="V48">
            <v>368.83834694764948</v>
          </cell>
          <cell r="W48">
            <v>367.73183190680658</v>
          </cell>
          <cell r="X48">
            <v>366.62863641108612</v>
          </cell>
          <cell r="Y48">
            <v>365.52875050185287</v>
          </cell>
          <cell r="Z48">
            <v>364.43216425034728</v>
          </cell>
          <cell r="AA48">
            <v>363.33886775759629</v>
          </cell>
          <cell r="AB48">
            <v>362.24885115432346</v>
          </cell>
          <cell r="AC48">
            <v>361.16210460086046</v>
          </cell>
          <cell r="AD48">
            <v>360.07861828705791</v>
          </cell>
          <cell r="AE48">
            <v>358.99838243219671</v>
          </cell>
        </row>
        <row r="49">
          <cell r="G49" t="str">
            <v>RegionMedium OffStock 2016</v>
          </cell>
          <cell r="H49" t="str">
            <v>Com</v>
          </cell>
          <cell r="I49" t="str">
            <v>Medium Off</v>
          </cell>
          <cell r="J49" t="str">
            <v>Stock 2016</v>
          </cell>
          <cell r="K49" t="str">
            <v>Millions SqFt</v>
          </cell>
          <cell r="L49">
            <v>190.73687138333023</v>
          </cell>
          <cell r="M49">
            <v>190.16466076918024</v>
          </cell>
          <cell r="N49">
            <v>189.59416678687271</v>
          </cell>
          <cell r="O49">
            <v>189.02538428651209</v>
          </cell>
          <cell r="P49">
            <v>188.45830813365254</v>
          </cell>
          <cell r="Q49">
            <v>187.89293320925157</v>
          </cell>
          <cell r="R49">
            <v>187.32925440962381</v>
          </cell>
          <cell r="S49">
            <v>186.76726664639497</v>
          </cell>
          <cell r="T49">
            <v>186.20696484645578</v>
          </cell>
          <cell r="U49">
            <v>185.64834395191642</v>
          </cell>
          <cell r="V49">
            <v>185.09139892006067</v>
          </cell>
          <cell r="W49">
            <v>184.5361247233005</v>
          </cell>
          <cell r="X49">
            <v>183.98251634913058</v>
          </cell>
          <cell r="Y49">
            <v>183.43056880008319</v>
          </cell>
          <cell r="Z49">
            <v>182.88027709368296</v>
          </cell>
          <cell r="AA49">
            <v>182.33163626240187</v>
          </cell>
          <cell r="AB49">
            <v>181.78464135361469</v>
          </cell>
          <cell r="AC49">
            <v>181.23928742955383</v>
          </cell>
          <cell r="AD49">
            <v>180.69556956726515</v>
          </cell>
          <cell r="AE49">
            <v>180.15348285856339</v>
          </cell>
        </row>
        <row r="50">
          <cell r="G50" t="str">
            <v>RegionSmall OffStock 2016</v>
          </cell>
          <cell r="H50" t="str">
            <v>Com</v>
          </cell>
          <cell r="I50" t="str">
            <v>Small Off</v>
          </cell>
          <cell r="J50" t="str">
            <v>Stock 2016</v>
          </cell>
          <cell r="K50" t="str">
            <v>Millions SqFt</v>
          </cell>
          <cell r="L50">
            <v>184.0913556049378</v>
          </cell>
          <cell r="M50">
            <v>183.53908153812301</v>
          </cell>
          <cell r="N50">
            <v>182.98846429350866</v>
          </cell>
          <cell r="O50">
            <v>182.43949890062811</v>
          </cell>
          <cell r="P50">
            <v>181.89218040392623</v>
          </cell>
          <cell r="Q50">
            <v>181.34650386271446</v>
          </cell>
          <cell r="R50">
            <v>180.80246435112633</v>
          </cell>
          <cell r="S50">
            <v>180.26005695807294</v>
          </cell>
          <cell r="T50">
            <v>179.71927678719871</v>
          </cell>
          <cell r="U50">
            <v>179.18011895683713</v>
          </cell>
          <cell r="V50">
            <v>178.64257859996661</v>
          </cell>
          <cell r="W50">
            <v>178.10665086416668</v>
          </cell>
          <cell r="X50">
            <v>177.57233091157423</v>
          </cell>
          <cell r="Y50">
            <v>177.03961391883951</v>
          </cell>
          <cell r="Z50">
            <v>176.50849507708296</v>
          </cell>
          <cell r="AA50">
            <v>175.97896959185172</v>
          </cell>
          <cell r="AB50">
            <v>175.45103268307616</v>
          </cell>
          <cell r="AC50">
            <v>174.92467958502692</v>
          </cell>
          <cell r="AD50">
            <v>174.39990554627184</v>
          </cell>
          <cell r="AE50">
            <v>173.87670582963304</v>
          </cell>
        </row>
        <row r="51">
          <cell r="G51" t="str">
            <v>RegionXLarge RetStock 2016</v>
          </cell>
          <cell r="H51" t="str">
            <v>Com</v>
          </cell>
          <cell r="I51" t="str">
            <v>XLarge Ret</v>
          </cell>
          <cell r="J51" t="str">
            <v>Stock 2016</v>
          </cell>
          <cell r="K51" t="str">
            <v>Millions SqFt</v>
          </cell>
          <cell r="L51">
            <v>138.35734062238015</v>
          </cell>
          <cell r="M51">
            <v>137.7208968555172</v>
          </cell>
          <cell r="N51">
            <v>137.08738072998179</v>
          </cell>
          <cell r="O51">
            <v>136.45677877862389</v>
          </cell>
          <cell r="P51">
            <v>135.8290775962422</v>
          </cell>
          <cell r="Q51">
            <v>135.20426383929947</v>
          </cell>
          <cell r="R51">
            <v>134.5823242256387</v>
          </cell>
          <cell r="S51">
            <v>133.96324553420075</v>
          </cell>
          <cell r="T51">
            <v>133.34701460474344</v>
          </cell>
          <cell r="U51">
            <v>132.73361833756161</v>
          </cell>
          <cell r="V51">
            <v>132.12304369320884</v>
          </cell>
          <cell r="W51">
            <v>131.51527769222005</v>
          </cell>
          <cell r="X51">
            <v>130.91030741483584</v>
          </cell>
          <cell r="Y51">
            <v>130.3081200007276</v>
          </cell>
          <cell r="Z51">
            <v>129.70870264872423</v>
          </cell>
          <cell r="AA51">
            <v>129.11204261654012</v>
          </cell>
          <cell r="AB51">
            <v>128.51812722050403</v>
          </cell>
          <cell r="AC51">
            <v>127.92694383528971</v>
          </cell>
          <cell r="AD51">
            <v>127.33847989364737</v>
          </cell>
          <cell r="AE51">
            <v>126.75272288613657</v>
          </cell>
        </row>
        <row r="52">
          <cell r="G52" t="str">
            <v>RegionLarge RetStock 2016</v>
          </cell>
          <cell r="H52" t="str">
            <v>Com</v>
          </cell>
          <cell r="I52" t="str">
            <v>Large Ret</v>
          </cell>
          <cell r="J52" t="str">
            <v>Stock 2016</v>
          </cell>
          <cell r="K52" t="str">
            <v>Millions SqFt</v>
          </cell>
          <cell r="L52">
            <v>208.9574509880029</v>
          </cell>
          <cell r="M52">
            <v>207.99624671345808</v>
          </cell>
          <cell r="N52">
            <v>207.03946397857615</v>
          </cell>
          <cell r="O52">
            <v>206.0870824442747</v>
          </cell>
          <cell r="P52">
            <v>205.13908186503102</v>
          </cell>
          <cell r="Q52">
            <v>204.1954420884519</v>
          </cell>
          <cell r="R52">
            <v>203.25614305484498</v>
          </cell>
          <cell r="S52">
            <v>202.32116479679266</v>
          </cell>
          <cell r="T52">
            <v>201.3904874387274</v>
          </cell>
          <cell r="U52">
            <v>200.46409119650929</v>
          </cell>
          <cell r="V52">
            <v>199.54195637700533</v>
          </cell>
          <cell r="W52">
            <v>198.62406337767112</v>
          </cell>
          <cell r="X52">
            <v>197.71039268613379</v>
          </cell>
          <cell r="Y52">
            <v>196.8009248797776</v>
          </cell>
          <cell r="Z52">
            <v>195.8956406253306</v>
          </cell>
          <cell r="AA52">
            <v>194.99452067845405</v>
          </cell>
          <cell r="AB52">
            <v>194.09754588333314</v>
          </cell>
          <cell r="AC52">
            <v>193.20469717226982</v>
          </cell>
          <cell r="AD52">
            <v>192.31595556527733</v>
          </cell>
          <cell r="AE52">
            <v>191.43130216967708</v>
          </cell>
        </row>
        <row r="53">
          <cell r="G53" t="str">
            <v>RegionMedium RetStock 2016</v>
          </cell>
          <cell r="H53" t="str">
            <v>Com</v>
          </cell>
          <cell r="I53" t="str">
            <v>Medium Ret</v>
          </cell>
          <cell r="J53" t="str">
            <v>Stock 2016</v>
          </cell>
          <cell r="K53" t="str">
            <v>Millions SqFt</v>
          </cell>
          <cell r="L53">
            <v>97.115689913224898</v>
          </cell>
          <cell r="M53">
            <v>96.668957739624062</v>
          </cell>
          <cell r="N53">
            <v>96.224280534021787</v>
          </cell>
          <cell r="O53">
            <v>95.781648843565293</v>
          </cell>
          <cell r="P53">
            <v>95.34105325888487</v>
          </cell>
          <cell r="Q53">
            <v>94.902484413894001</v>
          </cell>
          <cell r="R53">
            <v>94.465932985590086</v>
          </cell>
          <cell r="S53">
            <v>94.031389693856369</v>
          </cell>
          <cell r="T53">
            <v>93.598845301264618</v>
          </cell>
          <cell r="U53">
            <v>93.168290612878806</v>
          </cell>
          <cell r="V53">
            <v>92.739716476059556</v>
          </cell>
          <cell r="W53">
            <v>92.313113780269674</v>
          </cell>
          <cell r="X53">
            <v>91.888473456880433</v>
          </cell>
          <cell r="Y53">
            <v>91.465786478978771</v>
          </cell>
          <cell r="Z53">
            <v>91.045043861175472</v>
          </cell>
          <cell r="AA53">
            <v>90.626236659414062</v>
          </cell>
          <cell r="AB53">
            <v>90.209355970780734</v>
          </cell>
          <cell r="AC53">
            <v>89.794392933315152</v>
          </cell>
          <cell r="AD53">
            <v>89.381338725821905</v>
          </cell>
          <cell r="AE53">
            <v>88.97018456768312</v>
          </cell>
        </row>
        <row r="54">
          <cell r="G54" t="str">
            <v>RegionSmall RetStock 2016</v>
          </cell>
          <cell r="H54" t="str">
            <v>Com</v>
          </cell>
          <cell r="I54" t="str">
            <v>Small Ret</v>
          </cell>
          <cell r="J54" t="str">
            <v>Stock 2016</v>
          </cell>
          <cell r="K54" t="str">
            <v>Millions SqFt</v>
          </cell>
          <cell r="L54">
            <v>109.47966092768364</v>
          </cell>
          <cell r="M54">
            <v>108.97605448741629</v>
          </cell>
          <cell r="N54">
            <v>108.47476463677417</v>
          </cell>
          <cell r="O54">
            <v>107.975780719445</v>
          </cell>
          <cell r="P54">
            <v>107.47909212813555</v>
          </cell>
          <cell r="Q54">
            <v>106.98468830434612</v>
          </cell>
          <cell r="R54">
            <v>106.49255873814613</v>
          </cell>
          <cell r="S54">
            <v>106.00269296795065</v>
          </cell>
          <cell r="T54">
            <v>105.51508058029808</v>
          </cell>
          <cell r="U54">
            <v>105.0297112096287</v>
          </cell>
          <cell r="V54">
            <v>104.54657453806439</v>
          </cell>
          <cell r="W54">
            <v>104.0656602951893</v>
          </cell>
          <cell r="X54">
            <v>103.58695825783141</v>
          </cell>
          <cell r="Y54">
            <v>103.11045824984539</v>
          </cell>
          <cell r="Z54">
            <v>102.6361501418961</v>
          </cell>
          <cell r="AA54">
            <v>102.16402385124337</v>
          </cell>
          <cell r="AB54">
            <v>101.69406934152764</v>
          </cell>
          <cell r="AC54">
            <v>101.2262766225566</v>
          </cell>
          <cell r="AD54">
            <v>100.76063575009285</v>
          </cell>
          <cell r="AE54">
            <v>100.29713682564241</v>
          </cell>
        </row>
        <row r="55">
          <cell r="G55" t="str">
            <v>RegionSchool K-12Stock 2016</v>
          </cell>
          <cell r="H55" t="str">
            <v>Com</v>
          </cell>
          <cell r="I55" t="str">
            <v>School K-12</v>
          </cell>
          <cell r="J55" t="str">
            <v>Stock 2016</v>
          </cell>
          <cell r="K55" t="str">
            <v>Millions SqFt</v>
          </cell>
          <cell r="L55">
            <v>241.11763975818661</v>
          </cell>
          <cell r="M55">
            <v>240.12905743517803</v>
          </cell>
          <cell r="N55">
            <v>239.14452829969383</v>
          </cell>
          <cell r="O55">
            <v>238.16403573366509</v>
          </cell>
          <cell r="P55">
            <v>237.18756318715711</v>
          </cell>
          <cell r="Q55">
            <v>236.21509417808971</v>
          </cell>
          <cell r="R55">
            <v>235.24661229195956</v>
          </cell>
          <cell r="S55">
            <v>234.28210118156252</v>
          </cell>
          <cell r="T55">
            <v>233.32154456671807</v>
          </cell>
          <cell r="U55">
            <v>232.36492623399457</v>
          </cell>
          <cell r="V55">
            <v>231.41223003643518</v>
          </cell>
          <cell r="W55">
            <v>230.46343989328579</v>
          </cell>
          <cell r="X55">
            <v>229.51853978972335</v>
          </cell>
          <cell r="Y55">
            <v>228.57751377658545</v>
          </cell>
          <cell r="Z55">
            <v>227.64034597010144</v>
          </cell>
          <cell r="AA55">
            <v>226.70702055162403</v>
          </cell>
          <cell r="AB55">
            <v>225.77752176736234</v>
          </cell>
          <cell r="AC55">
            <v>224.85183392811618</v>
          </cell>
          <cell r="AD55">
            <v>223.92994140901092</v>
          </cell>
          <cell r="AE55">
            <v>223.01182864923393</v>
          </cell>
        </row>
        <row r="56">
          <cell r="G56" t="str">
            <v>RegionUniversityStock 2016</v>
          </cell>
          <cell r="H56" t="str">
            <v>Com</v>
          </cell>
          <cell r="I56" t="str">
            <v>University</v>
          </cell>
          <cell r="J56" t="str">
            <v>Stock 2016</v>
          </cell>
          <cell r="K56" t="str">
            <v>Millions SqFt</v>
          </cell>
          <cell r="L56">
            <v>122.15340627232256</v>
          </cell>
          <cell r="M56">
            <v>121.65257730660603</v>
          </cell>
          <cell r="N56">
            <v>121.15380173964894</v>
          </cell>
          <cell r="O56">
            <v>120.65707115251638</v>
          </cell>
          <cell r="P56">
            <v>120.16237716079107</v>
          </cell>
          <cell r="Q56">
            <v>119.66971141443182</v>
          </cell>
          <cell r="R56">
            <v>119.17906559763266</v>
          </cell>
          <cell r="S56">
            <v>118.69043142868237</v>
          </cell>
          <cell r="T56">
            <v>118.20380065982476</v>
          </cell>
          <cell r="U56">
            <v>117.71916507711948</v>
          </cell>
          <cell r="V56">
            <v>117.23651650030328</v>
          </cell>
          <cell r="W56">
            <v>116.75584678265207</v>
          </cell>
          <cell r="X56">
            <v>116.27714781084319</v>
          </cell>
          <cell r="Y56">
            <v>115.80041150481873</v>
          </cell>
          <cell r="Z56">
            <v>115.32562981764897</v>
          </cell>
          <cell r="AA56">
            <v>114.8527947353966</v>
          </cell>
          <cell r="AB56">
            <v>114.38189827698147</v>
          </cell>
          <cell r="AC56">
            <v>113.91293249404585</v>
          </cell>
          <cell r="AD56">
            <v>113.44588947082025</v>
          </cell>
          <cell r="AE56">
            <v>112.98076132398991</v>
          </cell>
        </row>
        <row r="57">
          <cell r="G57" t="str">
            <v>RegionWarehouseStock 2016</v>
          </cell>
          <cell r="H57" t="str">
            <v>Com</v>
          </cell>
          <cell r="I57" t="str">
            <v>Warehouse</v>
          </cell>
          <cell r="J57" t="str">
            <v>Stock 2016</v>
          </cell>
          <cell r="K57" t="str">
            <v>Millions SqFt</v>
          </cell>
          <cell r="L57">
            <v>448.69829599576161</v>
          </cell>
          <cell r="M57">
            <v>447.03811230057732</v>
          </cell>
          <cell r="N57">
            <v>445.3840712850652</v>
          </cell>
          <cell r="O57">
            <v>443.73615022131042</v>
          </cell>
          <cell r="P57">
            <v>442.09432646549152</v>
          </cell>
          <cell r="Q57">
            <v>440.45857745756916</v>
          </cell>
          <cell r="R57">
            <v>438.82888072097626</v>
          </cell>
          <cell r="S57">
            <v>437.2052138623086</v>
          </cell>
          <cell r="T57">
            <v>435.58755457101802</v>
          </cell>
          <cell r="U57">
            <v>433.97588061910528</v>
          </cell>
          <cell r="V57">
            <v>432.37016986081449</v>
          </cell>
          <cell r="W57">
            <v>430.77040023232951</v>
          </cell>
          <cell r="X57">
            <v>429.17654975146979</v>
          </cell>
          <cell r="Y57">
            <v>427.58859651738936</v>
          </cell>
          <cell r="Z57">
            <v>426.00651871027503</v>
          </cell>
          <cell r="AA57">
            <v>424.43029459104702</v>
          </cell>
          <cell r="AB57">
            <v>422.85990250106011</v>
          </cell>
          <cell r="AC57">
            <v>421.2953208618062</v>
          </cell>
          <cell r="AD57">
            <v>419.73652817461749</v>
          </cell>
          <cell r="AE57">
            <v>418.18350302037135</v>
          </cell>
        </row>
        <row r="58">
          <cell r="G58" t="str">
            <v>RegionSupermarketStock 2016</v>
          </cell>
          <cell r="H58" t="str">
            <v>Com</v>
          </cell>
          <cell r="I58" t="str">
            <v>Supermarket</v>
          </cell>
          <cell r="J58" t="str">
            <v>Stock 2016</v>
          </cell>
          <cell r="K58" t="str">
            <v>Millions SqFt</v>
          </cell>
          <cell r="L58">
            <v>53.720939527021244</v>
          </cell>
          <cell r="M58">
            <v>53.237451071278059</v>
          </cell>
          <cell r="N58">
            <v>52.758314011636557</v>
          </cell>
          <cell r="O58">
            <v>52.283489185531828</v>
          </cell>
          <cell r="P58">
            <v>51.812937782862043</v>
          </cell>
          <cell r="Q58">
            <v>51.346621342816277</v>
          </cell>
          <cell r="R58">
            <v>50.884501750730934</v>
          </cell>
          <cell r="S58">
            <v>50.426541234974358</v>
          </cell>
          <cell r="T58">
            <v>49.97270236385959</v>
          </cell>
          <cell r="U58">
            <v>49.522948042584851</v>
          </cell>
          <cell r="V58">
            <v>49.077241510201581</v>
          </cell>
          <cell r="W58">
            <v>48.635546336609778</v>
          </cell>
          <cell r="X58">
            <v>48.197826419580288</v>
          </cell>
          <cell r="Y58">
            <v>47.76404598180406</v>
          </cell>
          <cell r="Z58">
            <v>47.33416956796782</v>
          </cell>
          <cell r="AA58">
            <v>46.908162041856116</v>
          </cell>
          <cell r="AB58">
            <v>46.485988583479411</v>
          </cell>
          <cell r="AC58">
            <v>46.067614686228097</v>
          </cell>
          <cell r="AD58">
            <v>45.653006154052044</v>
          </cell>
          <cell r="AE58">
            <v>45.242129098665572</v>
          </cell>
        </row>
        <row r="59">
          <cell r="G59" t="str">
            <v>RegionMiniMartStock 2016</v>
          </cell>
          <cell r="H59" t="str">
            <v>Com</v>
          </cell>
          <cell r="I59" t="str">
            <v>MiniMart</v>
          </cell>
          <cell r="J59" t="str">
            <v>Stock 2016</v>
          </cell>
          <cell r="K59" t="str">
            <v>Millions SqFt</v>
          </cell>
          <cell r="L59">
            <v>22.491017060912501</v>
          </cell>
          <cell r="M59">
            <v>22.384859460384995</v>
          </cell>
          <cell r="N59">
            <v>22.279202923731983</v>
          </cell>
          <cell r="O59">
            <v>22.174045085931969</v>
          </cell>
          <cell r="P59">
            <v>22.069383593126368</v>
          </cell>
          <cell r="Q59">
            <v>21.965216102566814</v>
          </cell>
          <cell r="R59">
            <v>21.8615402825627</v>
          </cell>
          <cell r="S59">
            <v>21.758353812429004</v>
          </cell>
          <cell r="T59">
            <v>21.655654382434342</v>
          </cell>
          <cell r="U59">
            <v>21.553439693749251</v>
          </cell>
          <cell r="V59">
            <v>21.451707458394754</v>
          </cell>
          <cell r="W59">
            <v>21.350455399191134</v>
          </cell>
          <cell r="X59">
            <v>21.249681249706953</v>
          </cell>
          <cell r="Y59">
            <v>21.149382754208336</v>
          </cell>
          <cell r="Z59">
            <v>21.049557667608472</v>
          </cell>
          <cell r="AA59">
            <v>20.950203755417366</v>
          </cell>
          <cell r="AB59">
            <v>20.851318793691796</v>
          </cell>
          <cell r="AC59">
            <v>20.75290056898557</v>
          </cell>
          <cell r="AD59">
            <v>20.654946878299963</v>
          </cell>
          <cell r="AE59">
            <v>20.557455529034385</v>
          </cell>
        </row>
        <row r="60">
          <cell r="G60" t="str">
            <v>RegionRestaurantStock 2016</v>
          </cell>
          <cell r="H60" t="str">
            <v>Com</v>
          </cell>
          <cell r="I60" t="str">
            <v>Restaurant</v>
          </cell>
          <cell r="J60" t="str">
            <v>Stock 2016</v>
          </cell>
          <cell r="K60" t="str">
            <v>Millions SqFt</v>
          </cell>
          <cell r="L60">
            <v>51.550857208753726</v>
          </cell>
          <cell r="M60">
            <v>51.307537162728408</v>
          </cell>
          <cell r="N60">
            <v>51.065365587320336</v>
          </cell>
          <cell r="O60">
            <v>50.824337061748189</v>
          </cell>
          <cell r="P60">
            <v>50.584446190816735</v>
          </cell>
          <cell r="Q60">
            <v>50.345687604796083</v>
          </cell>
          <cell r="R60">
            <v>50.108055959301453</v>
          </cell>
          <cell r="S60">
            <v>49.871545935173543</v>
          </cell>
          <cell r="T60">
            <v>49.636152238359529</v>
          </cell>
          <cell r="U60">
            <v>49.40186959979448</v>
          </cell>
          <cell r="V60">
            <v>49.168692775283453</v>
          </cell>
          <cell r="W60">
            <v>48.936616545384119</v>
          </cell>
          <cell r="X60">
            <v>48.705635715289908</v>
          </cell>
          <cell r="Y60">
            <v>48.475745114713739</v>
          </cell>
          <cell r="Z60">
            <v>48.246939597772297</v>
          </cell>
          <cell r="AA60">
            <v>48.019214042870807</v>
          </cell>
          <cell r="AB60">
            <v>47.792563352588466</v>
          </cell>
          <cell r="AC60">
            <v>47.56698245356425</v>
          </cell>
          <cell r="AD60">
            <v>47.342466296383435</v>
          </cell>
          <cell r="AE60">
            <v>47.119009855464505</v>
          </cell>
        </row>
        <row r="61">
          <cell r="G61" t="str">
            <v>RegionLodgingStock 2016</v>
          </cell>
          <cell r="H61" t="str">
            <v>Com</v>
          </cell>
          <cell r="I61" t="str">
            <v>Lodging</v>
          </cell>
          <cell r="J61" t="str">
            <v>Stock 2016</v>
          </cell>
          <cell r="K61" t="str">
            <v>Millions SqFt</v>
          </cell>
          <cell r="L61">
            <v>170.15189589049527</v>
          </cell>
          <cell r="M61">
            <v>169.74353134035809</v>
          </cell>
          <cell r="N61">
            <v>169.33614686514122</v>
          </cell>
          <cell r="O61">
            <v>168.92974011266489</v>
          </cell>
          <cell r="P61">
            <v>168.52430873639449</v>
          </cell>
          <cell r="Q61">
            <v>168.11985039542716</v>
          </cell>
          <cell r="R61">
            <v>167.71636275447813</v>
          </cell>
          <cell r="S61">
            <v>167.31384348386743</v>
          </cell>
          <cell r="T61">
            <v>166.91229025950614</v>
          </cell>
          <cell r="U61">
            <v>166.51170076288332</v>
          </cell>
          <cell r="V61">
            <v>166.11207268105238</v>
          </cell>
          <cell r="W61">
            <v>165.7134037066179</v>
          </cell>
          <cell r="X61">
            <v>165.31569153772202</v>
          </cell>
          <cell r="Y61">
            <v>164.91893387803151</v>
          </cell>
          <cell r="Z61">
            <v>164.52312843672422</v>
          </cell>
          <cell r="AA61">
            <v>164.12827292847609</v>
          </cell>
          <cell r="AB61">
            <v>163.73436507344778</v>
          </cell>
          <cell r="AC61">
            <v>163.3414025972715</v>
          </cell>
          <cell r="AD61">
            <v>162.94938323103807</v>
          </cell>
          <cell r="AE61">
            <v>162.55830471128357</v>
          </cell>
        </row>
        <row r="62">
          <cell r="G62" t="str">
            <v>RegionHospitalStock 2016</v>
          </cell>
          <cell r="H62" t="str">
            <v>Com</v>
          </cell>
          <cell r="I62" t="str">
            <v>Hospital</v>
          </cell>
          <cell r="J62" t="str">
            <v>Stock 2016</v>
          </cell>
          <cell r="K62" t="str">
            <v>Millions SqFt</v>
          </cell>
          <cell r="L62">
            <v>105.02947953487826</v>
          </cell>
          <cell r="M62">
            <v>104.80891762785501</v>
          </cell>
          <cell r="N62">
            <v>104.58881890083651</v>
          </cell>
          <cell r="O62">
            <v>104.36918238114475</v>
          </cell>
          <cell r="P62">
            <v>104.15000709814436</v>
          </cell>
          <cell r="Q62">
            <v>103.93129208323826</v>
          </cell>
          <cell r="R62">
            <v>103.71303636986346</v>
          </cell>
          <cell r="S62">
            <v>103.49523899348674</v>
          </cell>
          <cell r="T62">
            <v>103.27789899160042</v>
          </cell>
          <cell r="U62">
            <v>103.06101540371807</v>
          </cell>
          <cell r="V62">
            <v>102.84458727137024</v>
          </cell>
          <cell r="W62">
            <v>102.62861363810038</v>
          </cell>
          <cell r="X62">
            <v>102.41309354946036</v>
          </cell>
          <cell r="Y62">
            <v>102.19802605300649</v>
          </cell>
          <cell r="Z62">
            <v>101.98341019829519</v>
          </cell>
          <cell r="AA62">
            <v>101.76924503687877</v>
          </cell>
          <cell r="AB62">
            <v>101.55552962230132</v>
          </cell>
          <cell r="AC62">
            <v>101.3422630100945</v>
          </cell>
          <cell r="AD62">
            <v>101.1294442577733</v>
          </cell>
          <cell r="AE62">
            <v>100.91707242483197</v>
          </cell>
        </row>
        <row r="63">
          <cell r="G63" t="str">
            <v>RegionResidential CareStock 2016</v>
          </cell>
          <cell r="H63" t="str">
            <v>Com</v>
          </cell>
          <cell r="I63" t="str">
            <v>Residential Care</v>
          </cell>
          <cell r="J63" t="str">
            <v>Stock 2016</v>
          </cell>
          <cell r="K63" t="str">
            <v>Millions SqFt</v>
          </cell>
          <cell r="L63">
            <v>128.74820917277606</v>
          </cell>
          <cell r="M63">
            <v>128.43921347076139</v>
          </cell>
          <cell r="N63">
            <v>128.1309593584316</v>
          </cell>
          <cell r="O63">
            <v>127.82344505597135</v>
          </cell>
          <cell r="P63">
            <v>127.51666878783702</v>
          </cell>
          <cell r="Q63">
            <v>127.21062878274621</v>
          </cell>
          <cell r="R63">
            <v>126.90532327366765</v>
          </cell>
          <cell r="S63">
            <v>126.60075049781085</v>
          </cell>
          <cell r="T63">
            <v>126.29690869661611</v>
          </cell>
          <cell r="U63">
            <v>125.99379611574425</v>
          </cell>
          <cell r="V63">
            <v>125.69141100506647</v>
          </cell>
          <cell r="W63">
            <v>125.3897516186543</v>
          </cell>
          <cell r="X63">
            <v>125.08881621476955</v>
          </cell>
          <cell r="Y63">
            <v>124.78860305585408</v>
          </cell>
          <cell r="Z63">
            <v>124.48911040852005</v>
          </cell>
          <cell r="AA63">
            <v>124.1903365435396</v>
          </cell>
          <cell r="AB63">
            <v>123.8922797358351</v>
          </cell>
          <cell r="AC63">
            <v>123.59493826446912</v>
          </cell>
          <cell r="AD63">
            <v>123.29831041263438</v>
          </cell>
          <cell r="AE63">
            <v>123.00239446764408</v>
          </cell>
        </row>
        <row r="64">
          <cell r="G64" t="str">
            <v>RegionAssemblyStock 2016</v>
          </cell>
          <cell r="H64" t="str">
            <v>Com</v>
          </cell>
          <cell r="I64" t="str">
            <v>Assembly</v>
          </cell>
          <cell r="J64" t="str">
            <v>Stock 2016</v>
          </cell>
          <cell r="K64" t="str">
            <v>Millions SqFt</v>
          </cell>
          <cell r="L64">
            <v>375.90224900649127</v>
          </cell>
          <cell r="M64">
            <v>374.21570091594884</v>
          </cell>
          <cell r="N64">
            <v>372.53671980450594</v>
          </cell>
          <cell r="O64">
            <v>370.86527172164978</v>
          </cell>
          <cell r="P64">
            <v>369.20132286919198</v>
          </cell>
          <cell r="Q64">
            <v>367.54483960058553</v>
          </cell>
          <cell r="R64">
            <v>365.89578842024423</v>
          </cell>
          <cell r="S64">
            <v>364.25413598286536</v>
          </cell>
          <cell r="T64">
            <v>362.6198490927556</v>
          </cell>
          <cell r="U64">
            <v>360.99289470315949</v>
          </cell>
          <cell r="V64">
            <v>359.37323991559134</v>
          </cell>
          <cell r="W64">
            <v>357.76085197917007</v>
          </cell>
          <cell r="X64">
            <v>356.15569828995689</v>
          </cell>
          <cell r="Y64">
            <v>354.55774639029596</v>
          </cell>
          <cell r="Z64">
            <v>352.96696396815821</v>
          </cell>
          <cell r="AA64">
            <v>351.38331885648773</v>
          </cell>
          <cell r="AB64">
            <v>349.80677903255156</v>
          </cell>
          <cell r="AC64">
            <v>348.23731261729228</v>
          </cell>
          <cell r="AD64">
            <v>346.67488787468267</v>
          </cell>
          <cell r="AE64">
            <v>345.11947321108494</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3758422.9515033378</v>
          </cell>
          <cell r="M74">
            <v>3846371.717457301</v>
          </cell>
          <cell r="N74">
            <v>3968374.1915052147</v>
          </cell>
          <cell r="O74">
            <v>4090510.3824295267</v>
          </cell>
          <cell r="P74">
            <v>4250302.9154343279</v>
          </cell>
          <cell r="Q74">
            <v>4334033.2977658212</v>
          </cell>
          <cell r="R74">
            <v>4456327.439187984</v>
          </cell>
          <cell r="S74">
            <v>4578789.2711511394</v>
          </cell>
          <cell r="T74">
            <v>4701360.1942719091</v>
          </cell>
          <cell r="U74">
            <v>4824313.8733196864</v>
          </cell>
          <cell r="V74">
            <v>4947352.2681518989</v>
          </cell>
          <cell r="W74">
            <v>5070668.4941239785</v>
          </cell>
          <cell r="X74">
            <v>5241393.4127492504</v>
          </cell>
          <cell r="Y74">
            <v>5317320.3001071345</v>
          </cell>
          <cell r="Z74">
            <v>5440661.5619043242</v>
          </cell>
          <cell r="AA74">
            <v>5564018.2642552005</v>
          </cell>
          <cell r="AB74">
            <v>5739586.1964683067</v>
          </cell>
          <cell r="AC74">
            <v>5811280.9684790904</v>
          </cell>
          <cell r="AD74">
            <v>5935246.9976805374</v>
          </cell>
          <cell r="AE74">
            <v>6059032.0232603503</v>
          </cell>
        </row>
        <row r="75">
          <cell r="G75" t="str">
            <v>RegionKraft PulpStock</v>
          </cell>
          <cell r="H75" t="str">
            <v>Ind</v>
          </cell>
          <cell r="I75" t="str">
            <v>Kraft Pulp</v>
          </cell>
          <cell r="J75" t="str">
            <v>Stock</v>
          </cell>
          <cell r="K75" t="str">
            <v>Consumption (MWh)</v>
          </cell>
          <cell r="L75">
            <v>2773481.4382196674</v>
          </cell>
          <cell r="M75">
            <v>2819427.5750914654</v>
          </cell>
          <cell r="N75">
            <v>2890507.7097985409</v>
          </cell>
          <cell r="O75">
            <v>2962071.1114584161</v>
          </cell>
          <cell r="P75">
            <v>3059997.7868964532</v>
          </cell>
          <cell r="Q75">
            <v>3103655.7832492976</v>
          </cell>
          <cell r="R75">
            <v>3174966.0896720556</v>
          </cell>
          <cell r="S75">
            <v>3246510.2403896889</v>
          </cell>
          <cell r="T75">
            <v>3318080.388651574</v>
          </cell>
          <cell r="U75">
            <v>3389982.4618547466</v>
          </cell>
          <cell r="V75">
            <v>3462131.4738810235</v>
          </cell>
          <cell r="W75">
            <v>3534707.6510694856</v>
          </cell>
          <cell r="X75">
            <v>3640109.6347631621</v>
          </cell>
          <cell r="Y75">
            <v>3679903.4172538687</v>
          </cell>
          <cell r="Z75">
            <v>3752596.4740436999</v>
          </cell>
          <cell r="AA75">
            <v>3825294.7476344355</v>
          </cell>
          <cell r="AB75">
            <v>3934104.1351328893</v>
          </cell>
          <cell r="AC75">
            <v>3971456.2759534372</v>
          </cell>
          <cell r="AD75">
            <v>4044721.9040998006</v>
          </cell>
          <cell r="AE75">
            <v>4117951.8072271077</v>
          </cell>
        </row>
        <row r="76">
          <cell r="G76" t="str">
            <v>RegionPaperStock</v>
          </cell>
          <cell r="H76" t="str">
            <v>Ind</v>
          </cell>
          <cell r="I76" t="str">
            <v>Paper</v>
          </cell>
          <cell r="J76" t="str">
            <v>Stock</v>
          </cell>
          <cell r="K76" t="str">
            <v>Consumption (MWh)</v>
          </cell>
          <cell r="L76">
            <v>909695.70566164097</v>
          </cell>
          <cell r="M76">
            <v>929841.98736761883</v>
          </cell>
          <cell r="N76">
            <v>958296.9900283548</v>
          </cell>
          <cell r="O76">
            <v>986772.46541472664</v>
          </cell>
          <cell r="P76">
            <v>1024503.2482359634</v>
          </cell>
          <cell r="Q76">
            <v>1043814.269249864</v>
          </cell>
          <cell r="R76">
            <v>1072416.0473229263</v>
          </cell>
          <cell r="S76">
            <v>1101138.6289797227</v>
          </cell>
          <cell r="T76">
            <v>1129827.4252453854</v>
          </cell>
          <cell r="U76">
            <v>1158615.4096222189</v>
          </cell>
          <cell r="V76">
            <v>1187381.7412163604</v>
          </cell>
          <cell r="W76">
            <v>1216221.7351596826</v>
          </cell>
          <cell r="X76">
            <v>1256359.4314945252</v>
          </cell>
          <cell r="Y76">
            <v>1273754.7023949234</v>
          </cell>
          <cell r="Z76">
            <v>1302557.2241510332</v>
          </cell>
          <cell r="AA76">
            <v>1331330.2770174742</v>
          </cell>
          <cell r="AB76">
            <v>1372605.4069409962</v>
          </cell>
          <cell r="AC76">
            <v>1388979.5459728481</v>
          </cell>
          <cell r="AD76">
            <v>1417876.2653212347</v>
          </cell>
          <cell r="AE76">
            <v>1446660.9687985121</v>
          </cell>
        </row>
        <row r="77">
          <cell r="G77" t="str">
            <v>RegionFoundriesStock</v>
          </cell>
          <cell r="H77" t="str">
            <v>Ind</v>
          </cell>
          <cell r="I77" t="str">
            <v>Foundries</v>
          </cell>
          <cell r="J77" t="str">
            <v>Stock</v>
          </cell>
          <cell r="K77" t="str">
            <v>Consumption (MWh)</v>
          </cell>
          <cell r="L77">
            <v>2911780.7125423807</v>
          </cell>
          <cell r="M77">
            <v>2836711.9420544878</v>
          </cell>
          <cell r="N77">
            <v>2789583.7208478679</v>
          </cell>
          <cell r="O77">
            <v>2744161.1652043322</v>
          </cell>
          <cell r="P77">
            <v>2724138.9595719618</v>
          </cell>
          <cell r="Q77">
            <v>2657920.4757749322</v>
          </cell>
          <cell r="R77">
            <v>2617304.9227809869</v>
          </cell>
          <cell r="S77">
            <v>2577672.8738681655</v>
          </cell>
          <cell r="T77">
            <v>2539470.2769998731</v>
          </cell>
          <cell r="U77">
            <v>2502370.6800410077</v>
          </cell>
          <cell r="V77">
            <v>2466328.7382904179</v>
          </cell>
          <cell r="W77">
            <v>2431145.5854122876</v>
          </cell>
          <cell r="X77">
            <v>2419072.5388772879</v>
          </cell>
          <cell r="Y77">
            <v>2363410.6682392037</v>
          </cell>
          <cell r="Z77">
            <v>2330315.4302864787</v>
          </cell>
          <cell r="AA77">
            <v>2297818.1106687617</v>
          </cell>
          <cell r="AB77">
            <v>2286770.7986101452</v>
          </cell>
          <cell r="AC77">
            <v>2234701.6262630955</v>
          </cell>
          <cell r="AD77">
            <v>2204017.8086585626</v>
          </cell>
          <cell r="AE77">
            <v>2173546.4494459317</v>
          </cell>
        </row>
        <row r="78">
          <cell r="G78" t="str">
            <v>RegionFrozen FoodStock</v>
          </cell>
          <cell r="H78" t="str">
            <v>Ind</v>
          </cell>
          <cell r="I78" t="str">
            <v>Frozen Food</v>
          </cell>
          <cell r="J78" t="str">
            <v>Stock</v>
          </cell>
          <cell r="K78" t="str">
            <v>Consumption (MWh)</v>
          </cell>
          <cell r="L78">
            <v>1237117.9151862806</v>
          </cell>
          <cell r="M78">
            <v>1256265.8697824469</v>
          </cell>
          <cell r="N78">
            <v>1286638.141562406</v>
          </cell>
          <cell r="O78">
            <v>1317026.0249685342</v>
          </cell>
          <cell r="P78">
            <v>1359372.6119707115</v>
          </cell>
          <cell r="Q78">
            <v>1377450.5956346455</v>
          </cell>
          <cell r="R78">
            <v>1407752.7747509496</v>
          </cell>
          <cell r="S78">
            <v>1438031.0417962291</v>
          </cell>
          <cell r="T78">
            <v>1468359.9477337729</v>
          </cell>
          <cell r="U78">
            <v>1498806.1175902041</v>
          </cell>
          <cell r="V78">
            <v>1529247.5005361729</v>
          </cell>
          <cell r="W78">
            <v>1559755.0254088808</v>
          </cell>
          <cell r="X78">
            <v>1604695.7181381483</v>
          </cell>
          <cell r="Y78">
            <v>1620685.0488578391</v>
          </cell>
          <cell r="Z78">
            <v>1651120.4927678995</v>
          </cell>
          <cell r="AA78">
            <v>1681526.4060613776</v>
          </cell>
          <cell r="AB78">
            <v>1727706.9650814079</v>
          </cell>
          <cell r="AC78">
            <v>1742468.2976748645</v>
          </cell>
          <cell r="AD78">
            <v>1772999.536528415</v>
          </cell>
          <cell r="AE78">
            <v>1803423.3883706611</v>
          </cell>
        </row>
        <row r="79">
          <cell r="G79" t="str">
            <v>RegionOther FoodStock</v>
          </cell>
          <cell r="H79" t="str">
            <v>Ind</v>
          </cell>
          <cell r="I79" t="str">
            <v>Other Food</v>
          </cell>
          <cell r="J79" t="str">
            <v>Stock</v>
          </cell>
          <cell r="K79" t="str">
            <v>Consumption (MWh)</v>
          </cell>
          <cell r="L79">
            <v>2189215.7914933185</v>
          </cell>
          <cell r="M79">
            <v>2225714.4170001475</v>
          </cell>
          <cell r="N79">
            <v>2281801.3842795906</v>
          </cell>
          <cell r="O79">
            <v>2337878.4662610777</v>
          </cell>
          <cell r="P79">
            <v>2414859.5617400161</v>
          </cell>
          <cell r="Q79">
            <v>2449639.2617126312</v>
          </cell>
          <cell r="R79">
            <v>2505916.452109566</v>
          </cell>
          <cell r="S79">
            <v>2561919.8701418121</v>
          </cell>
          <cell r="T79">
            <v>2618248.9470964097</v>
          </cell>
          <cell r="U79">
            <v>2674706.0878431001</v>
          </cell>
          <cell r="V79">
            <v>2731406.8457201738</v>
          </cell>
          <cell r="W79">
            <v>2788145.294466868</v>
          </cell>
          <cell r="X79">
            <v>2870921.2322274465</v>
          </cell>
          <cell r="Y79">
            <v>2901825.3565548556</v>
          </cell>
          <cell r="Z79">
            <v>2958750.6188529818</v>
          </cell>
          <cell r="AA79">
            <v>3015584.6219987967</v>
          </cell>
          <cell r="AB79">
            <v>3100853.4167639203</v>
          </cell>
          <cell r="AC79">
            <v>3129759.8328607553</v>
          </cell>
          <cell r="AD79">
            <v>3187110.5829028329</v>
          </cell>
          <cell r="AE79">
            <v>3244229.8759716363</v>
          </cell>
        </row>
        <row r="80">
          <cell r="G80" t="str">
            <v>RegionWood - LumberStock</v>
          </cell>
          <cell r="H80" t="str">
            <v>Ind</v>
          </cell>
          <cell r="I80" t="str">
            <v>Wood - Lumber</v>
          </cell>
          <cell r="J80" t="str">
            <v>Stock</v>
          </cell>
          <cell r="K80" t="str">
            <v>Consumption (MWh)</v>
          </cell>
          <cell r="L80">
            <v>1161963.8217505382</v>
          </cell>
          <cell r="M80">
            <v>1117769.5487595289</v>
          </cell>
          <cell r="N80">
            <v>1084874.9921310821</v>
          </cell>
          <cell r="O80">
            <v>1052791.9192047431</v>
          </cell>
          <cell r="P80">
            <v>1030397.4491679214</v>
          </cell>
          <cell r="Q80">
            <v>990879.29279742646</v>
          </cell>
          <cell r="R80">
            <v>961065.17490868072</v>
          </cell>
          <cell r="S80">
            <v>931730.64036078285</v>
          </cell>
          <cell r="T80">
            <v>903080.08419384609</v>
          </cell>
          <cell r="U80">
            <v>874945.75211344392</v>
          </cell>
          <cell r="V80">
            <v>847310.7915088681</v>
          </cell>
          <cell r="W80">
            <v>820119.00687699113</v>
          </cell>
          <cell r="X80">
            <v>800618.32318729174</v>
          </cell>
          <cell r="Y80">
            <v>766954.27095195896</v>
          </cell>
          <cell r="Z80">
            <v>740908.22274123156</v>
          </cell>
          <cell r="AA80">
            <v>715106.45172531332</v>
          </cell>
          <cell r="AB80">
            <v>696028.08762583928</v>
          </cell>
          <cell r="AC80">
            <v>664509.97671853204</v>
          </cell>
          <cell r="AD80">
            <v>639621.04956848687</v>
          </cell>
          <cell r="AE80">
            <v>614946.99745740264</v>
          </cell>
        </row>
        <row r="81">
          <cell r="G81" t="str">
            <v>RegionWood - PanelStock</v>
          </cell>
          <cell r="H81" t="str">
            <v>Ind</v>
          </cell>
          <cell r="I81" t="str">
            <v>Wood - Panel</v>
          </cell>
          <cell r="J81" t="str">
            <v>Stock</v>
          </cell>
          <cell r="K81" t="str">
            <v>Consumption (MWh)</v>
          </cell>
          <cell r="L81">
            <v>551950.18982134352</v>
          </cell>
          <cell r="M81">
            <v>528731.18450453493</v>
          </cell>
          <cell r="N81">
            <v>510838.63702842174</v>
          </cell>
          <cell r="O81">
            <v>493229.56048375246</v>
          </cell>
          <cell r="P81">
            <v>480200.65450609016</v>
          </cell>
          <cell r="Q81">
            <v>458869.67437759304</v>
          </cell>
          <cell r="R81">
            <v>442034.77624590963</v>
          </cell>
          <cell r="S81">
            <v>425381.84725157876</v>
          </cell>
          <cell r="T81">
            <v>408945.79607863171</v>
          </cell>
          <cell r="U81">
            <v>392669.02882158436</v>
          </cell>
          <cell r="V81">
            <v>376527.17230508296</v>
          </cell>
          <cell r="W81">
            <v>360540.83558473963</v>
          </cell>
          <cell r="X81">
            <v>347793.23494737077</v>
          </cell>
          <cell r="Y81">
            <v>328864.0423583783</v>
          </cell>
          <cell r="Z81">
            <v>313174.70380282239</v>
          </cell>
          <cell r="AA81">
            <v>297578.74522290094</v>
          </cell>
          <cell r="AB81">
            <v>284693.91308797692</v>
          </cell>
          <cell r="AC81">
            <v>266695.50893493497</v>
          </cell>
          <cell r="AD81">
            <v>251377.16659093063</v>
          </cell>
          <cell r="AE81">
            <v>236121.41095945257</v>
          </cell>
        </row>
        <row r="82">
          <cell r="G82" t="str">
            <v>RegionWood - OtherStock</v>
          </cell>
          <cell r="H82" t="str">
            <v>Ind</v>
          </cell>
          <cell r="I82" t="str">
            <v>Wood - Other</v>
          </cell>
          <cell r="J82" t="str">
            <v>Stock</v>
          </cell>
          <cell r="K82" t="str">
            <v>Consumption (MWh)</v>
          </cell>
          <cell r="L82">
            <v>870727.85506649863</v>
          </cell>
          <cell r="M82">
            <v>839735.03037413268</v>
          </cell>
          <cell r="N82">
            <v>817265.57122340729</v>
          </cell>
          <cell r="O82">
            <v>795421.70406258584</v>
          </cell>
          <cell r="P82">
            <v>780923.07506947254</v>
          </cell>
          <cell r="Q82">
            <v>753146.51005964773</v>
          </cell>
          <cell r="R82">
            <v>732820.97518292943</v>
          </cell>
          <cell r="S82">
            <v>712886.70561548509</v>
          </cell>
          <cell r="T82">
            <v>693400.22734523669</v>
          </cell>
          <cell r="U82">
            <v>674308.65124034672</v>
          </cell>
          <cell r="V82">
            <v>655534.95057322702</v>
          </cell>
          <cell r="W82">
            <v>637111.60144566628</v>
          </cell>
          <cell r="X82">
            <v>624630.92244216194</v>
          </cell>
          <cell r="Y82">
            <v>601103.42928001995</v>
          </cell>
          <cell r="Z82">
            <v>583449.38612394244</v>
          </cell>
          <cell r="AA82">
            <v>565997.72271073016</v>
          </cell>
          <cell r="AB82">
            <v>553823.1943250458</v>
          </cell>
          <cell r="AC82">
            <v>531773.35758124199</v>
          </cell>
          <cell r="AD82">
            <v>514944.55152005563</v>
          </cell>
          <cell r="AE82">
            <v>498286.13824063755</v>
          </cell>
        </row>
        <row r="83">
          <cell r="G83" t="str">
            <v>RegionSugarStock</v>
          </cell>
          <cell r="H83" t="str">
            <v>Ind</v>
          </cell>
          <cell r="I83" t="str">
            <v>Sugar</v>
          </cell>
          <cell r="J83" t="str">
            <v>Stock</v>
          </cell>
          <cell r="K83" t="str">
            <v>Consumption (MWh)</v>
          </cell>
          <cell r="L83">
            <v>475136.72478012781</v>
          </cell>
          <cell r="M83">
            <v>478944.05758966133</v>
          </cell>
          <cell r="N83">
            <v>486819.48116772674</v>
          </cell>
          <cell r="O83">
            <v>494591.38634116278</v>
          </cell>
          <cell r="P83">
            <v>506508.14130214165</v>
          </cell>
          <cell r="Q83">
            <v>510023.29432266601</v>
          </cell>
          <cell r="R83">
            <v>517787.90058012598</v>
          </cell>
          <cell r="S83">
            <v>525332.27094640187</v>
          </cell>
          <cell r="T83">
            <v>532962.59651115292</v>
          </cell>
          <cell r="U83">
            <v>540559.14188859914</v>
          </cell>
          <cell r="V83">
            <v>548264.64271890977</v>
          </cell>
          <cell r="W83">
            <v>555867.220442908</v>
          </cell>
          <cell r="X83">
            <v>568632.32789277437</v>
          </cell>
          <cell r="Y83">
            <v>571112.91942260799</v>
          </cell>
          <cell r="Z83">
            <v>578836.54771749349</v>
          </cell>
          <cell r="AA83">
            <v>586399.91803551139</v>
          </cell>
          <cell r="AB83">
            <v>599561.512214605</v>
          </cell>
          <cell r="AC83">
            <v>601661.01637638209</v>
          </cell>
          <cell r="AD83">
            <v>609371.99258243595</v>
          </cell>
          <cell r="AE83">
            <v>616906.35518594901</v>
          </cell>
        </row>
        <row r="84">
          <cell r="G84" t="str">
            <v>RegionHi Tech - Chip FabStock</v>
          </cell>
          <cell r="H84" t="str">
            <v>Ind</v>
          </cell>
          <cell r="I84" t="str">
            <v>Hi Tech - Chip Fab</v>
          </cell>
          <cell r="J84" t="str">
            <v>Stock</v>
          </cell>
          <cell r="K84" t="str">
            <v>Consumption (MWh)</v>
          </cell>
          <cell r="L84">
            <v>441794.88875823218</v>
          </cell>
          <cell r="M84">
            <v>432626.39847364998</v>
          </cell>
          <cell r="N84">
            <v>427242.98054352769</v>
          </cell>
          <cell r="O84">
            <v>422213.82213962206</v>
          </cell>
          <cell r="P84">
            <v>421920.64066734893</v>
          </cell>
          <cell r="Q84">
            <v>413709.06623231358</v>
          </cell>
          <cell r="R84">
            <v>410212.7518948018</v>
          </cell>
          <cell r="S84">
            <v>406355.09832970693</v>
          </cell>
          <cell r="T84">
            <v>403296.23418868397</v>
          </cell>
          <cell r="U84">
            <v>399924.4240136806</v>
          </cell>
          <cell r="V84">
            <v>397295.90252843429</v>
          </cell>
          <cell r="W84">
            <v>394316.89382121537</v>
          </cell>
          <cell r="X84">
            <v>395623.44895442144</v>
          </cell>
          <cell r="Y84">
            <v>389392.69605832879</v>
          </cell>
          <cell r="Z84">
            <v>386892.14662184619</v>
          </cell>
          <cell r="AA84">
            <v>385025.31464219192</v>
          </cell>
          <cell r="AB84">
            <v>386311.31539104413</v>
          </cell>
          <cell r="AC84">
            <v>381213.1101798673</v>
          </cell>
          <cell r="AD84">
            <v>379233.88825255015</v>
          </cell>
          <cell r="AE84">
            <v>377804.18623239076</v>
          </cell>
        </row>
        <row r="85">
          <cell r="G85" t="str">
            <v>RegionHi Tech - SiliconStock</v>
          </cell>
          <cell r="H85" t="str">
            <v>Ind</v>
          </cell>
          <cell r="I85" t="str">
            <v>Hi Tech - Silicon</v>
          </cell>
          <cell r="J85" t="str">
            <v>Stock</v>
          </cell>
          <cell r="K85" t="str">
            <v>Consumption (MWh)</v>
          </cell>
          <cell r="L85">
            <v>226900.615461001</v>
          </cell>
          <cell r="M85">
            <v>224036.45332402681</v>
          </cell>
          <cell r="N85">
            <v>223197.60670939417</v>
          </cell>
          <cell r="O85">
            <v>222435.67348639047</v>
          </cell>
          <cell r="P85">
            <v>223898.4301459378</v>
          </cell>
          <cell r="Q85">
            <v>221368.38696638378</v>
          </cell>
          <cell r="R85">
            <v>221129.95798393188</v>
          </cell>
          <cell r="S85">
            <v>220786.11584318019</v>
          </cell>
          <cell r="T85">
            <v>220661.22741685802</v>
          </cell>
          <cell r="U85">
            <v>220514.6104276102</v>
          </cell>
          <cell r="V85">
            <v>220566.57724116242</v>
          </cell>
          <cell r="W85">
            <v>220582.85570889112</v>
          </cell>
          <cell r="X85">
            <v>222786.93799954746</v>
          </cell>
          <cell r="Y85">
            <v>220925.37261965938</v>
          </cell>
          <cell r="Z85">
            <v>221135.24104542725</v>
          </cell>
          <cell r="AA85">
            <v>221470.75488217658</v>
          </cell>
          <cell r="AB85">
            <v>223814.68962733069</v>
          </cell>
          <cell r="AC85">
            <v>222220.65723257174</v>
          </cell>
          <cell r="AD85">
            <v>222629.30420924808</v>
          </cell>
          <cell r="AE85">
            <v>223146.84657001842</v>
          </cell>
        </row>
        <row r="86">
          <cell r="G86" t="str">
            <v>RegionMetal FabStock</v>
          </cell>
          <cell r="H86" t="str">
            <v>Ind</v>
          </cell>
          <cell r="I86" t="str">
            <v>Metal Fab</v>
          </cell>
          <cell r="J86" t="str">
            <v>Stock</v>
          </cell>
          <cell r="K86" t="str">
            <v>Consumption (MWh)</v>
          </cell>
          <cell r="L86">
            <v>909892.68701188185</v>
          </cell>
          <cell r="M86">
            <v>891825.25809582323</v>
          </cell>
          <cell r="N86">
            <v>882508.80442902481</v>
          </cell>
          <cell r="O86">
            <v>873727.53576770169</v>
          </cell>
          <cell r="P86">
            <v>873074.20336348354</v>
          </cell>
          <cell r="Q86">
            <v>857353.78829031112</v>
          </cell>
          <cell r="R86">
            <v>849920.96028251934</v>
          </cell>
          <cell r="S86">
            <v>842747.12140389089</v>
          </cell>
          <cell r="T86">
            <v>835992.11174095876</v>
          </cell>
          <cell r="U86">
            <v>829585.10375461576</v>
          </cell>
          <cell r="V86">
            <v>823489.91083828453</v>
          </cell>
          <cell r="W86">
            <v>817657.03435069101</v>
          </cell>
          <cell r="X86">
            <v>819465.35455238761</v>
          </cell>
          <cell r="Y86">
            <v>806647.75437978934</v>
          </cell>
          <cell r="Z86">
            <v>801457.62846863491</v>
          </cell>
          <cell r="AA86">
            <v>796415.70090358355</v>
          </cell>
          <cell r="AB86">
            <v>798860.24754177267</v>
          </cell>
          <cell r="AC86">
            <v>786961.84080937004</v>
          </cell>
          <cell r="AD86">
            <v>782499.53998716734</v>
          </cell>
          <cell r="AE86">
            <v>778123.72130174015</v>
          </cell>
        </row>
        <row r="87">
          <cell r="G87" t="str">
            <v>RegionTransportation, EquipStock</v>
          </cell>
          <cell r="H87" t="str">
            <v>Ind</v>
          </cell>
          <cell r="I87" t="str">
            <v>Transportation, Equip</v>
          </cell>
          <cell r="J87" t="str">
            <v>Stock</v>
          </cell>
          <cell r="K87" t="str">
            <v>Consumption (MWh)</v>
          </cell>
          <cell r="L87">
            <v>1804273.4320914866</v>
          </cell>
          <cell r="M87">
            <v>1764444.7092744687</v>
          </cell>
          <cell r="N87">
            <v>1742380.5060862801</v>
          </cell>
          <cell r="O87">
            <v>1721734.2919262978</v>
          </cell>
          <cell r="P87">
            <v>1717290.0100661237</v>
          </cell>
          <cell r="Q87">
            <v>1684212.3577429946</v>
          </cell>
          <cell r="R87">
            <v>1667572.9872876552</v>
          </cell>
          <cell r="S87">
            <v>1651915.7655637239</v>
          </cell>
          <cell r="T87">
            <v>1637404.0605393937</v>
          </cell>
          <cell r="U87">
            <v>1624039.8539685637</v>
          </cell>
          <cell r="V87">
            <v>1611571.7582730576</v>
          </cell>
          <cell r="W87">
            <v>1599938.1807304013</v>
          </cell>
          <cell r="X87">
            <v>1603782.6234504275</v>
          </cell>
          <cell r="Y87">
            <v>1579189.4507664458</v>
          </cell>
          <cell r="Z87">
            <v>1569848.0280781442</v>
          </cell>
          <cell r="AA87">
            <v>1560977.4194455137</v>
          </cell>
          <cell r="AB87">
            <v>1566945.462049291</v>
          </cell>
          <cell r="AC87">
            <v>1545218.7396206472</v>
          </cell>
          <cell r="AD87">
            <v>1538099.8647244556</v>
          </cell>
          <cell r="AE87">
            <v>1531589.7574381533</v>
          </cell>
        </row>
        <row r="88">
          <cell r="G88" t="str">
            <v>RegionRefineryStock</v>
          </cell>
          <cell r="H88" t="str">
            <v>Ind</v>
          </cell>
          <cell r="I88" t="str">
            <v>Refinery</v>
          </cell>
          <cell r="J88" t="str">
            <v>Stock</v>
          </cell>
          <cell r="K88" t="str">
            <v>Consumption (MWh)</v>
          </cell>
          <cell r="L88">
            <v>1881024.91962965</v>
          </cell>
          <cell r="M88">
            <v>1909117.5467978129</v>
          </cell>
          <cell r="N88">
            <v>1951995.6132668965</v>
          </cell>
          <cell r="O88">
            <v>1997111.8831124087</v>
          </cell>
          <cell r="P88">
            <v>2057483.6301056999</v>
          </cell>
          <cell r="Q88">
            <v>2084336.8416466711</v>
          </cell>
          <cell r="R88">
            <v>2127809.677560756</v>
          </cell>
          <cell r="S88">
            <v>2172413.8365607024</v>
          </cell>
          <cell r="T88">
            <v>2215960.2386478884</v>
          </cell>
          <cell r="U88">
            <v>2261195.6605773838</v>
          </cell>
          <cell r="V88">
            <v>2305708.6406222372</v>
          </cell>
          <cell r="W88">
            <v>2351421.030442731</v>
          </cell>
          <cell r="X88">
            <v>2417809.3733545281</v>
          </cell>
          <cell r="Y88">
            <v>2441973.3932293397</v>
          </cell>
          <cell r="Z88">
            <v>2486737.3300964865</v>
          </cell>
          <cell r="AA88">
            <v>2532907.6529900534</v>
          </cell>
          <cell r="AB88">
            <v>2601624.7146502738</v>
          </cell>
          <cell r="AC88">
            <v>2625012.9439967307</v>
          </cell>
          <cell r="AD88">
            <v>2670463.7864335729</v>
          </cell>
          <cell r="AE88">
            <v>2717337.6347862268</v>
          </cell>
        </row>
        <row r="89">
          <cell r="G89" t="str">
            <v>RegionCold StorageStock</v>
          </cell>
          <cell r="H89" t="str">
            <v>Ind</v>
          </cell>
          <cell r="I89" t="str">
            <v>Cold Storage</v>
          </cell>
          <cell r="J89" t="str">
            <v>Stock</v>
          </cell>
          <cell r="K89" t="str">
            <v>Consumption (MWh)</v>
          </cell>
          <cell r="L89">
            <v>78154.236827670538</v>
          </cell>
          <cell r="M89">
            <v>79453.458629044515</v>
          </cell>
          <cell r="N89">
            <v>81462.364882615439</v>
          </cell>
          <cell r="O89">
            <v>83477.500671992908</v>
          </cell>
          <cell r="P89">
            <v>86245.581369176958</v>
          </cell>
          <cell r="Q89">
            <v>87478.747599680457</v>
          </cell>
          <cell r="R89">
            <v>89494.311122657688</v>
          </cell>
          <cell r="S89">
            <v>91509.020390414968</v>
          </cell>
          <cell r="T89">
            <v>93532.504764969955</v>
          </cell>
          <cell r="U89">
            <v>95564.382084683428</v>
          </cell>
          <cell r="V89">
            <v>97600.983939128768</v>
          </cell>
          <cell r="W89">
            <v>99644.634467322845</v>
          </cell>
          <cell r="X89">
            <v>102618.3524040958</v>
          </cell>
          <cell r="Y89">
            <v>103741.81616097505</v>
          </cell>
          <cell r="Z89">
            <v>105788.43696882724</v>
          </cell>
          <cell r="AA89">
            <v>107838.05913011087</v>
          </cell>
          <cell r="AB89">
            <v>110898.73263363529</v>
          </cell>
          <cell r="AC89">
            <v>111951.72686476028</v>
          </cell>
          <cell r="AD89">
            <v>114014.96377503965</v>
          </cell>
          <cell r="AE89">
            <v>116079.01640209509</v>
          </cell>
        </row>
        <row r="90">
          <cell r="G90" t="str">
            <v>RegionFruit StorageStock</v>
          </cell>
          <cell r="H90" t="str">
            <v>Ind</v>
          </cell>
          <cell r="I90" t="str">
            <v>Fruit Storage</v>
          </cell>
          <cell r="J90" t="str">
            <v>Stock</v>
          </cell>
          <cell r="K90" t="str">
            <v>Consumption (MWh)</v>
          </cell>
          <cell r="L90">
            <v>199395.43790713095</v>
          </cell>
          <cell r="M90">
            <v>204115.10690708214</v>
          </cell>
          <cell r="N90">
            <v>210634.84781997796</v>
          </cell>
          <cell r="O90">
            <v>217141.49063609194</v>
          </cell>
          <cell r="P90">
            <v>225683.75101923331</v>
          </cell>
          <cell r="Q90">
            <v>230234.36323329096</v>
          </cell>
          <cell r="R90">
            <v>236796.95219371072</v>
          </cell>
          <cell r="S90">
            <v>243349.21918638356</v>
          </cell>
          <cell r="T90">
            <v>249921.80671927828</v>
          </cell>
          <cell r="U90">
            <v>256506.98239189648</v>
          </cell>
          <cell r="V90">
            <v>263096.35269472009</v>
          </cell>
          <cell r="W90">
            <v>269693.66215315415</v>
          </cell>
          <cell r="X90">
            <v>278797.26062516763</v>
          </cell>
          <cell r="Y90">
            <v>282842.82237701409</v>
          </cell>
          <cell r="Z90">
            <v>289419.35664982459</v>
          </cell>
          <cell r="AA90">
            <v>295994.31165490975</v>
          </cell>
          <cell r="AB90">
            <v>305366.03036291245</v>
          </cell>
          <cell r="AC90">
            <v>309179.84460456396</v>
          </cell>
          <cell r="AD90">
            <v>315794.71629056305</v>
          </cell>
          <cell r="AE90">
            <v>322364.98084319307</v>
          </cell>
        </row>
        <row r="91">
          <cell r="G91" t="str">
            <v>RegionChemicalStock</v>
          </cell>
          <cell r="H91" t="str">
            <v>Ind</v>
          </cell>
          <cell r="I91" t="str">
            <v>Chemical</v>
          </cell>
          <cell r="J91" t="str">
            <v>Stock</v>
          </cell>
          <cell r="K91" t="str">
            <v>Consumption (MWh)</v>
          </cell>
          <cell r="L91">
            <v>3305004.1605836996</v>
          </cell>
          <cell r="M91">
            <v>3443789.6934345411</v>
          </cell>
          <cell r="N91">
            <v>3609021.9884613133</v>
          </cell>
          <cell r="O91">
            <v>3771046.7677251906</v>
          </cell>
          <cell r="P91">
            <v>3927253.9609524435</v>
          </cell>
          <cell r="Q91">
            <v>4037395.7085911199</v>
          </cell>
          <cell r="R91">
            <v>4188643.2636367837</v>
          </cell>
          <cell r="S91">
            <v>4340984.9755713558</v>
          </cell>
          <cell r="T91">
            <v>4493975.9194887662</v>
          </cell>
          <cell r="U91">
            <v>4646018.0745007796</v>
          </cell>
          <cell r="V91">
            <v>4797371.3042631764</v>
          </cell>
          <cell r="W91">
            <v>4947813.7264089147</v>
          </cell>
          <cell r="X91">
            <v>5144107.7969676936</v>
          </cell>
          <cell r="Y91">
            <v>5246402.7802377427</v>
          </cell>
          <cell r="Z91">
            <v>5394857.0622515492</v>
          </cell>
          <cell r="AA91">
            <v>5541714.6108995685</v>
          </cell>
          <cell r="AB91">
            <v>5740442.2061493713</v>
          </cell>
          <cell r="AC91">
            <v>5833788.3063517585</v>
          </cell>
          <cell r="AD91">
            <v>5979638.453419812</v>
          </cell>
          <cell r="AE91">
            <v>6123880.4660364473</v>
          </cell>
        </row>
        <row r="92">
          <cell r="G92" t="str">
            <v>RegionMisc ManfStock</v>
          </cell>
          <cell r="H92" t="str">
            <v>Ind</v>
          </cell>
          <cell r="I92" t="str">
            <v>Misc Manf</v>
          </cell>
          <cell r="J92" t="str">
            <v>Stock</v>
          </cell>
          <cell r="K92" t="str">
            <v>Consumption (MWh)</v>
          </cell>
          <cell r="L92">
            <v>4209556.472488177</v>
          </cell>
          <cell r="M92">
            <v>4334633.1165770665</v>
          </cell>
          <cell r="N92">
            <v>4496807.6122477548</v>
          </cell>
          <cell r="O92">
            <v>4658950.5636732625</v>
          </cell>
          <cell r="P92">
            <v>4833902.8390341504</v>
          </cell>
          <cell r="Q92">
            <v>4939547.3871582579</v>
          </cell>
          <cell r="R92">
            <v>5095859.5790590979</v>
          </cell>
          <cell r="S92">
            <v>5254063.1713875132</v>
          </cell>
          <cell r="T92">
            <v>5413802.5084346561</v>
          </cell>
          <cell r="U92">
            <v>5573463.6928148605</v>
          </cell>
          <cell r="V92">
            <v>5733797.7617043415</v>
          </cell>
          <cell r="W92">
            <v>5893374.3310838528</v>
          </cell>
          <cell r="X92">
            <v>6108755.4059702102</v>
          </cell>
          <cell r="Y92">
            <v>6213044.4648437528</v>
          </cell>
          <cell r="Z92">
            <v>6372313.332896472</v>
          </cell>
          <cell r="AA92">
            <v>6531884.2745853113</v>
          </cell>
          <cell r="AB92">
            <v>6752077.3183153793</v>
          </cell>
          <cell r="AC92">
            <v>6850327.3548128605</v>
          </cell>
          <cell r="AD92">
            <v>7009692.065473482</v>
          </cell>
          <cell r="AE92">
            <v>7168736.8179728845</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row r="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row>
      </sheetData>
      <sheetData sheetId="2"/>
      <sheetData sheetId="3"/>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row>
        <row r="23">
          <cell r="D23" t="str">
            <v>WASHINGTON</v>
          </cell>
          <cell r="E23"/>
          <cell r="F23"/>
          <cell r="G23"/>
          <cell r="BD23"/>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row>
        <row r="33">
          <cell r="D33" t="str">
            <v>IDAHO</v>
          </cell>
          <cell r="E33"/>
          <cell r="F33"/>
          <cell r="G33"/>
          <cell r="BD33"/>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row>
        <row r="43">
          <cell r="D43" t="str">
            <v>MONTANA</v>
          </cell>
          <cell r="E43">
            <v>0.56999999999999995</v>
          </cell>
          <cell r="F43" t="str">
            <v>Western MT portion of state</v>
          </cell>
          <cell r="G43"/>
          <cell r="BD43"/>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cell r="F53"/>
          <cell r="G53"/>
          <cell r="BD53"/>
        </row>
        <row r="54">
          <cell r="C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C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C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C58"/>
          <cell r="D58" t="str">
            <v>Single Family</v>
          </cell>
          <cell r="E58" t="str">
            <v>Existing</v>
          </cell>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C59"/>
          <cell r="D59" t="str">
            <v>Multifamily - Low Rise</v>
          </cell>
          <cell r="E59" t="str">
            <v>Existing</v>
          </cell>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C61"/>
          <cell r="D61" t="str">
            <v>Manufactured</v>
          </cell>
          <cell r="E61" t="str">
            <v>Existing</v>
          </cell>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ExistingSat" refersTo="='SATS'!$B$10:$F$84"/>
      <definedName name="NewSat" refersTo="='SATS'!$B$87:$F$152"/>
      <definedName name="ResApplic" refersTo="='APPLIC'!$B$8:$F$119"/>
    </definedNames>
    <sheetDataSet>
      <sheetData sheetId="0"/>
      <sheetData sheetId="1"/>
      <sheetData sheetId="2">
        <row r="73">
          <cell r="B73" t="str">
            <v>Advanced Power Strips</v>
          </cell>
        </row>
        <row r="74">
          <cell r="B74" t="str">
            <v>Advanced Power Strips</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0.56056700768085099</v>
          </cell>
        </row>
        <row r="52">
          <cell r="B52" t="str">
            <v>Duct Sealing - Retro</v>
          </cell>
          <cell r="C52">
            <v>0.4293783331765883</v>
          </cell>
          <cell r="D52">
            <v>0</v>
          </cell>
          <cell r="E52">
            <v>0</v>
          </cell>
          <cell r="F52">
            <v>0.53253865729680838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LO3Slow</v>
          </cell>
          <cell r="D85">
            <v>5.5320496977002724E-3</v>
          </cell>
          <cell r="E85">
            <v>1.4227918344261844E-2</v>
          </cell>
          <cell r="F85">
            <v>3.1619655637384989E-2</v>
          </cell>
          <cell r="G85">
            <v>6.2055195900350503E-2</v>
          </cell>
          <cell r="H85">
            <v>0.10939936964274129</v>
          </cell>
          <cell r="I85">
            <v>0.17568121288208835</v>
          </cell>
          <cell r="J85">
            <v>0.26003992245943919</v>
          </cell>
          <cell r="K85">
            <v>0.3584584169663485</v>
          </cell>
          <cell r="L85">
            <v>0.46444756489686617</v>
          </cell>
          <cell r="M85">
            <v>0.57043671282738384</v>
          </cell>
          <cell r="N85">
            <v>0.66935991756253377</v>
          </cell>
          <cell r="O85">
            <v>0.75591772170578986</v>
          </cell>
          <cell r="P85">
            <v>0.82720061923553012</v>
          </cell>
          <cell r="Q85">
            <v>0.88264287286977261</v>
          </cell>
          <cell r="R85">
            <v>0.92349505975816193</v>
          </cell>
          <cell r="S85">
            <v>0.95209159058003434</v>
          </cell>
          <cell r="T85">
            <v>0.97115594446128262</v>
          </cell>
          <cell r="U85">
            <v>0.98328780602207699</v>
          </cell>
          <cell r="V85">
            <v>0.99067241740690848</v>
          </cell>
          <cell r="W85">
            <v>0.99498010738139331</v>
          </cell>
          <cell r="X85"/>
        </row>
        <row r="86">
          <cell r="A86" t="str">
            <v>Electronics</v>
          </cell>
          <cell r="B86" t="str">
            <v>Advanced Power Strips - Retro</v>
          </cell>
          <cell r="C86" t="str">
            <v>Retro3Slow</v>
          </cell>
          <cell r="D86">
            <v>5.5320496977002724E-3</v>
          </cell>
          <cell r="E86">
            <v>8.6958686465615706E-3</v>
          </cell>
          <cell r="F86">
            <v>1.7391737293123145E-2</v>
          </cell>
          <cell r="G86">
            <v>3.0435540262965514E-2</v>
          </cell>
          <cell r="H86">
            <v>4.7344173742390784E-2</v>
          </cell>
          <cell r="I86">
            <v>6.6281843239347063E-2</v>
          </cell>
          <cell r="J86">
            <v>8.4358709577350838E-2</v>
          </cell>
          <cell r="K86">
            <v>9.8418494506909315E-2</v>
          </cell>
          <cell r="L86">
            <v>0.10598914793051767</v>
          </cell>
          <cell r="M86">
            <v>0.10598914793051767</v>
          </cell>
          <cell r="N86">
            <v>9.8923204735149928E-2</v>
          </cell>
          <cell r="O86">
            <v>8.655780414325609E-2</v>
          </cell>
          <cell r="P86">
            <v>7.1282897529740263E-2</v>
          </cell>
          <cell r="Q86">
            <v>5.5442253634242489E-2</v>
          </cell>
          <cell r="R86">
            <v>4.0852186888389319E-2</v>
          </cell>
          <cell r="S86">
            <v>2.8596530821872412E-2</v>
          </cell>
          <cell r="T86">
            <v>1.9064353881248275E-2</v>
          </cell>
          <cell r="U86">
            <v>1.2131861560794377E-2</v>
          </cell>
          <cell r="V86">
            <v>7.3846113848314854E-3</v>
          </cell>
          <cell r="W86">
            <v>4.3076899744848296E-3</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E67"/>
          <cell r="F67">
            <v>1216.4209797598855</v>
          </cell>
        </row>
        <row r="68">
          <cell r="B68" t="str">
            <v>AtticSqft</v>
          </cell>
          <cell r="C68">
            <v>1431.3235818765609</v>
          </cell>
          <cell r="D68">
            <v>407</v>
          </cell>
          <cell r="E68"/>
          <cell r="F68">
            <v>1280</v>
          </cell>
        </row>
        <row r="69">
          <cell r="B69" t="str">
            <v>FloorSqft</v>
          </cell>
          <cell r="C69">
            <v>1431.3235818765609</v>
          </cell>
          <cell r="D69">
            <v>390</v>
          </cell>
          <cell r="E69"/>
          <cell r="F69">
            <v>1280</v>
          </cell>
        </row>
        <row r="70">
          <cell r="B70" t="str">
            <v>WindowSqft</v>
          </cell>
          <cell r="C70">
            <v>178.91544773457011</v>
          </cell>
          <cell r="D70">
            <v>174</v>
          </cell>
          <cell r="E70"/>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73">
          <cell r="B73"/>
          <cell r="C73"/>
          <cell r="D73"/>
          <cell r="E73"/>
          <cell r="F73"/>
        </row>
        <row r="74">
          <cell r="B74"/>
          <cell r="C74"/>
          <cell r="D74"/>
          <cell r="E74"/>
          <cell r="F74"/>
        </row>
        <row r="75">
          <cell r="B75"/>
          <cell r="C75"/>
          <cell r="D75"/>
          <cell r="E75"/>
          <cell r="F75"/>
        </row>
        <row r="76">
          <cell r="B76"/>
          <cell r="C76"/>
          <cell r="D76"/>
          <cell r="E76"/>
          <cell r="F76"/>
        </row>
        <row r="77">
          <cell r="B77"/>
          <cell r="C77"/>
          <cell r="D77"/>
          <cell r="E77"/>
          <cell r="F77"/>
        </row>
        <row r="78">
          <cell r="B78"/>
          <cell r="C78"/>
          <cell r="D78"/>
          <cell r="E78"/>
          <cell r="F78"/>
        </row>
        <row r="79">
          <cell r="B79"/>
          <cell r="C79"/>
          <cell r="D79"/>
          <cell r="E79"/>
          <cell r="F79"/>
        </row>
        <row r="80">
          <cell r="B80"/>
          <cell r="C80"/>
          <cell r="D80"/>
          <cell r="E80"/>
          <cell r="F80"/>
        </row>
        <row r="81">
          <cell r="B81"/>
          <cell r="C81"/>
          <cell r="D81"/>
          <cell r="E81"/>
          <cell r="F81"/>
        </row>
        <row r="82">
          <cell r="B82"/>
          <cell r="C82"/>
          <cell r="D82"/>
          <cell r="E82"/>
          <cell r="F82"/>
        </row>
        <row r="83">
          <cell r="B83"/>
          <cell r="C83"/>
          <cell r="D83"/>
          <cell r="E83"/>
          <cell r="F83"/>
        </row>
        <row r="84">
          <cell r="C84"/>
          <cell r="F84"/>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cell r="D125"/>
          <cell r="E125"/>
          <cell r="F125"/>
        </row>
        <row r="126">
          <cell r="B126" t="str">
            <v>DHW &gt;55</v>
          </cell>
          <cell r="C126">
            <v>0.4198208375977816</v>
          </cell>
          <cell r="D126"/>
          <cell r="E126"/>
          <cell r="F126"/>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cell r="D140"/>
          <cell r="E140"/>
          <cell r="F140"/>
        </row>
        <row r="141">
          <cell r="B141" t="str">
            <v>AtticSqft</v>
          </cell>
          <cell r="C141">
            <v>1177.7370772549227</v>
          </cell>
          <cell r="D141"/>
          <cell r="E141"/>
          <cell r="F141"/>
        </row>
        <row r="142">
          <cell r="B142" t="str">
            <v>FloorSqft</v>
          </cell>
          <cell r="C142">
            <v>1177.7370772549227</v>
          </cell>
          <cell r="D142"/>
          <cell r="E142"/>
          <cell r="F142"/>
        </row>
        <row r="143">
          <cell r="B143" t="str">
            <v>WindowSqft</v>
          </cell>
          <cell r="C143">
            <v>147.21713465686534</v>
          </cell>
          <cell r="D143"/>
          <cell r="E143"/>
          <cell r="F143"/>
        </row>
        <row r="144">
          <cell r="B144" t="str">
            <v>HomeSqft</v>
          </cell>
          <cell r="C144">
            <v>2355.4741545098454</v>
          </cell>
          <cell r="D144"/>
          <cell r="E144"/>
          <cell r="F144"/>
        </row>
        <row r="145">
          <cell r="B145" t="str">
            <v>Lighting</v>
          </cell>
          <cell r="C145">
            <v>77</v>
          </cell>
          <cell r="D145">
            <v>23</v>
          </cell>
          <cell r="E145">
            <v>23</v>
          </cell>
          <cell r="F145">
            <v>34.5</v>
          </cell>
        </row>
        <row r="146">
          <cell r="B146"/>
          <cell r="C146"/>
          <cell r="D146"/>
          <cell r="E146"/>
          <cell r="F146"/>
        </row>
        <row r="147">
          <cell r="B147"/>
          <cell r="C147"/>
          <cell r="D147"/>
          <cell r="E147"/>
          <cell r="F147"/>
        </row>
        <row r="148">
          <cell r="B148"/>
          <cell r="C148"/>
          <cell r="D148"/>
          <cell r="E148"/>
          <cell r="F148"/>
        </row>
        <row r="149">
          <cell r="B149"/>
          <cell r="C149"/>
          <cell r="D149"/>
          <cell r="E149"/>
          <cell r="F149"/>
        </row>
        <row r="150">
          <cell r="B150"/>
          <cell r="C150"/>
          <cell r="D150"/>
          <cell r="E150"/>
          <cell r="F150"/>
        </row>
      </sheetData>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www.wattstopper.com/products/occupancy-vacancy-sensors/plug-load-controls/idp-3050.aspx"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8" Type="http://schemas.openxmlformats.org/officeDocument/2006/relationships/hyperlink" Target="http://www.amazon.com/VCT-Universal-Protector-Outlets-Capacity/dp/B000784H4K/ref=lp_10967801_1_14?ie=UTF8&amp;qid=1365704900&amp;sr=1-14" TargetMode="External"/><Relationship Id="rId13" Type="http://schemas.openxmlformats.org/officeDocument/2006/relationships/hyperlink" Target="http://www.amazon.com/Belkin-Outlet-Power-Strip-Length/dp/B001E29OT6/ref=lp_10967801_1_16?ie=UTF8&amp;qid=1365704900&amp;sr=1-16" TargetMode="External"/><Relationship Id="rId3" Type="http://schemas.openxmlformats.org/officeDocument/2006/relationships/hyperlink" Target="http://www.energyfederation.org/consumer/default.php/cPath/39_3042_6165/sort/1a/page/1/action/buy_now/products_id/3080" TargetMode="External"/><Relationship Id="rId7" Type="http://schemas.openxmlformats.org/officeDocument/2006/relationships/hyperlink" Target="http://www.amazon.com/Fellowes-6-Outlet-15-Foot-Power-99026/dp/B00006HQR8/ref=lp_10967801_1_9?ie=UTF8&amp;qid=1365704900&amp;sr=1-9" TargetMode="External"/><Relationship Id="rId12" Type="http://schemas.openxmlformats.org/officeDocument/2006/relationships/hyperlink" Target="http://www.energyfederation.org/consumer/default.php/cPath/39_3042_5225" TargetMode="External"/><Relationship Id="rId2" Type="http://schemas.openxmlformats.org/officeDocument/2006/relationships/hyperlink" Target="http://www.energyfederation.org/consumer/default.php/cPath/39_3042_4526" TargetMode="External"/><Relationship Id="rId16" Type="http://schemas.openxmlformats.org/officeDocument/2006/relationships/hyperlink" Target="http://www.amazon.com/VCT-Universal-Protector-Outlets-Capacity/dp/B000784H4K/ref=lp_10967801_1_14?ie=UTF8&amp;qid=1365704900&amp;sr=1-14" TargetMode="External"/><Relationship Id="rId1" Type="http://schemas.openxmlformats.org/officeDocument/2006/relationships/hyperlink" Target="http://www.energyfederation.org/consumer/default.php/cPath/39_3042_4559/sort/1a/page/1/action/buy_now/products_id/2628" TargetMode="External"/><Relationship Id="rId6" Type="http://schemas.openxmlformats.org/officeDocument/2006/relationships/hyperlink" Target="http://www.amazon.com/Tripp-Lite-TLP808-Protector-Outlet/dp/B00006B82N/ref=lp_10967801_1_20?ie=UTF8&amp;qid=1365704900&amp;sr=1-20" TargetMode="External"/><Relationship Id="rId11" Type="http://schemas.openxmlformats.org/officeDocument/2006/relationships/hyperlink" Target="http://www.energyfederation.org/consumer/default.php/cPath/39_3042_6165/sort/1a/page/1/action/buy_now/products_id/3080" TargetMode="External"/><Relationship Id="rId5" Type="http://schemas.openxmlformats.org/officeDocument/2006/relationships/hyperlink" Target="http://www.amazon.com/Belkin-Outlet-Power-Strip-Length/dp/B001E29OT6/ref=lp_10967801_1_16?ie=UTF8&amp;qid=1365704900&amp;sr=1-16" TargetMode="External"/><Relationship Id="rId15" Type="http://schemas.openxmlformats.org/officeDocument/2006/relationships/hyperlink" Target="http://www.amazon.com/Fellowes-6-Outlet-15-Foot-Power-99026/dp/B00006HQR8/ref=lp_10967801_1_9?ie=UTF8&amp;qid=1365704900&amp;sr=1-9" TargetMode="External"/><Relationship Id="rId10" Type="http://schemas.openxmlformats.org/officeDocument/2006/relationships/hyperlink" Target="http://www.energyfederation.org/consumer/default.php/cPath/39_3042_4526" TargetMode="External"/><Relationship Id="rId4" Type="http://schemas.openxmlformats.org/officeDocument/2006/relationships/hyperlink" Target="http://www.energyfederation.org/consumer/default.php/cPath/39_3042_5225" TargetMode="External"/><Relationship Id="rId9" Type="http://schemas.openxmlformats.org/officeDocument/2006/relationships/hyperlink" Target="http://www.energyfederation.org/consumer/default.php/cPath/39_3042_4559/sort/1a/page/1/action/buy_now/products_id/2628" TargetMode="External"/><Relationship Id="rId14" Type="http://schemas.openxmlformats.org/officeDocument/2006/relationships/hyperlink" Target="http://www.amazon.com/Tripp-Lite-TLP808-Protector-Outlet/dp/B00006B82N/ref=lp_10967801_1_20?ie=UTF8&amp;qid=1365704900&amp;sr=1-2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C1:F27"/>
  <sheetViews>
    <sheetView tabSelected="1" topLeftCell="C1" workbookViewId="0">
      <selection activeCell="D13" sqref="D13"/>
    </sheetView>
  </sheetViews>
  <sheetFormatPr defaultRowHeight="15"/>
  <cols>
    <col min="1" max="1" width="4" style="477" customWidth="1"/>
    <col min="2" max="2" width="4.28515625" style="477" customWidth="1"/>
    <col min="3" max="3" width="28.140625" style="477" customWidth="1"/>
    <col min="4" max="4" width="74.42578125" style="477" customWidth="1"/>
    <col min="5" max="5" width="44.7109375" style="477" customWidth="1"/>
    <col min="6" max="6" width="31.5703125" style="477" customWidth="1"/>
    <col min="7" max="16384" width="9.140625" style="477"/>
  </cols>
  <sheetData>
    <row r="1" spans="3:6" ht="15.75" thickBot="1"/>
    <row r="2" spans="3:6" ht="19.5" thickBot="1">
      <c r="C2" s="478" t="s">
        <v>796</v>
      </c>
      <c r="D2" s="479" t="s">
        <v>164</v>
      </c>
      <c r="E2" s="479"/>
      <c r="F2" s="480"/>
    </row>
    <row r="3" spans="3:6">
      <c r="C3" s="481" t="s">
        <v>797</v>
      </c>
      <c r="D3" s="481" t="s">
        <v>798</v>
      </c>
      <c r="E3" s="481" t="s">
        <v>799</v>
      </c>
      <c r="F3" s="481" t="s">
        <v>800</v>
      </c>
    </row>
    <row r="4" spans="3:6" ht="30">
      <c r="C4" s="482" t="s">
        <v>801</v>
      </c>
      <c r="D4" s="483" t="s">
        <v>811</v>
      </c>
      <c r="E4" s="484"/>
      <c r="F4" s="485" t="s">
        <v>812</v>
      </c>
    </row>
    <row r="5" spans="3:6" ht="30">
      <c r="C5" s="482" t="s">
        <v>802</v>
      </c>
      <c r="D5" s="486" t="s">
        <v>813</v>
      </c>
      <c r="E5" s="484" t="s">
        <v>814</v>
      </c>
      <c r="F5" s="485"/>
    </row>
    <row r="6" spans="3:6" ht="30">
      <c r="C6" s="482" t="s">
        <v>803</v>
      </c>
      <c r="D6" s="486" t="s">
        <v>1083</v>
      </c>
      <c r="E6" s="486" t="s">
        <v>1122</v>
      </c>
      <c r="F6" s="485"/>
    </row>
    <row r="7" spans="3:6" ht="30">
      <c r="C7" s="482" t="s">
        <v>804</v>
      </c>
      <c r="D7" s="486" t="s">
        <v>889</v>
      </c>
      <c r="E7" s="486" t="s">
        <v>890</v>
      </c>
      <c r="F7" s="484" t="s">
        <v>891</v>
      </c>
    </row>
    <row r="8" spans="3:6">
      <c r="C8" s="482" t="s">
        <v>805</v>
      </c>
      <c r="D8" s="486" t="s">
        <v>409</v>
      </c>
      <c r="E8" s="487"/>
      <c r="F8" s="485"/>
    </row>
    <row r="9" spans="3:6" ht="30">
      <c r="C9" s="482" t="s">
        <v>806</v>
      </c>
      <c r="D9" s="486" t="s">
        <v>815</v>
      </c>
      <c r="E9" s="487" t="s">
        <v>1084</v>
      </c>
      <c r="F9" s="485"/>
    </row>
    <row r="10" spans="3:6">
      <c r="C10" s="482" t="s">
        <v>807</v>
      </c>
      <c r="D10" s="486" t="s">
        <v>887</v>
      </c>
      <c r="E10" s="486"/>
      <c r="F10" s="485"/>
    </row>
    <row r="11" spans="3:6">
      <c r="C11" s="482" t="s">
        <v>808</v>
      </c>
      <c r="D11" s="486">
        <v>5</v>
      </c>
      <c r="E11" s="487" t="s">
        <v>888</v>
      </c>
      <c r="F11" s="485"/>
    </row>
    <row r="12" spans="3:6">
      <c r="C12" s="482" t="s">
        <v>809</v>
      </c>
      <c r="D12" s="488" t="s">
        <v>1082</v>
      </c>
      <c r="E12" s="489"/>
      <c r="F12" s="485"/>
    </row>
    <row r="13" spans="3:6" ht="30">
      <c r="C13" s="482" t="s">
        <v>810</v>
      </c>
      <c r="D13" s="488" t="s">
        <v>1170</v>
      </c>
      <c r="E13" s="487" t="s">
        <v>1137</v>
      </c>
      <c r="F13" s="485"/>
    </row>
    <row r="21" spans="3:3">
      <c r="C21" s="490"/>
    </row>
    <row r="22" spans="3:3">
      <c r="C22" s="490"/>
    </row>
    <row r="23" spans="3:3">
      <c r="C23" s="490"/>
    </row>
    <row r="24" spans="3:3">
      <c r="C24" s="490"/>
    </row>
    <row r="25" spans="3:3">
      <c r="C25" s="490"/>
    </row>
    <row r="26" spans="3:3">
      <c r="C26" s="490"/>
    </row>
    <row r="27" spans="3:3">
      <c r="C27" s="49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B1:DB223"/>
  <sheetViews>
    <sheetView workbookViewId="0">
      <selection activeCell="F8" sqref="F8"/>
    </sheetView>
  </sheetViews>
  <sheetFormatPr defaultRowHeight="12.75"/>
  <cols>
    <col min="1" max="1" width="9.140625" style="9"/>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2: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2: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2:106">
      <c r="B3" s="10"/>
      <c r="D3" s="10"/>
      <c r="K3" s="11"/>
      <c r="L3" s="12"/>
      <c r="CP3" s="12"/>
      <c r="CQ3" s="12"/>
    </row>
    <row r="5" spans="2: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2:106">
      <c r="B6" s="14" t="s">
        <v>3</v>
      </c>
      <c r="C6" s="15"/>
      <c r="D6" s="15"/>
      <c r="E6" s="15"/>
      <c r="F6" s="15"/>
      <c r="G6" s="15"/>
      <c r="H6" s="16"/>
      <c r="I6" s="78"/>
      <c r="J6" s="583" t="s">
        <v>4</v>
      </c>
      <c r="K6" s="584"/>
      <c r="L6" s="584"/>
      <c r="M6" s="584"/>
      <c r="N6" s="584"/>
      <c r="O6" s="585"/>
      <c r="P6" s="586" t="s">
        <v>5</v>
      </c>
      <c r="Q6" s="587"/>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ht="25.5">
      <c r="B7" s="23" t="s">
        <v>6</v>
      </c>
      <c r="C7" s="23" t="s">
        <v>7</v>
      </c>
      <c r="D7" s="23" t="s">
        <v>8</v>
      </c>
      <c r="E7" s="23" t="s">
        <v>9</v>
      </c>
      <c r="F7" s="23" t="s">
        <v>10</v>
      </c>
      <c r="G7" s="79" t="s">
        <v>11</v>
      </c>
      <c r="H7" s="23" t="s">
        <v>12</v>
      </c>
      <c r="I7" s="80" t="s">
        <v>13</v>
      </c>
      <c r="J7" s="80" t="s">
        <v>14</v>
      </c>
      <c r="K7" s="80" t="s">
        <v>15</v>
      </c>
      <c r="L7" s="80" t="s">
        <v>16</v>
      </c>
      <c r="M7" s="80" t="s">
        <v>17</v>
      </c>
      <c r="N7" s="80" t="s">
        <v>18</v>
      </c>
      <c r="O7" s="80" t="s">
        <v>19</v>
      </c>
      <c r="P7" s="81" t="s">
        <v>20</v>
      </c>
      <c r="Q7" s="80"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ht="25.5">
      <c r="B8" s="82" t="s">
        <v>157</v>
      </c>
      <c r="C8" s="82" t="s">
        <v>157</v>
      </c>
      <c r="D8" s="82">
        <f>'SavingsData&amp;Analysis Tier 1'!D59</f>
        <v>30</v>
      </c>
      <c r="E8" s="41">
        <v>5</v>
      </c>
      <c r="F8" s="54">
        <f>'CostData&amp;Analysis'!H$2</f>
        <v>32.481666666666662</v>
      </c>
      <c r="G8" s="41"/>
      <c r="H8" s="83" t="s">
        <v>156</v>
      </c>
      <c r="Q8" s="84"/>
      <c r="R8" s="30"/>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2:106" ht="38.25">
      <c r="B9" s="82" t="s">
        <v>158</v>
      </c>
      <c r="C9" s="82" t="s">
        <v>158</v>
      </c>
      <c r="D9" s="82">
        <f>'SavingsData&amp;Analysis Tier 1'!D58</f>
        <v>40</v>
      </c>
      <c r="E9" s="41">
        <v>5</v>
      </c>
      <c r="F9" s="54">
        <f>'CostData&amp;Analysis'!$H$11</f>
        <v>35.010000000000005</v>
      </c>
      <c r="G9" s="41"/>
      <c r="H9" s="83" t="s">
        <v>156</v>
      </c>
      <c r="Q9" s="84"/>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2:106" ht="38.25">
      <c r="B10" s="82" t="s">
        <v>159</v>
      </c>
      <c r="C10" s="82" t="s">
        <v>159</v>
      </c>
      <c r="D10" s="82">
        <f>'SavingsData&amp;Analysis Tier 1'!D57</f>
        <v>20</v>
      </c>
      <c r="E10" s="41">
        <v>5</v>
      </c>
      <c r="F10" s="54">
        <f>'CostData&amp;Analysis'!$H$11</f>
        <v>35.010000000000005</v>
      </c>
      <c r="G10" s="41"/>
      <c r="H10" s="83" t="s">
        <v>156</v>
      </c>
      <c r="Q10" s="84"/>
      <c r="R10" s="30"/>
      <c r="S10" s="31"/>
      <c r="T10" s="32"/>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2:106" ht="38.25">
      <c r="B11" s="82" t="s">
        <v>160</v>
      </c>
      <c r="C11" s="82" t="s">
        <v>160</v>
      </c>
      <c r="D11" s="82">
        <f>'SavingsData&amp;Analysis Tier 2'!F11</f>
        <v>70</v>
      </c>
      <c r="E11" s="41">
        <v>5</v>
      </c>
      <c r="F11" s="54">
        <f>'CostData&amp;Analysis'!H$2</f>
        <v>32.481666666666662</v>
      </c>
      <c r="G11" s="41"/>
      <c r="H11" s="83" t="s">
        <v>156</v>
      </c>
      <c r="Q11" s="84"/>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2:106" ht="38.25">
      <c r="B12" s="82" t="s">
        <v>161</v>
      </c>
      <c r="C12" s="82" t="s">
        <v>161</v>
      </c>
      <c r="D12" s="82">
        <f>'SavingsData&amp;Analysis Tier 2'!F11</f>
        <v>70</v>
      </c>
      <c r="E12" s="41">
        <v>5</v>
      </c>
      <c r="F12" s="54">
        <f>'CostData&amp;Analysis'!$H$11</f>
        <v>35.010000000000005</v>
      </c>
      <c r="G12" s="41"/>
      <c r="H12" s="83" t="s">
        <v>156</v>
      </c>
      <c r="Q12" s="84"/>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2:106" ht="25.5">
      <c r="B13" s="82" t="s">
        <v>162</v>
      </c>
      <c r="C13" s="82" t="s">
        <v>162</v>
      </c>
      <c r="D13" s="82">
        <f>'SavingsData&amp;Analysis Tier 2'!F10</f>
        <v>300</v>
      </c>
      <c r="E13" s="41">
        <v>5</v>
      </c>
      <c r="F13" s="54">
        <f>'CostData&amp;Analysis'!$K$56</f>
        <v>99.99</v>
      </c>
      <c r="G13" s="41"/>
      <c r="H13" s="83" t="s">
        <v>156</v>
      </c>
      <c r="Q13" s="84"/>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2:106" ht="25.5">
      <c r="B14" s="82" t="s">
        <v>163</v>
      </c>
      <c r="C14" s="82" t="s">
        <v>163</v>
      </c>
      <c r="D14" s="82">
        <f>'SavingsData&amp;Analysis Tier 2'!F10</f>
        <v>300</v>
      </c>
      <c r="E14" s="41">
        <v>5</v>
      </c>
      <c r="F14" s="54">
        <f>'CostData&amp;Analysis'!$H$13</f>
        <v>60</v>
      </c>
      <c r="G14" s="41"/>
      <c r="H14" s="83" t="s">
        <v>156</v>
      </c>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2: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2: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sheetPr codeName="Sheet7"/>
  <dimension ref="A1:AN127"/>
  <sheetViews>
    <sheetView topLeftCell="A64" zoomScaleNormal="100" workbookViewId="0">
      <selection activeCell="F76" sqref="F76"/>
    </sheetView>
  </sheetViews>
  <sheetFormatPr defaultRowHeight="12.75"/>
  <cols>
    <col min="1" max="1" width="9.140625" style="85"/>
    <col min="2" max="2" width="25.140625" style="85" customWidth="1"/>
    <col min="3" max="3" width="15.28515625" style="85" customWidth="1"/>
    <col min="4" max="4" width="12.42578125" style="85" customWidth="1"/>
    <col min="5" max="5" width="11.5703125" style="85" customWidth="1"/>
    <col min="6" max="6" width="15.28515625" style="85" customWidth="1"/>
    <col min="7" max="7" width="14.28515625" style="85" customWidth="1"/>
    <col min="8" max="8" width="9.140625" style="85"/>
    <col min="9" max="9" width="14.85546875" style="85" bestFit="1" customWidth="1"/>
    <col min="10" max="10" width="10.5703125" style="85" customWidth="1"/>
    <col min="11" max="11" width="17.28515625" style="85" customWidth="1"/>
    <col min="12" max="14" width="9.140625" style="85"/>
    <col min="15" max="15" width="17" style="85" customWidth="1"/>
    <col min="16" max="16" width="16.140625" style="85" customWidth="1"/>
    <col min="17" max="17" width="16" style="85" customWidth="1"/>
    <col min="18" max="18" width="11.5703125" style="85" customWidth="1"/>
    <col min="19" max="19" width="9.7109375" style="85" customWidth="1"/>
    <col min="20" max="25" width="9.140625" style="85"/>
    <col min="26" max="26" width="19.140625" style="85" bestFit="1" customWidth="1"/>
    <col min="27" max="27" width="13" style="85" hidden="1" customWidth="1"/>
    <col min="28" max="28" width="17.42578125" style="85" hidden="1" customWidth="1"/>
    <col min="29" max="31" width="12.5703125" style="85" bestFit="1" customWidth="1"/>
    <col min="32" max="32" width="14.28515625" style="85" bestFit="1" customWidth="1"/>
    <col min="33" max="35" width="12.5703125" style="85" bestFit="1" customWidth="1"/>
    <col min="36" max="36" width="14.42578125" style="85" bestFit="1" customWidth="1"/>
    <col min="37" max="40" width="12.5703125" style="85" bestFit="1" customWidth="1"/>
    <col min="41" max="16384" width="9.140625" style="85"/>
  </cols>
  <sheetData>
    <row r="1" spans="1:9">
      <c r="A1" s="85" t="s">
        <v>173</v>
      </c>
    </row>
    <row r="2" spans="1:9">
      <c r="B2" s="85" t="s">
        <v>174</v>
      </c>
      <c r="H2" s="85" t="s">
        <v>175</v>
      </c>
    </row>
    <row r="3" spans="1:9">
      <c r="I3" s="85" t="s">
        <v>176</v>
      </c>
    </row>
    <row r="14" spans="1:9">
      <c r="B14" s="85" t="s">
        <v>177</v>
      </c>
      <c r="H14" s="85" t="s">
        <v>178</v>
      </c>
    </row>
    <row r="24" spans="2:8">
      <c r="B24" s="85" t="s">
        <v>179</v>
      </c>
      <c r="H24" s="85" t="s">
        <v>180</v>
      </c>
    </row>
    <row r="34" spans="2:5">
      <c r="B34" s="85" t="s">
        <v>181</v>
      </c>
    </row>
    <row r="35" spans="2:5">
      <c r="C35" s="85" t="s">
        <v>182</v>
      </c>
    </row>
    <row r="36" spans="2:5">
      <c r="C36" s="85" t="s">
        <v>183</v>
      </c>
    </row>
    <row r="37" spans="2:5">
      <c r="C37" s="85" t="s">
        <v>169</v>
      </c>
    </row>
    <row r="38" spans="2:5">
      <c r="D38" s="85" t="s">
        <v>184</v>
      </c>
    </row>
    <row r="39" spans="2:5">
      <c r="D39" s="85" t="s">
        <v>185</v>
      </c>
    </row>
    <row r="40" spans="2:5">
      <c r="D40" s="85" t="s">
        <v>186</v>
      </c>
    </row>
    <row r="41" spans="2:5">
      <c r="D41" s="85" t="s">
        <v>187</v>
      </c>
    </row>
    <row r="42" spans="2:5">
      <c r="D42" s="85" t="s">
        <v>188</v>
      </c>
    </row>
    <row r="44" spans="2:5">
      <c r="B44" s="85" t="s">
        <v>167</v>
      </c>
    </row>
    <row r="45" spans="2:5">
      <c r="C45" s="85" t="s">
        <v>168</v>
      </c>
    </row>
    <row r="46" spans="2:5">
      <c r="C46" s="85" t="s">
        <v>169</v>
      </c>
    </row>
    <row r="47" spans="2:5">
      <c r="D47" s="85" t="s">
        <v>170</v>
      </c>
    </row>
    <row r="48" spans="2:5">
      <c r="E48" s="85" t="s">
        <v>171</v>
      </c>
    </row>
    <row r="49" spans="1:17">
      <c r="D49" s="85" t="s">
        <v>172</v>
      </c>
    </row>
    <row r="52" spans="1:17">
      <c r="A52" s="85" t="s">
        <v>189</v>
      </c>
    </row>
    <row r="53" spans="1:17">
      <c r="B53" s="85" t="s">
        <v>190</v>
      </c>
      <c r="C53" s="87">
        <f>'SavingsData&amp;Analysis Tier 2'!D8</f>
        <v>0.86</v>
      </c>
    </row>
    <row r="54" spans="1:17">
      <c r="B54" s="85" t="s">
        <v>165</v>
      </c>
      <c r="C54" s="86">
        <f>P66/(P66+100%)</f>
        <v>0.39024390243902435</v>
      </c>
    </row>
    <row r="55" spans="1:17">
      <c r="B55" s="85" t="s">
        <v>166</v>
      </c>
      <c r="C55" s="86">
        <f>1-C54</f>
        <v>0.60975609756097571</v>
      </c>
    </row>
    <row r="56" spans="1:17" ht="26.25" thickBot="1">
      <c r="D56" s="88" t="s">
        <v>191</v>
      </c>
      <c r="E56" s="89"/>
    </row>
    <row r="57" spans="1:17">
      <c r="B57" s="90" t="s">
        <v>192</v>
      </c>
      <c r="C57" s="91">
        <f>P123*C53</f>
        <v>22.352191027610115</v>
      </c>
      <c r="D57" s="92">
        <v>20</v>
      </c>
    </row>
    <row r="58" spans="1:17">
      <c r="B58" s="93" t="s">
        <v>193</v>
      </c>
      <c r="C58" s="94">
        <f>P115*C53</f>
        <v>43.06325722227529</v>
      </c>
      <c r="D58" s="85">
        <v>40</v>
      </c>
    </row>
    <row r="59" spans="1:17" ht="13.5" thickBot="1">
      <c r="B59" s="95" t="s">
        <v>194</v>
      </c>
      <c r="C59" s="96">
        <f>C54*C57+C55*C58</f>
        <v>34.980889926796202</v>
      </c>
      <c r="D59" s="85">
        <v>30</v>
      </c>
    </row>
    <row r="63" spans="1:17">
      <c r="A63" s="85" t="s">
        <v>195</v>
      </c>
    </row>
    <row r="64" spans="1:17" ht="25.5">
      <c r="B64" s="97"/>
      <c r="C64" s="98"/>
      <c r="D64" s="99" t="s">
        <v>196</v>
      </c>
      <c r="E64" s="100" t="s">
        <v>197</v>
      </c>
      <c r="F64" s="99" t="s">
        <v>198</v>
      </c>
      <c r="G64" s="99" t="s">
        <v>199</v>
      </c>
      <c r="H64" s="99" t="s">
        <v>200</v>
      </c>
      <c r="I64" s="101" t="s">
        <v>201</v>
      </c>
      <c r="J64" s="97"/>
      <c r="K64" s="98"/>
      <c r="L64" s="99" t="s">
        <v>196</v>
      </c>
      <c r="M64" s="100" t="s">
        <v>197</v>
      </c>
      <c r="N64" s="99" t="s">
        <v>198</v>
      </c>
      <c r="O64" s="99" t="s">
        <v>199</v>
      </c>
      <c r="P64" s="99" t="s">
        <v>200</v>
      </c>
      <c r="Q64" s="101" t="s">
        <v>201</v>
      </c>
    </row>
    <row r="65" spans="2:17">
      <c r="B65" s="102" t="s">
        <v>202</v>
      </c>
      <c r="C65" s="103"/>
      <c r="D65" s="103"/>
      <c r="G65" s="103"/>
      <c r="H65" s="103"/>
      <c r="I65" s="104"/>
      <c r="J65" s="102" t="s">
        <v>203</v>
      </c>
      <c r="K65" s="103"/>
      <c r="L65" s="103"/>
      <c r="O65" s="103"/>
      <c r="P65" s="103"/>
      <c r="Q65" s="104"/>
    </row>
    <row r="66" spans="2:17">
      <c r="B66" s="102"/>
      <c r="C66" s="103" t="s">
        <v>204</v>
      </c>
      <c r="D66" s="105" t="s">
        <v>205</v>
      </c>
      <c r="G66" s="105" t="s">
        <v>205</v>
      </c>
      <c r="H66" s="105" t="s">
        <v>205</v>
      </c>
      <c r="I66" s="106"/>
      <c r="J66" s="102"/>
      <c r="K66" s="103" t="s">
        <v>204</v>
      </c>
      <c r="L66" s="103"/>
      <c r="O66" s="105" t="s">
        <v>205</v>
      </c>
      <c r="P66" s="107">
        <f>'Usage Data'!$AA$120</f>
        <v>0.64</v>
      </c>
      <c r="Q66" s="108">
        <f>'Usage Data'!K136</f>
        <v>0.90500000000000003</v>
      </c>
    </row>
    <row r="67" spans="2:17">
      <c r="B67" s="102"/>
      <c r="C67" s="103" t="s">
        <v>206</v>
      </c>
      <c r="D67" s="109">
        <f>'Usage Data'!AE199</f>
        <v>4.1718181818181828</v>
      </c>
      <c r="F67" s="110">
        <f>'Usage Data'!O347</f>
        <v>4.3244859813084107</v>
      </c>
      <c r="G67" s="109">
        <f>'Usage Data'!N19</f>
        <v>5.3</v>
      </c>
      <c r="H67" s="111">
        <f>'Usage Data'!$Y$119</f>
        <v>5.205479452054794</v>
      </c>
      <c r="I67" s="106">
        <f>'Usage Data'!K134</f>
        <v>5.39</v>
      </c>
      <c r="J67" s="102"/>
      <c r="K67" s="103" t="s">
        <v>206</v>
      </c>
      <c r="L67" s="112">
        <f>'Usage Data'!$AE$200</f>
        <v>10.08</v>
      </c>
      <c r="M67" s="110"/>
      <c r="N67" s="110">
        <f>'Usage Data'!O348</f>
        <v>8.3999999999999986</v>
      </c>
      <c r="O67" s="103">
        <f>'Usage Data'!V65</f>
        <v>3.2</v>
      </c>
      <c r="P67" s="113">
        <f>'Usage Data'!$Y$120</f>
        <v>8.1315068493150697</v>
      </c>
      <c r="Q67" s="114" t="s">
        <v>205</v>
      </c>
    </row>
    <row r="68" spans="2:17">
      <c r="B68" s="102"/>
      <c r="C68" s="103" t="s">
        <v>207</v>
      </c>
      <c r="D68" s="109">
        <f>'Usage Data'!AF199</f>
        <v>0</v>
      </c>
      <c r="F68" s="110"/>
      <c r="G68" s="109">
        <f>'Usage Data'!N20</f>
        <v>0</v>
      </c>
      <c r="H68" s="105" t="s">
        <v>205</v>
      </c>
      <c r="I68" s="114" t="s">
        <v>205</v>
      </c>
      <c r="J68" s="102"/>
      <c r="K68" s="103" t="s">
        <v>207</v>
      </c>
      <c r="L68" s="112">
        <f>'Usage Data'!AF200</f>
        <v>1.6800000000000002</v>
      </c>
      <c r="M68" s="110"/>
      <c r="N68" s="110">
        <f>'Usage Data'!P348</f>
        <v>1.44</v>
      </c>
      <c r="O68" s="103">
        <f>'Usage Data'!$W$65</f>
        <v>4.0999999999999996</v>
      </c>
      <c r="P68" s="113">
        <f>'Usage Data'!$Z$120</f>
        <v>0</v>
      </c>
      <c r="Q68" s="114" t="s">
        <v>205</v>
      </c>
    </row>
    <row r="69" spans="2:17">
      <c r="B69" s="102"/>
      <c r="C69" s="103" t="s">
        <v>208</v>
      </c>
      <c r="D69" s="109">
        <f>'Usage Data'!AB199</f>
        <v>73.64015151515153</v>
      </c>
      <c r="F69" s="110"/>
      <c r="G69" s="109">
        <f>'Usage Data'!N21</f>
        <v>115.05149999999999</v>
      </c>
      <c r="H69" s="105" t="s">
        <v>205</v>
      </c>
      <c r="I69" s="114" t="s">
        <v>205</v>
      </c>
      <c r="J69" s="102"/>
      <c r="K69" s="103" t="s">
        <v>208</v>
      </c>
      <c r="L69" s="112">
        <f>'Usage Data'!AB200</f>
        <v>70</v>
      </c>
      <c r="M69" s="110"/>
      <c r="N69" s="110"/>
      <c r="O69" s="112">
        <f>'Usage Data'!S65</f>
        <v>71.5</v>
      </c>
      <c r="P69" s="113">
        <f>'Usage Data'!V120</f>
        <v>25</v>
      </c>
      <c r="Q69" s="114" t="s">
        <v>205</v>
      </c>
    </row>
    <row r="70" spans="2:17">
      <c r="B70" s="102"/>
      <c r="C70" s="103" t="s">
        <v>209</v>
      </c>
      <c r="D70" s="109">
        <f>'Usage Data'!AC199</f>
        <v>0</v>
      </c>
      <c r="F70" s="110"/>
      <c r="G70" s="109">
        <f>'Usage Data'!N22</f>
        <v>3.7244000000000002</v>
      </c>
      <c r="H70" s="105" t="s">
        <v>205</v>
      </c>
      <c r="I70" s="114" t="s">
        <v>205</v>
      </c>
      <c r="J70" s="102"/>
      <c r="K70" s="103" t="s">
        <v>209</v>
      </c>
      <c r="L70" s="112">
        <f>'Usage Data'!AC200</f>
        <v>41.571428571428569</v>
      </c>
      <c r="M70" s="110"/>
      <c r="N70" s="110"/>
      <c r="O70" s="112">
        <f>'Usage Data'!$T$65</f>
        <v>11.6</v>
      </c>
      <c r="P70" s="113">
        <f>'Usage Data'!W120</f>
        <v>2</v>
      </c>
      <c r="Q70" s="114" t="s">
        <v>205</v>
      </c>
    </row>
    <row r="71" spans="2:17">
      <c r="B71" s="102"/>
      <c r="C71" s="103" t="s">
        <v>210</v>
      </c>
      <c r="D71" s="109">
        <f>'Usage Data'!AD199</f>
        <v>3.1890151515151519</v>
      </c>
      <c r="F71" s="110"/>
      <c r="G71" s="109">
        <f>'Usage Data'!N23</f>
        <v>1.7281</v>
      </c>
      <c r="H71" s="105" t="s">
        <v>205</v>
      </c>
      <c r="I71" s="114" t="s">
        <v>205</v>
      </c>
      <c r="J71" s="102"/>
      <c r="K71" s="103" t="s">
        <v>210</v>
      </c>
      <c r="L71" s="112">
        <f>'Usage Data'!AD200</f>
        <v>3.5</v>
      </c>
      <c r="M71" s="110"/>
      <c r="N71" s="110"/>
      <c r="O71" s="103">
        <f>'Usage Data'!U65</f>
        <v>3.3</v>
      </c>
      <c r="P71" s="113">
        <f>'Usage Data'!X120</f>
        <v>2</v>
      </c>
      <c r="Q71" s="114" t="s">
        <v>205</v>
      </c>
    </row>
    <row r="72" spans="2:17">
      <c r="B72" s="102" t="s">
        <v>211</v>
      </c>
      <c r="C72" s="103"/>
      <c r="D72" s="109"/>
      <c r="F72" s="110"/>
      <c r="G72" s="109"/>
      <c r="H72" s="111"/>
      <c r="I72" s="106"/>
      <c r="J72" s="102" t="s">
        <v>212</v>
      </c>
      <c r="K72" s="103"/>
      <c r="L72" s="112"/>
      <c r="M72" s="110"/>
      <c r="N72" s="110"/>
      <c r="O72" s="103"/>
      <c r="P72" s="113"/>
      <c r="Q72" s="104"/>
    </row>
    <row r="73" spans="2:17">
      <c r="B73" s="102"/>
      <c r="C73" s="103" t="s">
        <v>204</v>
      </c>
      <c r="D73" s="115" t="s">
        <v>205</v>
      </c>
      <c r="F73" s="110"/>
      <c r="G73" s="115" t="s">
        <v>205</v>
      </c>
      <c r="H73" s="116">
        <f>$H$80</f>
        <v>0.74</v>
      </c>
      <c r="I73" s="114" t="s">
        <v>205</v>
      </c>
      <c r="J73" s="102"/>
      <c r="K73" s="103" t="s">
        <v>204</v>
      </c>
      <c r="L73" s="112"/>
      <c r="M73" s="110"/>
      <c r="N73" s="110"/>
      <c r="O73" s="105" t="s">
        <v>205</v>
      </c>
      <c r="P73" s="116">
        <f>'Usage Data'!$AA$115</f>
        <v>0.68</v>
      </c>
      <c r="Q73" s="114" t="s">
        <v>205</v>
      </c>
    </row>
    <row r="74" spans="2:17">
      <c r="B74" s="102"/>
      <c r="C74" s="103" t="s">
        <v>206</v>
      </c>
      <c r="D74" s="117">
        <f>'Usage Data'!AE191</f>
        <v>2.4067289719626164</v>
      </c>
      <c r="F74" s="110">
        <f>'Usage Data'!O339</f>
        <v>3.3600000000000003</v>
      </c>
      <c r="G74" s="109">
        <f>'Usage Data'!$V$29</f>
        <v>0.51428571428571435</v>
      </c>
      <c r="H74" s="109">
        <f>'Usage Data'!$Y$111</f>
        <v>2.3013698630136985</v>
      </c>
      <c r="I74" s="114" t="s">
        <v>205</v>
      </c>
      <c r="J74" s="102"/>
      <c r="K74" s="103" t="s">
        <v>206</v>
      </c>
      <c r="L74" s="118">
        <f>'Usage Data'!$AE$195</f>
        <v>0.24</v>
      </c>
      <c r="M74" s="110"/>
      <c r="N74" s="110">
        <f>'Usage Data'!O343</f>
        <v>0.24</v>
      </c>
      <c r="O74" s="112">
        <f>'Usage Data'!V63</f>
        <v>0.1</v>
      </c>
      <c r="P74" s="113">
        <f>'Usage Data'!Y115</f>
        <v>0.37260273972602742</v>
      </c>
      <c r="Q74" s="114" t="s">
        <v>205</v>
      </c>
    </row>
    <row r="75" spans="2:17">
      <c r="B75" s="102"/>
      <c r="C75" s="103" t="s">
        <v>207</v>
      </c>
      <c r="D75" s="117">
        <f>'Usage Data'!AF191</f>
        <v>5.04</v>
      </c>
      <c r="F75" s="110">
        <f>'Usage Data'!P339</f>
        <v>2.64</v>
      </c>
      <c r="G75" s="109">
        <f>'Usage Data'!W29</f>
        <v>2.2428571428571429</v>
      </c>
      <c r="H75" s="109">
        <f>'Usage Data'!$Z$111</f>
        <v>2</v>
      </c>
      <c r="I75" s="114" t="s">
        <v>205</v>
      </c>
      <c r="J75" s="102"/>
      <c r="K75" s="103" t="s">
        <v>207</v>
      </c>
      <c r="L75" s="118">
        <f>'Usage Data'!$AF$195</f>
        <v>15.610588235294117</v>
      </c>
      <c r="M75" s="110"/>
      <c r="N75" s="110">
        <f>'Usage Data'!P343</f>
        <v>8.4705882352941173E-2</v>
      </c>
      <c r="O75" s="112">
        <f>'Usage Data'!$W$63</f>
        <v>4.4000000000000004</v>
      </c>
      <c r="P75" s="113">
        <f>'Usage Data'!$Z$115</f>
        <v>0.44657534246575348</v>
      </c>
      <c r="Q75" s="114" t="s">
        <v>205</v>
      </c>
    </row>
    <row r="76" spans="2:17">
      <c r="B76" s="102"/>
      <c r="C76" s="103" t="s">
        <v>208</v>
      </c>
      <c r="D76" s="117">
        <f>'Usage Data'!AB191</f>
        <v>13</v>
      </c>
      <c r="F76" s="110">
        <f>'Usage Data'!L339</f>
        <v>13.2</v>
      </c>
      <c r="G76" s="109">
        <f>'Usage Data'!$S$29</f>
        <v>13.285714285714288</v>
      </c>
      <c r="H76" s="109">
        <f>'Usage Data'!$V$111</f>
        <v>16</v>
      </c>
      <c r="I76" s="114" t="s">
        <v>205</v>
      </c>
      <c r="J76" s="102"/>
      <c r="K76" s="103" t="s">
        <v>208</v>
      </c>
      <c r="L76" s="112">
        <f>'Usage Data'!AB195</f>
        <v>22.45882352941177</v>
      </c>
      <c r="M76" s="110">
        <f>'Usage Data'!H274</f>
        <v>22.589600000000001</v>
      </c>
      <c r="N76" s="110">
        <f>'Usage Data'!L343</f>
        <v>14.372727272727275</v>
      </c>
      <c r="O76" s="112">
        <f>'Usage Data'!S63</f>
        <v>12.5</v>
      </c>
      <c r="P76" s="113">
        <f>'Usage Data'!V115</f>
        <v>10.5</v>
      </c>
      <c r="Q76" s="114" t="s">
        <v>205</v>
      </c>
    </row>
    <row r="77" spans="2:17">
      <c r="B77" s="102"/>
      <c r="C77" s="103" t="s">
        <v>209</v>
      </c>
      <c r="D77" s="117">
        <f>'Usage Data'!AC191</f>
        <v>6.8046728971962622</v>
      </c>
      <c r="E77" s="110">
        <f>'Usage Data'!C330</f>
        <v>7.77</v>
      </c>
      <c r="F77" s="110">
        <f>'Usage Data'!M339</f>
        <v>7.4</v>
      </c>
      <c r="G77" s="109">
        <f>'Usage Data'!T29</f>
        <v>6.2857142857142856</v>
      </c>
      <c r="H77" s="109">
        <f>'Usage Data'!$W$111</f>
        <v>12</v>
      </c>
      <c r="I77" s="114" t="s">
        <v>205</v>
      </c>
      <c r="J77" s="102"/>
      <c r="K77" s="103" t="s">
        <v>209</v>
      </c>
      <c r="L77" s="112">
        <f>'Usage Data'!AC195</f>
        <v>4.2543639861007705</v>
      </c>
      <c r="M77" s="110"/>
      <c r="N77" s="110">
        <f>'Usage Data'!M343</f>
        <v>4.3636363636363633</v>
      </c>
      <c r="O77" s="112">
        <f>'Usage Data'!T63</f>
        <v>4.3</v>
      </c>
      <c r="P77" s="113">
        <f>'Usage Data'!$W$115</f>
        <v>4.7</v>
      </c>
      <c r="Q77" s="114" t="s">
        <v>205</v>
      </c>
    </row>
    <row r="78" spans="2:17">
      <c r="B78" s="102"/>
      <c r="C78" s="103" t="s">
        <v>210</v>
      </c>
      <c r="D78" s="117">
        <f>'Usage Data'!AD191</f>
        <v>2.4420560747663549</v>
      </c>
      <c r="E78" s="110">
        <f>'Usage Data'!C331</f>
        <v>4.6807100000000004</v>
      </c>
      <c r="F78" s="110">
        <f>'Usage Data'!N339</f>
        <v>2.4</v>
      </c>
      <c r="G78" s="109">
        <f>'Usage Data'!$U$29</f>
        <v>3.1428571428571428</v>
      </c>
      <c r="H78" s="109">
        <f>'Usage Data'!$X$111</f>
        <v>4.5</v>
      </c>
      <c r="I78" s="114" t="s">
        <v>205</v>
      </c>
      <c r="J78" s="102"/>
      <c r="K78" s="103" t="s">
        <v>210</v>
      </c>
      <c r="L78" s="112">
        <f>'Usage Data'!AD195</f>
        <v>2.2852941176470591</v>
      </c>
      <c r="M78" s="110">
        <f>'Usage Data'!H273</f>
        <v>1.3048</v>
      </c>
      <c r="N78" s="110">
        <f>'Usage Data'!N343</f>
        <v>1.6272727272727272</v>
      </c>
      <c r="O78" s="119" t="str">
        <f>'Usage Data'!U63</f>
        <v>NA</v>
      </c>
      <c r="P78" s="113">
        <f>'Usage Data'!X115</f>
        <v>2.8</v>
      </c>
      <c r="Q78" s="114" t="s">
        <v>205</v>
      </c>
    </row>
    <row r="79" spans="2:17">
      <c r="B79" s="102" t="s">
        <v>213</v>
      </c>
      <c r="C79" s="103"/>
      <c r="D79" s="117"/>
      <c r="E79" s="110"/>
      <c r="F79" s="110"/>
      <c r="G79" s="109"/>
      <c r="H79" s="111"/>
      <c r="I79" s="106"/>
      <c r="J79" s="102" t="s">
        <v>214</v>
      </c>
      <c r="K79" s="103"/>
      <c r="L79" s="112"/>
      <c r="M79" s="110"/>
      <c r="N79" s="110"/>
      <c r="O79" s="103"/>
      <c r="P79" s="103"/>
      <c r="Q79" s="104"/>
    </row>
    <row r="80" spans="2:17">
      <c r="B80" s="102"/>
      <c r="C80" s="103" t="s">
        <v>204</v>
      </c>
      <c r="D80" s="120" t="s">
        <v>205</v>
      </c>
      <c r="E80" s="110"/>
      <c r="F80" s="110"/>
      <c r="G80" s="115" t="s">
        <v>205</v>
      </c>
      <c r="H80" s="116">
        <f>'Usage Data'!$AA$112</f>
        <v>0.74</v>
      </c>
      <c r="I80" s="114" t="s">
        <v>205</v>
      </c>
      <c r="J80" s="102"/>
      <c r="K80" s="103" t="s">
        <v>204</v>
      </c>
      <c r="L80" s="112"/>
      <c r="M80" s="110"/>
      <c r="N80" s="110"/>
      <c r="O80" s="105" t="s">
        <v>205</v>
      </c>
      <c r="P80" s="107">
        <f>'Usage Data'!$AA$114</f>
        <v>0.64</v>
      </c>
      <c r="Q80" s="114" t="s">
        <v>205</v>
      </c>
    </row>
    <row r="81" spans="1:17">
      <c r="B81" s="102"/>
      <c r="C81" s="103" t="s">
        <v>206</v>
      </c>
      <c r="D81" s="117">
        <f>'Usage Data'!AE192</f>
        <v>0.48</v>
      </c>
      <c r="E81" s="110"/>
      <c r="F81" s="110">
        <f>'Usage Data'!O340</f>
        <v>2.1</v>
      </c>
      <c r="G81" s="109">
        <f>'Usage Data'!V30</f>
        <v>0.73333333333333328</v>
      </c>
      <c r="H81" s="109">
        <f>'Usage Data'!$Y$112</f>
        <v>0.86301369863013688</v>
      </c>
      <c r="I81" s="114" t="s">
        <v>205</v>
      </c>
      <c r="J81" s="102"/>
      <c r="K81" s="103" t="s">
        <v>206</v>
      </c>
      <c r="L81" s="112">
        <f>'Usage Data'!$AE$194</f>
        <v>4.6632258064516128</v>
      </c>
      <c r="M81" s="110"/>
      <c r="N81" s="110">
        <f>'Usage Data'!O342</f>
        <v>4.8064864864864862</v>
      </c>
      <c r="O81" s="112">
        <f>'Usage Data'!V62</f>
        <v>5.0999999999999996</v>
      </c>
      <c r="P81" s="112">
        <f>'Usage Data'!$Y$114</f>
        <v>5.0986301369863014</v>
      </c>
      <c r="Q81" s="114" t="s">
        <v>205</v>
      </c>
    </row>
    <row r="82" spans="1:17">
      <c r="B82" s="102"/>
      <c r="C82" s="103" t="s">
        <v>207</v>
      </c>
      <c r="D82" s="117">
        <f>'Usage Data'!AF192</f>
        <v>5.04</v>
      </c>
      <c r="E82" s="110"/>
      <c r="F82" s="110">
        <f>'Usage Data'!P340</f>
        <v>0.53999999999999992</v>
      </c>
      <c r="G82" s="109">
        <f>'Usage Data'!W30</f>
        <v>2.5</v>
      </c>
      <c r="H82" s="109">
        <f>'Usage Data'!$Z$112</f>
        <v>2.4657534246575343</v>
      </c>
      <c r="I82" s="114" t="s">
        <v>205</v>
      </c>
      <c r="J82" s="102"/>
      <c r="K82" s="103" t="s">
        <v>207</v>
      </c>
      <c r="L82" s="112">
        <f>'Usage Data'!AF194</f>
        <v>4.6967741935483875</v>
      </c>
      <c r="M82" s="110"/>
      <c r="N82" s="110">
        <f>'Usage Data'!P342</f>
        <v>0.68108108108108112</v>
      </c>
      <c r="O82" s="112">
        <f>'Usage Data'!$W$62</f>
        <v>2.4</v>
      </c>
      <c r="P82" s="112">
        <f>'Usage Data'!$Z$114</f>
        <v>2.3808219178082193</v>
      </c>
      <c r="Q82" s="114" t="s">
        <v>205</v>
      </c>
    </row>
    <row r="83" spans="1:17">
      <c r="B83" s="102"/>
      <c r="C83" s="103" t="s">
        <v>208</v>
      </c>
      <c r="D83" s="117">
        <f>'Usage Data'!AB192</f>
        <v>10</v>
      </c>
      <c r="E83" s="110">
        <f>'Usage Data'!C310</f>
        <v>9.91</v>
      </c>
      <c r="F83" s="110">
        <f>'Usage Data'!L340</f>
        <v>10.933333333333332</v>
      </c>
      <c r="G83" s="109">
        <f>'Usage Data'!S30</f>
        <v>13.066666666666668</v>
      </c>
      <c r="H83" s="109">
        <f>'Usage Data'!$V$112</f>
        <v>14</v>
      </c>
      <c r="I83" s="114" t="s">
        <v>205</v>
      </c>
      <c r="J83" s="102"/>
      <c r="K83" s="103" t="s">
        <v>208</v>
      </c>
      <c r="L83" s="112">
        <f>'Usage Data'!AB194</f>
        <v>49.516129032258064</v>
      </c>
      <c r="M83" s="110">
        <f>'Usage Data'!H250</f>
        <v>48.975268817204295</v>
      </c>
      <c r="N83" s="110">
        <f>'Usage Data'!L342</f>
        <v>46.371052631578948</v>
      </c>
      <c r="O83" s="112">
        <f>'Usage Data'!S62</f>
        <v>37.424999999999997</v>
      </c>
      <c r="P83" s="112">
        <f>'Usage Data'!V114</f>
        <v>42</v>
      </c>
      <c r="Q83" s="114" t="s">
        <v>205</v>
      </c>
    </row>
    <row r="84" spans="1:17">
      <c r="B84" s="102"/>
      <c r="C84" s="103" t="s">
        <v>209</v>
      </c>
      <c r="D84" s="117">
        <f>'Usage Data'!AC192</f>
        <v>6</v>
      </c>
      <c r="E84" s="110">
        <f>'Usage Data'!C309</f>
        <v>7.54</v>
      </c>
      <c r="F84" s="110">
        <f>'Usage Data'!M340</f>
        <v>5.1000000000000005</v>
      </c>
      <c r="G84" s="109">
        <f>'Usage Data'!$T$30</f>
        <v>5.8666666666666671</v>
      </c>
      <c r="H84" s="109">
        <f>'Usage Data'!$W$112</f>
        <v>10.7</v>
      </c>
      <c r="I84" s="114" t="s">
        <v>205</v>
      </c>
      <c r="J84" s="102"/>
      <c r="K84" s="103" t="s">
        <v>209</v>
      </c>
      <c r="L84" s="112">
        <f>'Usage Data'!AC194</f>
        <v>5.2068817204301059</v>
      </c>
      <c r="M84" s="110">
        <f>'Usage Data'!H251</f>
        <v>7.5120430107526879</v>
      </c>
      <c r="N84" s="110">
        <f>'Usage Data'!M342</f>
        <v>2.0578947368421048</v>
      </c>
      <c r="O84" s="112">
        <f>'Usage Data'!T62</f>
        <v>3.3250000000000002</v>
      </c>
      <c r="P84" s="112">
        <f>'Usage Data'!$W$114</f>
        <v>0</v>
      </c>
      <c r="Q84" s="114" t="s">
        <v>205</v>
      </c>
    </row>
    <row r="85" spans="1:17">
      <c r="A85" s="103"/>
      <c r="B85" s="102"/>
      <c r="C85" s="103" t="s">
        <v>210</v>
      </c>
      <c r="D85" s="117">
        <f>'Usage Data'!AD192</f>
        <v>1.2</v>
      </c>
      <c r="E85" s="110">
        <f>'Usage Data'!C311</f>
        <v>1.55</v>
      </c>
      <c r="F85" s="110">
        <f>'Usage Data'!N340</f>
        <v>1.4333333333333333</v>
      </c>
      <c r="G85" s="109">
        <f>'Usage Data'!U30</f>
        <v>2.08</v>
      </c>
      <c r="H85" s="109">
        <f>'Usage Data'!$X$112</f>
        <v>2.9</v>
      </c>
      <c r="I85" s="114" t="s">
        <v>205</v>
      </c>
      <c r="J85" s="102"/>
      <c r="K85" s="103" t="s">
        <v>210</v>
      </c>
      <c r="L85" s="112">
        <f>'Usage Data'!AD194</f>
        <v>1.156989247311828</v>
      </c>
      <c r="M85" s="110">
        <f>'Usage Data'!H249</f>
        <v>0.9419354838709677</v>
      </c>
      <c r="N85" s="110">
        <f>'Usage Data'!N342</f>
        <v>1.4131578947368422</v>
      </c>
      <c r="O85" s="112">
        <f>'Usage Data'!U62</f>
        <v>1.2</v>
      </c>
      <c r="P85" s="112">
        <f>'Usage Data'!X114</f>
        <v>1</v>
      </c>
      <c r="Q85" s="114" t="s">
        <v>205</v>
      </c>
    </row>
    <row r="86" spans="1:17">
      <c r="A86" s="103"/>
      <c r="B86" s="102" t="s">
        <v>215</v>
      </c>
      <c r="C86" s="103"/>
      <c r="D86" s="117"/>
      <c r="E86" s="110"/>
      <c r="F86" s="110"/>
      <c r="G86" s="109"/>
      <c r="H86" s="109"/>
      <c r="I86" s="114"/>
      <c r="J86" s="102" t="s">
        <v>215</v>
      </c>
      <c r="K86" s="103"/>
      <c r="L86" s="112"/>
      <c r="M86" s="110"/>
      <c r="N86" s="110"/>
      <c r="O86" s="112"/>
      <c r="P86" s="112"/>
      <c r="Q86" s="114"/>
    </row>
    <row r="87" spans="1:17">
      <c r="A87" s="103"/>
      <c r="B87" s="102"/>
      <c r="C87" s="103" t="s">
        <v>204</v>
      </c>
      <c r="D87" s="117"/>
      <c r="E87" s="110"/>
      <c r="F87" s="110"/>
      <c r="G87" s="109"/>
      <c r="H87" s="109"/>
      <c r="I87" s="114"/>
      <c r="J87" s="102"/>
      <c r="K87" s="103" t="s">
        <v>204</v>
      </c>
      <c r="L87" s="112"/>
      <c r="M87" s="110"/>
      <c r="N87" s="110"/>
      <c r="O87" s="112"/>
      <c r="P87" s="112"/>
      <c r="Q87" s="114"/>
    </row>
    <row r="88" spans="1:17">
      <c r="A88" s="103"/>
      <c r="B88" s="102"/>
      <c r="C88" s="103" t="s">
        <v>206</v>
      </c>
      <c r="D88" s="117">
        <f>'Usage Data'!$AE$197</f>
        <v>6</v>
      </c>
      <c r="E88" s="110"/>
      <c r="F88" s="110">
        <f>'Usage Data'!O345</f>
        <v>15.120000000000001</v>
      </c>
      <c r="G88" s="109"/>
      <c r="H88" s="109"/>
      <c r="I88" s="114"/>
      <c r="J88" s="102"/>
      <c r="K88" s="103" t="s">
        <v>206</v>
      </c>
      <c r="L88" s="112">
        <f>'Usage Data'!Y225</f>
        <v>0</v>
      </c>
      <c r="M88" s="110"/>
      <c r="N88" s="110">
        <f>'Usage Data'!H402*24</f>
        <v>5.28</v>
      </c>
      <c r="O88" s="112">
        <f>'Usage Data'!$J$67</f>
        <v>5.3</v>
      </c>
      <c r="P88" s="112"/>
      <c r="Q88" s="114"/>
    </row>
    <row r="89" spans="1:17">
      <c r="A89" s="103"/>
      <c r="B89" s="102"/>
      <c r="C89" s="103" t="s">
        <v>207</v>
      </c>
      <c r="D89" s="117">
        <f>'Usage Data'!$AF$197</f>
        <v>0</v>
      </c>
      <c r="E89" s="110"/>
      <c r="F89" s="110">
        <f>'Usage Data'!P345</f>
        <v>0</v>
      </c>
      <c r="G89" s="109"/>
      <c r="H89" s="109"/>
      <c r="I89" s="114"/>
      <c r="J89" s="102"/>
      <c r="K89" s="103" t="s">
        <v>207</v>
      </c>
      <c r="L89" s="112">
        <v>0</v>
      </c>
      <c r="M89" s="110"/>
      <c r="N89" s="110">
        <v>0</v>
      </c>
      <c r="O89" s="112">
        <v>0</v>
      </c>
      <c r="P89" s="112"/>
      <c r="Q89" s="114"/>
    </row>
    <row r="90" spans="1:17">
      <c r="A90" s="103"/>
      <c r="B90" s="102"/>
      <c r="C90" s="103" t="s">
        <v>208</v>
      </c>
      <c r="D90" s="117">
        <f>'Usage Data'!$AB$197</f>
        <v>9</v>
      </c>
      <c r="E90" s="110">
        <f>'Usage Data'!$C$325</f>
        <v>12.42</v>
      </c>
      <c r="F90" s="110">
        <f>'Usage Data'!L345</f>
        <v>8.6</v>
      </c>
      <c r="G90" s="109"/>
      <c r="H90" s="109"/>
      <c r="I90" s="114"/>
      <c r="J90" s="102"/>
      <c r="K90" s="103" t="s">
        <v>208</v>
      </c>
      <c r="L90" s="112">
        <f>'Usage Data'!V225</f>
        <v>7</v>
      </c>
      <c r="M90" s="110">
        <f>'Usage Data'!$C$282</f>
        <v>4.12</v>
      </c>
      <c r="N90" s="110">
        <f>'Usage Data'!$H$423</f>
        <v>7.2</v>
      </c>
      <c r="O90" s="112">
        <f>'Usage Data'!$O$75</f>
        <v>11.8</v>
      </c>
      <c r="P90" s="112"/>
      <c r="Q90" s="114"/>
    </row>
    <row r="91" spans="1:17">
      <c r="A91" s="103"/>
      <c r="B91" s="102"/>
      <c r="C91" s="103" t="s">
        <v>209</v>
      </c>
      <c r="D91" s="117">
        <f>'Usage Data'!$AC$197</f>
        <v>5.5</v>
      </c>
      <c r="E91" s="110">
        <f>'Usage Data'!$C$324</f>
        <v>10.7</v>
      </c>
      <c r="F91" s="110">
        <f>'Usage Data'!M345</f>
        <v>0</v>
      </c>
      <c r="G91" s="109"/>
      <c r="H91" s="109"/>
      <c r="I91" s="114"/>
      <c r="J91" s="102"/>
      <c r="K91" s="103" t="s">
        <v>209</v>
      </c>
      <c r="L91" s="112">
        <f>'Usage Data'!W225</f>
        <v>2.9</v>
      </c>
      <c r="M91" s="110"/>
      <c r="N91" s="110"/>
      <c r="O91" s="112">
        <f>'Usage Data'!$P$75</f>
        <v>3.7</v>
      </c>
      <c r="P91" s="112"/>
      <c r="Q91" s="114"/>
    </row>
    <row r="92" spans="1:17">
      <c r="A92" s="103"/>
      <c r="B92" s="102"/>
      <c r="C92" s="103" t="s">
        <v>210</v>
      </c>
      <c r="D92" s="117">
        <f>'Usage Data'!$AD$197</f>
        <v>5</v>
      </c>
      <c r="E92" s="110"/>
      <c r="F92" s="110">
        <f>'Usage Data'!N345</f>
        <v>5.5</v>
      </c>
      <c r="G92" s="109"/>
      <c r="H92" s="109"/>
      <c r="I92" s="114"/>
      <c r="J92" s="102"/>
      <c r="K92" s="103" t="s">
        <v>210</v>
      </c>
      <c r="L92" s="112">
        <f>'Usage Data'!X225</f>
        <v>1.5</v>
      </c>
      <c r="M92" s="110">
        <f>'Usage Data'!$C$283</f>
        <v>1.79</v>
      </c>
      <c r="N92" s="110">
        <f>'Usage Data'!$F$423</f>
        <v>2.2999999999999998</v>
      </c>
      <c r="O92" s="112">
        <f>'Usage Data'!$Q$75</f>
        <v>2.2999999999999998</v>
      </c>
      <c r="P92" s="112"/>
      <c r="Q92" s="114"/>
    </row>
    <row r="93" spans="1:17">
      <c r="A93" s="103"/>
      <c r="B93" s="102" t="s">
        <v>216</v>
      </c>
      <c r="C93" s="103"/>
      <c r="D93" s="117"/>
      <c r="E93" s="110"/>
      <c r="F93" s="110"/>
      <c r="G93" s="109"/>
      <c r="H93" s="111"/>
      <c r="I93" s="106"/>
      <c r="J93" s="102" t="s">
        <v>217</v>
      </c>
      <c r="K93" s="103"/>
      <c r="L93" s="112"/>
      <c r="M93" s="110"/>
      <c r="N93" s="110"/>
      <c r="O93" s="103"/>
      <c r="P93" s="103"/>
      <c r="Q93" s="104"/>
    </row>
    <row r="94" spans="1:17">
      <c r="A94" s="103"/>
      <c r="B94" s="102"/>
      <c r="C94" s="103" t="s">
        <v>204</v>
      </c>
      <c r="D94" s="120" t="s">
        <v>205</v>
      </c>
      <c r="E94" s="110"/>
      <c r="F94" s="110"/>
      <c r="G94" s="115" t="s">
        <v>205</v>
      </c>
      <c r="H94" s="105" t="s">
        <v>205</v>
      </c>
      <c r="I94" s="121">
        <f>'Usage Data'!K137</f>
        <v>0.33200000000000002</v>
      </c>
      <c r="J94" s="102"/>
      <c r="K94" s="103" t="s">
        <v>204</v>
      </c>
      <c r="L94" s="116">
        <f>'Usage Data'!$Q$224</f>
        <v>0.15</v>
      </c>
      <c r="M94" s="110"/>
      <c r="N94" s="110"/>
      <c r="O94" s="105" t="s">
        <v>205</v>
      </c>
      <c r="P94" s="105" t="s">
        <v>205</v>
      </c>
      <c r="Q94" s="114" t="s">
        <v>205</v>
      </c>
    </row>
    <row r="95" spans="1:17">
      <c r="A95" s="103"/>
      <c r="B95" s="102"/>
      <c r="C95" s="103" t="s">
        <v>206</v>
      </c>
      <c r="D95" s="117">
        <f>'Usage Data'!AE193</f>
        <v>2.64</v>
      </c>
      <c r="E95" s="110"/>
      <c r="F95" s="110">
        <f>'Usage Data'!O341</f>
        <v>0.72</v>
      </c>
      <c r="G95" s="109">
        <f>'Usage Data'!$V$31</f>
        <v>1.1000000000000001</v>
      </c>
      <c r="H95" s="105" t="s">
        <v>205</v>
      </c>
      <c r="I95" s="114" t="s">
        <v>205</v>
      </c>
      <c r="J95" s="102"/>
      <c r="K95" s="103" t="s">
        <v>206</v>
      </c>
      <c r="L95" s="118">
        <f>'Usage Data'!AE196</f>
        <v>0.24</v>
      </c>
      <c r="M95" s="110"/>
      <c r="N95" s="110">
        <f>'Usage Data'!O344</f>
        <v>0</v>
      </c>
      <c r="O95" s="112">
        <f>'Usage Data'!V64</f>
        <v>0</v>
      </c>
      <c r="P95" s="105" t="s">
        <v>205</v>
      </c>
      <c r="Q95" s="114" t="s">
        <v>205</v>
      </c>
    </row>
    <row r="96" spans="1:17">
      <c r="A96" s="103"/>
      <c r="B96" s="102"/>
      <c r="C96" s="103" t="s">
        <v>207</v>
      </c>
      <c r="D96" s="117">
        <f>'Usage Data'!AF193</f>
        <v>2.88</v>
      </c>
      <c r="E96" s="110"/>
      <c r="F96" s="110">
        <f>'Usage Data'!P341</f>
        <v>0</v>
      </c>
      <c r="G96" s="109">
        <f>'Usage Data'!W31</f>
        <v>1.5</v>
      </c>
      <c r="H96" s="105" t="s">
        <v>205</v>
      </c>
      <c r="I96" s="114" t="s">
        <v>205</v>
      </c>
      <c r="J96" s="102"/>
      <c r="K96" s="103" t="s">
        <v>207</v>
      </c>
      <c r="L96" s="118">
        <f>'Usage Data'!AF196</f>
        <v>8.16</v>
      </c>
      <c r="M96" s="110"/>
      <c r="N96" s="110">
        <f>'Usage Data'!P344</f>
        <v>0</v>
      </c>
      <c r="O96" s="112">
        <f>'Usage Data'!$W$64</f>
        <v>0</v>
      </c>
      <c r="P96" s="105" t="s">
        <v>205</v>
      </c>
      <c r="Q96" s="114" t="s">
        <v>205</v>
      </c>
    </row>
    <row r="97" spans="1:40">
      <c r="A97" s="103"/>
      <c r="B97" s="102"/>
      <c r="C97" s="103" t="s">
        <v>208</v>
      </c>
      <c r="D97" s="109">
        <f>'Usage Data'!AB193</f>
        <v>24</v>
      </c>
      <c r="E97" s="110">
        <f>'Usage Data'!C317</f>
        <v>26.98</v>
      </c>
      <c r="F97" s="110">
        <f>'Usage Data'!L341</f>
        <v>24.2</v>
      </c>
      <c r="G97" s="109">
        <f>'Usage Data'!S31</f>
        <v>59.423913043478265</v>
      </c>
      <c r="H97" s="105" t="s">
        <v>205</v>
      </c>
      <c r="I97" s="114" t="s">
        <v>205</v>
      </c>
      <c r="J97" s="102"/>
      <c r="K97" s="103" t="s">
        <v>208</v>
      </c>
      <c r="L97" s="118">
        <f>'Usage Data'!AB196</f>
        <v>36</v>
      </c>
      <c r="M97" s="110">
        <f>'Usage Data'!C280</f>
        <v>9.6</v>
      </c>
      <c r="N97" s="110">
        <f>'Usage Data'!L344</f>
        <v>12.2</v>
      </c>
      <c r="O97" s="112">
        <f>'Usage Data'!S64</f>
        <v>10.8</v>
      </c>
      <c r="P97" s="105" t="s">
        <v>205</v>
      </c>
      <c r="Q97" s="114" t="s">
        <v>205</v>
      </c>
    </row>
    <row r="98" spans="1:40">
      <c r="A98" s="103"/>
      <c r="B98" s="102"/>
      <c r="C98" s="103" t="s">
        <v>209</v>
      </c>
      <c r="D98" s="109">
        <f>'Usage Data'!AC193</f>
        <v>23</v>
      </c>
      <c r="E98" s="110">
        <f>'Usage Data'!C319</f>
        <v>23.34</v>
      </c>
      <c r="F98" s="110">
        <f>'Usage Data'!M341</f>
        <v>0</v>
      </c>
      <c r="G98" s="109">
        <f>'Usage Data'!T31</f>
        <v>57.332608695652176</v>
      </c>
      <c r="H98" s="105" t="s">
        <v>205</v>
      </c>
      <c r="I98" s="114" t="s">
        <v>205</v>
      </c>
      <c r="J98" s="102"/>
      <c r="K98" s="103" t="s">
        <v>209</v>
      </c>
      <c r="L98" s="118">
        <f>'Usage Data'!AC196</f>
        <v>5.3235294117647065</v>
      </c>
      <c r="M98" s="110"/>
      <c r="N98" s="110">
        <f>'Usage Data'!M344</f>
        <v>0</v>
      </c>
      <c r="O98" s="112">
        <f>'Usage Data'!T64</f>
        <v>3.6</v>
      </c>
      <c r="P98" s="105" t="s">
        <v>205</v>
      </c>
      <c r="Q98" s="114" t="s">
        <v>205</v>
      </c>
    </row>
    <row r="99" spans="1:40">
      <c r="A99" s="103"/>
      <c r="B99" s="122"/>
      <c r="C99" s="123" t="s">
        <v>210</v>
      </c>
      <c r="D99" s="124">
        <f>'Usage Data'!AD193</f>
        <v>1</v>
      </c>
      <c r="E99" s="125">
        <f>'Usage Data'!C318</f>
        <v>1.01</v>
      </c>
      <c r="F99" s="125">
        <f>'Usage Data'!N341</f>
        <v>1</v>
      </c>
      <c r="G99" s="124">
        <f>'Usage Data'!U31</f>
        <v>1.589130434782609</v>
      </c>
      <c r="H99" s="126" t="s">
        <v>205</v>
      </c>
      <c r="I99" s="127" t="s">
        <v>205</v>
      </c>
      <c r="J99" s="122"/>
      <c r="K99" s="123" t="s">
        <v>210</v>
      </c>
      <c r="L99" s="128">
        <f>'Usage Data'!AD196</f>
        <v>3</v>
      </c>
      <c r="M99" s="125">
        <f>'Usage Data'!C279</f>
        <v>2.48</v>
      </c>
      <c r="N99" s="125">
        <f>'Usage Data'!N344</f>
        <v>5.7</v>
      </c>
      <c r="O99" s="125">
        <f>'Usage Data'!U64</f>
        <v>2.1</v>
      </c>
      <c r="P99" s="126" t="s">
        <v>205</v>
      </c>
      <c r="Q99" s="127" t="s">
        <v>205</v>
      </c>
    </row>
    <row r="100" spans="1:40">
      <c r="A100" s="103"/>
      <c r="J100" s="89"/>
    </row>
    <row r="101" spans="1:40">
      <c r="A101" s="103"/>
      <c r="B101" s="85" t="s">
        <v>218</v>
      </c>
      <c r="H101" s="85" t="s">
        <v>218</v>
      </c>
    </row>
    <row r="102" spans="1:40">
      <c r="A102" s="103"/>
      <c r="C102" s="89" t="s">
        <v>219</v>
      </c>
      <c r="I102" s="85" t="s">
        <v>220</v>
      </c>
    </row>
    <row r="103" spans="1:40">
      <c r="A103" s="103"/>
      <c r="I103" s="85" t="s">
        <v>221</v>
      </c>
    </row>
    <row r="104" spans="1:40">
      <c r="I104" s="85" t="s">
        <v>222</v>
      </c>
    </row>
    <row r="105" spans="1:40">
      <c r="A105" s="103"/>
      <c r="I105" s="85" t="s">
        <v>223</v>
      </c>
    </row>
    <row r="106" spans="1:40">
      <c r="A106" s="103"/>
    </row>
    <row r="107" spans="1:40">
      <c r="A107" s="85" t="s">
        <v>224</v>
      </c>
    </row>
    <row r="108" spans="1:40">
      <c r="E108" s="589" t="s">
        <v>225</v>
      </c>
      <c r="F108" s="590"/>
      <c r="G108" s="591"/>
      <c r="H108" s="589" t="s">
        <v>226</v>
      </c>
      <c r="I108" s="590"/>
      <c r="J108" s="591"/>
      <c r="K108" s="129" t="s">
        <v>227</v>
      </c>
      <c r="L108" s="589" t="s">
        <v>228</v>
      </c>
      <c r="M108" s="590"/>
      <c r="N108" s="591"/>
      <c r="O108" s="129" t="s">
        <v>22</v>
      </c>
      <c r="P108" s="129"/>
      <c r="Z108" s="130"/>
      <c r="AA108" s="131"/>
      <c r="AB108" s="131"/>
      <c r="AC108" s="592" t="s">
        <v>225</v>
      </c>
      <c r="AD108" s="592"/>
      <c r="AE108" s="592"/>
      <c r="AF108" s="592" t="s">
        <v>226</v>
      </c>
      <c r="AG108" s="592"/>
      <c r="AH108" s="592"/>
      <c r="AI108" s="131"/>
      <c r="AJ108" s="592" t="s">
        <v>228</v>
      </c>
      <c r="AK108" s="592"/>
      <c r="AL108" s="592"/>
      <c r="AM108" s="131"/>
      <c r="AN108" s="131"/>
    </row>
    <row r="109" spans="1:40" ht="25.5">
      <c r="B109" s="132" t="s">
        <v>229</v>
      </c>
      <c r="C109" s="133" t="s">
        <v>204</v>
      </c>
      <c r="D109" s="134" t="s">
        <v>230</v>
      </c>
      <c r="E109" s="122" t="s">
        <v>231</v>
      </c>
      <c r="F109" s="123" t="s">
        <v>232</v>
      </c>
      <c r="G109" s="135" t="s">
        <v>233</v>
      </c>
      <c r="H109" s="122" t="s">
        <v>231</v>
      </c>
      <c r="I109" s="123" t="s">
        <v>232</v>
      </c>
      <c r="J109" s="135" t="s">
        <v>234</v>
      </c>
      <c r="K109" s="136" t="s">
        <v>235</v>
      </c>
      <c r="L109" s="122" t="s">
        <v>231</v>
      </c>
      <c r="M109" s="123" t="s">
        <v>232</v>
      </c>
      <c r="N109" s="135" t="s">
        <v>233</v>
      </c>
      <c r="O109" s="136" t="s">
        <v>235</v>
      </c>
      <c r="P109" s="136" t="s">
        <v>236</v>
      </c>
      <c r="Z109" s="131" t="s">
        <v>229</v>
      </c>
      <c r="AA109" s="137" t="s">
        <v>204</v>
      </c>
      <c r="AB109" s="137" t="s">
        <v>230</v>
      </c>
      <c r="AC109" s="137" t="s">
        <v>231</v>
      </c>
      <c r="AD109" s="137" t="s">
        <v>232</v>
      </c>
      <c r="AE109" s="137" t="s">
        <v>233</v>
      </c>
      <c r="AF109" s="137" t="s">
        <v>231</v>
      </c>
      <c r="AG109" s="137" t="s">
        <v>232</v>
      </c>
      <c r="AH109" s="137" t="s">
        <v>233</v>
      </c>
      <c r="AI109" s="137" t="s">
        <v>237</v>
      </c>
      <c r="AJ109" s="137" t="s">
        <v>231</v>
      </c>
      <c r="AK109" s="137" t="s">
        <v>232</v>
      </c>
      <c r="AL109" s="137" t="s">
        <v>233</v>
      </c>
      <c r="AM109" s="137" t="s">
        <v>238</v>
      </c>
      <c r="AN109" s="137" t="s">
        <v>239</v>
      </c>
    </row>
    <row r="110" spans="1:40">
      <c r="B110" s="97" t="s">
        <v>202</v>
      </c>
      <c r="C110" s="98"/>
      <c r="D110" s="138"/>
      <c r="E110" s="139"/>
      <c r="F110" s="103"/>
      <c r="G110" s="140"/>
      <c r="H110" s="141">
        <f>24-J110</f>
        <v>18.61</v>
      </c>
      <c r="I110" s="103"/>
      <c r="J110" s="140">
        <f>$I$67</f>
        <v>5.39</v>
      </c>
      <c r="K110" s="142"/>
      <c r="L110" s="143">
        <f>H110</f>
        <v>18.61</v>
      </c>
      <c r="M110" s="103"/>
      <c r="N110" s="140">
        <f>J110</f>
        <v>5.39</v>
      </c>
      <c r="O110" s="142"/>
      <c r="P110" s="142"/>
      <c r="Z110" s="144" t="s">
        <v>202</v>
      </c>
      <c r="AA110" s="145"/>
      <c r="AB110" s="145"/>
      <c r="AC110" s="146"/>
      <c r="AD110" s="146"/>
      <c r="AE110" s="146"/>
      <c r="AF110" s="147">
        <f>H110</f>
        <v>18.61</v>
      </c>
      <c r="AG110" s="146"/>
      <c r="AH110" s="147">
        <f>J110</f>
        <v>5.39</v>
      </c>
      <c r="AI110" s="146"/>
      <c r="AJ110" s="147">
        <f>L110</f>
        <v>18.61</v>
      </c>
      <c r="AK110" s="146"/>
      <c r="AL110" s="147">
        <f>N110</f>
        <v>5.39</v>
      </c>
      <c r="AM110" s="146"/>
      <c r="AN110" s="146"/>
    </row>
    <row r="111" spans="1:40">
      <c r="B111" s="102" t="s">
        <v>213</v>
      </c>
      <c r="C111" s="107">
        <v>0.9</v>
      </c>
      <c r="D111" s="108">
        <v>0.5</v>
      </c>
      <c r="E111" s="148">
        <f>AVERAGE(D85:H85)</f>
        <v>1.8326666666666669</v>
      </c>
      <c r="F111" s="112">
        <f>AVERAGE(D84:H84)</f>
        <v>7.0413333333333323</v>
      </c>
      <c r="G111" s="149">
        <f>AVERAGE(D83:H83)</f>
        <v>11.582000000000001</v>
      </c>
      <c r="H111" s="139">
        <f>24-I111-J111</f>
        <v>20.319474885844748</v>
      </c>
      <c r="I111" s="113">
        <f>AVERAGE(D82:H82)</f>
        <v>2.6364383561643834</v>
      </c>
      <c r="J111" s="150">
        <f>AVERAGE(D81:H81)</f>
        <v>1.0440867579908675</v>
      </c>
      <c r="K111" s="151">
        <f>(J111*$G111+I111*$F111+H111*$E111)/1000*365*$C111</f>
        <v>22.303664659999999</v>
      </c>
      <c r="L111" s="139">
        <f>$J$110-M111-N111</f>
        <v>3.0276940639269405</v>
      </c>
      <c r="M111" s="152">
        <f>(1-D111)*I111</f>
        <v>1.3182191780821917</v>
      </c>
      <c r="N111" s="150">
        <f>J111</f>
        <v>1.0440867579908675</v>
      </c>
      <c r="O111" s="151">
        <f>(N111*$G111+M111*$F111+L111*$E111)/1000*365*$C111</f>
        <v>8.8443327800000002</v>
      </c>
      <c r="P111" s="151">
        <f>K111-O111</f>
        <v>13.459331879999999</v>
      </c>
      <c r="Z111" s="144" t="s">
        <v>213</v>
      </c>
      <c r="AA111" s="153">
        <v>0.9</v>
      </c>
      <c r="AB111" s="153">
        <v>0.5</v>
      </c>
      <c r="AC111" s="147">
        <f t="shared" ref="AC111:AE114" si="0">E111</f>
        <v>1.8326666666666669</v>
      </c>
      <c r="AD111" s="147">
        <f t="shared" si="0"/>
        <v>7.0413333333333323</v>
      </c>
      <c r="AE111" s="147">
        <f t="shared" si="0"/>
        <v>11.582000000000001</v>
      </c>
      <c r="AF111" s="147">
        <f>H111</f>
        <v>20.319474885844748</v>
      </c>
      <c r="AG111" s="147">
        <f>I111</f>
        <v>2.6364383561643834</v>
      </c>
      <c r="AH111" s="147">
        <f>J111</f>
        <v>1.0440867579908675</v>
      </c>
      <c r="AI111" s="147">
        <f>K111</f>
        <v>22.303664659999999</v>
      </c>
      <c r="AJ111" s="147">
        <f>L111</f>
        <v>3.0276940639269405</v>
      </c>
      <c r="AK111" s="147">
        <f>M111</f>
        <v>1.3182191780821917</v>
      </c>
      <c r="AL111" s="147">
        <f>N111</f>
        <v>1.0440867579908675</v>
      </c>
      <c r="AM111" s="147">
        <f t="shared" ref="AM111:AN115" si="1">O111</f>
        <v>8.8443327800000002</v>
      </c>
      <c r="AN111" s="147">
        <f t="shared" si="1"/>
        <v>13.459331879999999</v>
      </c>
    </row>
    <row r="112" spans="1:40">
      <c r="B112" s="102" t="s">
        <v>211</v>
      </c>
      <c r="C112" s="107">
        <v>0.75</v>
      </c>
      <c r="D112" s="108">
        <v>0.25</v>
      </c>
      <c r="E112" s="154">
        <f>AVERAGE(D78:H78)</f>
        <v>3.4331246435246996</v>
      </c>
      <c r="F112" s="112">
        <f>AVERAGE(D77:H77)</f>
        <v>8.0520774365821097</v>
      </c>
      <c r="G112" s="150">
        <f>AVERAGE(D76:H76)</f>
        <v>13.871428571428572</v>
      </c>
      <c r="H112" s="139">
        <f>24-I112-J112</f>
        <v>18.873689576970207</v>
      </c>
      <c r="I112" s="113">
        <f>AVERAGE(D75:H75)</f>
        <v>2.9807142857142859</v>
      </c>
      <c r="J112" s="150">
        <f>AVERAGE(D74:H74)</f>
        <v>2.1455961373155072</v>
      </c>
      <c r="K112" s="151">
        <f>(J112*$G112+I112*$F112+H112*$E112)/1000*365*$C112</f>
        <v>32.455568573867389</v>
      </c>
      <c r="L112" s="139">
        <f>$J$110-M112-N112</f>
        <v>1.0088681483987778</v>
      </c>
      <c r="M112" s="152">
        <f>(1-D112)*I112</f>
        <v>2.2355357142857146</v>
      </c>
      <c r="N112" s="150">
        <f>J112</f>
        <v>2.1455961373155072</v>
      </c>
      <c r="O112" s="151">
        <f>(N112*$G112+M112*$F112+L112*$E112)/1000*365*$C112</f>
        <v>14.023325645241338</v>
      </c>
      <c r="P112" s="151">
        <f>K112-O112</f>
        <v>18.432242928626053</v>
      </c>
      <c r="Z112" s="144" t="s">
        <v>211</v>
      </c>
      <c r="AA112" s="153">
        <v>0.75</v>
      </c>
      <c r="AB112" s="153">
        <v>0.5</v>
      </c>
      <c r="AC112" s="147">
        <f t="shared" si="0"/>
        <v>3.4331246435246996</v>
      </c>
      <c r="AD112" s="147">
        <f t="shared" si="0"/>
        <v>8.0520774365821097</v>
      </c>
      <c r="AE112" s="147">
        <f t="shared" si="0"/>
        <v>13.871428571428572</v>
      </c>
      <c r="AF112" s="147">
        <f>H112</f>
        <v>18.873689576970207</v>
      </c>
      <c r="AG112" s="147">
        <f>I112</f>
        <v>2.9807142857142859</v>
      </c>
      <c r="AH112" s="147">
        <f>J112</f>
        <v>2.1455961373155072</v>
      </c>
      <c r="AI112" s="147">
        <f>K112</f>
        <v>32.455568573867389</v>
      </c>
      <c r="AJ112" s="147">
        <f>L112</f>
        <v>1.0088681483987778</v>
      </c>
      <c r="AK112" s="147">
        <f>M112</f>
        <v>2.2355357142857146</v>
      </c>
      <c r="AL112" s="147">
        <f>N112</f>
        <v>2.1455961373155072</v>
      </c>
      <c r="AM112" s="147">
        <f t="shared" si="1"/>
        <v>14.023325645241338</v>
      </c>
      <c r="AN112" s="147">
        <f t="shared" si="1"/>
        <v>18.432242928626053</v>
      </c>
    </row>
    <row r="113" spans="2:40">
      <c r="B113" s="102" t="s">
        <v>216</v>
      </c>
      <c r="C113" s="107">
        <v>0.35</v>
      </c>
      <c r="D113" s="108">
        <v>0.5</v>
      </c>
      <c r="E113" s="154">
        <f>AVERAGE(D99:G99)</f>
        <v>1.1497826086956522</v>
      </c>
      <c r="F113" s="113">
        <f>AVERAGE(D98:G98)</f>
        <v>25.918152173913043</v>
      </c>
      <c r="G113" s="150">
        <f>AVERAGE(D97:G97)</f>
        <v>33.650978260869564</v>
      </c>
      <c r="H113" s="139">
        <f>24-I113-J113</f>
        <v>21.053333333333331</v>
      </c>
      <c r="I113" s="113">
        <f>AVERAGE(D96:G96)</f>
        <v>1.46</v>
      </c>
      <c r="J113" s="150">
        <f>AVERAGE(D95:G95)</f>
        <v>1.486666666666667</v>
      </c>
      <c r="K113" s="151">
        <f>(J113*$G113+I113*$F113+H113*$E113)/1000*365*$C113</f>
        <v>14.31758717463768</v>
      </c>
      <c r="L113" s="139">
        <f>$J$110-M113-N113</f>
        <v>3.1733333333333329</v>
      </c>
      <c r="M113" s="152">
        <f>(1-D113)*I113</f>
        <v>0.73</v>
      </c>
      <c r="N113" s="150">
        <f>J113</f>
        <v>1.486666666666667</v>
      </c>
      <c r="O113" s="151">
        <f>(N113*$G113+M113*$F113+L113*$E113)/1000*365*$C113</f>
        <v>9.2742261569746383</v>
      </c>
      <c r="P113" s="151">
        <f>K113-O113</f>
        <v>5.0433610176630417</v>
      </c>
      <c r="Z113" s="144" t="s">
        <v>216</v>
      </c>
      <c r="AA113" s="153">
        <v>0.5</v>
      </c>
      <c r="AB113" s="153">
        <v>0.5</v>
      </c>
      <c r="AC113" s="147">
        <f t="shared" si="0"/>
        <v>1.1497826086956522</v>
      </c>
      <c r="AD113" s="147">
        <f t="shared" si="0"/>
        <v>25.918152173913043</v>
      </c>
      <c r="AE113" s="147">
        <f t="shared" si="0"/>
        <v>33.650978260869564</v>
      </c>
      <c r="AF113" s="147">
        <f>H113</f>
        <v>21.053333333333331</v>
      </c>
      <c r="AG113" s="147">
        <f>I113</f>
        <v>1.46</v>
      </c>
      <c r="AH113" s="147">
        <f>J113</f>
        <v>1.486666666666667</v>
      </c>
      <c r="AI113" s="147">
        <f>K113</f>
        <v>14.31758717463768</v>
      </c>
      <c r="AJ113" s="147">
        <f>L113</f>
        <v>3.1733333333333329</v>
      </c>
      <c r="AK113" s="147">
        <f>M113</f>
        <v>0.73</v>
      </c>
      <c r="AL113" s="147">
        <f>N113</f>
        <v>1.486666666666667</v>
      </c>
      <c r="AM113" s="147">
        <f t="shared" si="1"/>
        <v>9.2742261569746383</v>
      </c>
      <c r="AN113" s="147">
        <f t="shared" si="1"/>
        <v>5.0433610176630417</v>
      </c>
    </row>
    <row r="114" spans="2:40">
      <c r="B114" s="155" t="s">
        <v>215</v>
      </c>
      <c r="C114" s="156">
        <v>0.25</v>
      </c>
      <c r="D114" s="157">
        <v>0</v>
      </c>
      <c r="E114" s="158">
        <f>AVERAGE(D92:F92)</f>
        <v>5.25</v>
      </c>
      <c r="F114" s="159">
        <f>AVERAGE(D91:F91)</f>
        <v>5.3999999999999995</v>
      </c>
      <c r="G114" s="160">
        <f>AVERAGE(D90:F90)</f>
        <v>10.006666666666668</v>
      </c>
      <c r="H114" s="161">
        <f>24-I114-J114</f>
        <v>8.879999999999999</v>
      </c>
      <c r="I114" s="125">
        <f>F89</f>
        <v>0</v>
      </c>
      <c r="J114" s="162">
        <f>F88</f>
        <v>15.120000000000001</v>
      </c>
      <c r="K114" s="151">
        <f>(J114*$G114+I114*$F114+H114*$E114)/1000*365*$C114</f>
        <v>18.060273000000002</v>
      </c>
      <c r="L114" s="161">
        <f>$J$110-M114-N114</f>
        <v>0</v>
      </c>
      <c r="M114" s="163">
        <f>(1-D114)*I114</f>
        <v>0</v>
      </c>
      <c r="N114" s="164">
        <f>J110</f>
        <v>5.39</v>
      </c>
      <c r="O114" s="151">
        <f>(N114*$G114+M114*$F114+L114*$E114)/1000*365*$C114</f>
        <v>4.9216539166666671</v>
      </c>
      <c r="P114" s="165">
        <f>K114-O114</f>
        <v>13.138619083333335</v>
      </c>
      <c r="Z114" s="144" t="s">
        <v>215</v>
      </c>
      <c r="AA114" s="153">
        <v>0.25</v>
      </c>
      <c r="AB114" s="153">
        <v>0</v>
      </c>
      <c r="AC114" s="147">
        <f t="shared" si="0"/>
        <v>5.25</v>
      </c>
      <c r="AD114" s="147">
        <f t="shared" si="0"/>
        <v>5.3999999999999995</v>
      </c>
      <c r="AE114" s="147">
        <f t="shared" si="0"/>
        <v>10.006666666666668</v>
      </c>
      <c r="AF114" s="147">
        <f>H114</f>
        <v>8.879999999999999</v>
      </c>
      <c r="AG114" s="147">
        <f>I114</f>
        <v>0</v>
      </c>
      <c r="AH114" s="147">
        <f>J114</f>
        <v>15.120000000000001</v>
      </c>
      <c r="AI114" s="147">
        <f>K114</f>
        <v>18.060273000000002</v>
      </c>
      <c r="AJ114" s="147">
        <f>L114</f>
        <v>0</v>
      </c>
      <c r="AK114" s="147">
        <f>M114</f>
        <v>0</v>
      </c>
      <c r="AL114" s="147">
        <f>N114</f>
        <v>5.39</v>
      </c>
      <c r="AM114" s="147">
        <f t="shared" si="1"/>
        <v>4.9216539166666671</v>
      </c>
      <c r="AN114" s="147">
        <f t="shared" si="1"/>
        <v>13.138619083333335</v>
      </c>
    </row>
    <row r="115" spans="2:40">
      <c r="B115" s="166" t="s">
        <v>240</v>
      </c>
      <c r="K115" s="167">
        <f>SUM(K111:K114)</f>
        <v>87.137093408505081</v>
      </c>
      <c r="O115" s="167">
        <f>SUM(O111:O114)</f>
        <v>37.06353849888265</v>
      </c>
      <c r="P115" s="168">
        <f>K115-O115</f>
        <v>50.07355490962243</v>
      </c>
      <c r="AA115" s="169"/>
      <c r="AB115" s="169"/>
      <c r="AC115" s="170"/>
      <c r="AD115" s="170"/>
      <c r="AE115" s="170"/>
      <c r="AF115" s="171"/>
      <c r="AG115" s="171"/>
      <c r="AH115" s="171"/>
      <c r="AI115" s="147">
        <f>K115</f>
        <v>87.137093408505081</v>
      </c>
      <c r="AJ115" s="171"/>
      <c r="AK115" s="171"/>
      <c r="AL115" s="171"/>
      <c r="AM115" s="147">
        <f t="shared" si="1"/>
        <v>37.06353849888265</v>
      </c>
      <c r="AN115" s="147">
        <f t="shared" si="1"/>
        <v>50.07355490962243</v>
      </c>
    </row>
    <row r="116" spans="2:40">
      <c r="B116" s="166" t="s">
        <v>241</v>
      </c>
    </row>
    <row r="117" spans="2:40">
      <c r="E117" s="589" t="s">
        <v>225</v>
      </c>
      <c r="F117" s="590"/>
      <c r="G117" s="591"/>
      <c r="H117" s="589" t="s">
        <v>226</v>
      </c>
      <c r="I117" s="590"/>
      <c r="J117" s="591"/>
      <c r="K117" s="129" t="s">
        <v>227</v>
      </c>
      <c r="L117" s="589" t="s">
        <v>228</v>
      </c>
      <c r="M117" s="590"/>
      <c r="N117" s="591"/>
      <c r="O117" s="129" t="s">
        <v>22</v>
      </c>
      <c r="P117" s="129"/>
      <c r="Z117" s="130"/>
      <c r="AA117" s="172"/>
      <c r="AB117" s="172"/>
      <c r="AC117" s="588" t="s">
        <v>225</v>
      </c>
      <c r="AD117" s="588"/>
      <c r="AE117" s="588"/>
      <c r="AF117" s="588" t="s">
        <v>226</v>
      </c>
      <c r="AG117" s="588"/>
      <c r="AH117" s="588"/>
      <c r="AI117" s="172"/>
      <c r="AJ117" s="588" t="s">
        <v>228</v>
      </c>
      <c r="AK117" s="588"/>
      <c r="AL117" s="588"/>
      <c r="AM117" s="172"/>
      <c r="AN117" s="172"/>
    </row>
    <row r="118" spans="2:40" ht="25.5">
      <c r="B118" s="132" t="s">
        <v>229</v>
      </c>
      <c r="C118" s="133" t="s">
        <v>204</v>
      </c>
      <c r="D118" s="134" t="s">
        <v>230</v>
      </c>
      <c r="E118" s="122" t="s">
        <v>231</v>
      </c>
      <c r="F118" s="123" t="s">
        <v>232</v>
      </c>
      <c r="G118" s="135" t="s">
        <v>233</v>
      </c>
      <c r="H118" s="122" t="s">
        <v>231</v>
      </c>
      <c r="I118" s="123" t="s">
        <v>232</v>
      </c>
      <c r="J118" s="135" t="s">
        <v>233</v>
      </c>
      <c r="K118" s="136" t="s">
        <v>235</v>
      </c>
      <c r="L118" s="122" t="s">
        <v>231</v>
      </c>
      <c r="M118" s="123" t="s">
        <v>232</v>
      </c>
      <c r="N118" s="135" t="s">
        <v>233</v>
      </c>
      <c r="O118" s="136" t="s">
        <v>235</v>
      </c>
      <c r="P118" s="136" t="s">
        <v>236</v>
      </c>
      <c r="Z118" s="131" t="s">
        <v>229</v>
      </c>
      <c r="AA118" s="137" t="s">
        <v>204</v>
      </c>
      <c r="AB118" s="137" t="s">
        <v>230</v>
      </c>
      <c r="AC118" s="137" t="s">
        <v>231</v>
      </c>
      <c r="AD118" s="137" t="s">
        <v>232</v>
      </c>
      <c r="AE118" s="137" t="s">
        <v>233</v>
      </c>
      <c r="AF118" s="137" t="s">
        <v>231</v>
      </c>
      <c r="AG118" s="137" t="s">
        <v>232</v>
      </c>
      <c r="AH118" s="137" t="s">
        <v>233</v>
      </c>
      <c r="AI118" s="137" t="s">
        <v>237</v>
      </c>
      <c r="AJ118" s="137" t="s">
        <v>231</v>
      </c>
      <c r="AK118" s="137" t="s">
        <v>232</v>
      </c>
      <c r="AL118" s="137" t="s">
        <v>233</v>
      </c>
      <c r="AM118" s="137" t="s">
        <v>238</v>
      </c>
      <c r="AN118" s="137" t="s">
        <v>239</v>
      </c>
    </row>
    <row r="119" spans="2:40">
      <c r="B119" s="97" t="s">
        <v>203</v>
      </c>
      <c r="C119" s="98"/>
      <c r="D119" s="138"/>
      <c r="E119" s="97"/>
      <c r="F119" s="98"/>
      <c r="G119" s="138"/>
      <c r="H119" s="173">
        <f>24-I119-J119</f>
        <v>14.366666666666667</v>
      </c>
      <c r="I119" s="174">
        <f>AVERAGE(L68:O68)</f>
        <v>2.4066666666666667</v>
      </c>
      <c r="J119" s="175">
        <f>AVERAGE(L67:O67)</f>
        <v>7.2266666666666657</v>
      </c>
      <c r="K119" s="129"/>
      <c r="L119" s="173">
        <f>H119</f>
        <v>14.366666666666667</v>
      </c>
      <c r="M119" s="173">
        <f>I119</f>
        <v>2.4066666666666667</v>
      </c>
      <c r="N119" s="173">
        <f>J119</f>
        <v>7.2266666666666657</v>
      </c>
      <c r="O119" s="129"/>
      <c r="P119" s="129"/>
      <c r="Z119" s="144" t="s">
        <v>203</v>
      </c>
      <c r="AA119" s="153"/>
      <c r="AB119" s="153"/>
      <c r="AC119" s="145"/>
      <c r="AD119" s="145"/>
      <c r="AE119" s="145"/>
      <c r="AF119" s="147">
        <f t="shared" ref="AF119:AH122" si="2">H119</f>
        <v>14.366666666666667</v>
      </c>
      <c r="AG119" s="147">
        <f t="shared" si="2"/>
        <v>2.4066666666666667</v>
      </c>
      <c r="AH119" s="147">
        <f t="shared" si="2"/>
        <v>7.2266666666666657</v>
      </c>
      <c r="AI119" s="147"/>
      <c r="AJ119" s="147">
        <f t="shared" ref="AJ119:AN123" si="3">L119</f>
        <v>14.366666666666667</v>
      </c>
      <c r="AK119" s="147">
        <f t="shared" si="3"/>
        <v>2.4066666666666667</v>
      </c>
      <c r="AL119" s="147">
        <f t="shared" si="3"/>
        <v>7.2266666666666657</v>
      </c>
      <c r="AM119" s="147"/>
      <c r="AN119" s="147"/>
    </row>
    <row r="120" spans="2:40">
      <c r="B120" s="102" t="s">
        <v>214</v>
      </c>
      <c r="C120" s="107">
        <v>1</v>
      </c>
      <c r="D120" s="108">
        <v>0</v>
      </c>
      <c r="E120" s="148">
        <f>AVERAGE(L85:P85)</f>
        <v>1.1424165251839276</v>
      </c>
      <c r="F120" s="112">
        <f>AVERAGE(L84:O84)</f>
        <v>4.5254548670062249</v>
      </c>
      <c r="G120" s="149">
        <f>AVERAGE(L83:P83)</f>
        <v>44.857490096208267</v>
      </c>
      <c r="H120" s="139">
        <f>24-I120-J120</f>
        <v>14.386140198970514</v>
      </c>
      <c r="I120" s="112">
        <f>AVERAGE(L82)</f>
        <v>4.6967741935483875</v>
      </c>
      <c r="J120" s="149">
        <f>AVERAGE(L81:P81)</f>
        <v>4.9170856074811002</v>
      </c>
      <c r="K120" s="151">
        <f>(J120*$G120+I120*$F120+H120*$E120)/1000*365*$C120</f>
        <v>94.26421484759787</v>
      </c>
      <c r="L120" s="139">
        <f>$I$119+$J$119-M120-N120</f>
        <v>1.9473532303845076E-2</v>
      </c>
      <c r="M120" s="152">
        <f>(1-D120)*I120</f>
        <v>4.6967741935483875</v>
      </c>
      <c r="N120" s="150">
        <f>J120</f>
        <v>4.9170856074811002</v>
      </c>
      <c r="O120" s="151">
        <f>(N120*$G120+M120*$F120+L120*$E120)/1000*365*$C120</f>
        <v>88.273572992287569</v>
      </c>
      <c r="P120" s="151">
        <f>K120-O120</f>
        <v>5.9906418553103009</v>
      </c>
      <c r="Z120" s="144" t="s">
        <v>214</v>
      </c>
      <c r="AA120" s="153">
        <v>1</v>
      </c>
      <c r="AB120" s="153">
        <v>0</v>
      </c>
      <c r="AC120" s="147">
        <f t="shared" ref="AC120:AE122" si="4">E120</f>
        <v>1.1424165251839276</v>
      </c>
      <c r="AD120" s="147">
        <f t="shared" si="4"/>
        <v>4.5254548670062249</v>
      </c>
      <c r="AE120" s="147">
        <f t="shared" si="4"/>
        <v>44.857490096208267</v>
      </c>
      <c r="AF120" s="147">
        <f t="shared" si="2"/>
        <v>14.386140198970514</v>
      </c>
      <c r="AG120" s="147">
        <f t="shared" si="2"/>
        <v>4.6967741935483875</v>
      </c>
      <c r="AH120" s="147">
        <f t="shared" si="2"/>
        <v>4.9170856074811002</v>
      </c>
      <c r="AI120" s="147">
        <f>K120</f>
        <v>94.26421484759787</v>
      </c>
      <c r="AJ120" s="147">
        <f t="shared" si="3"/>
        <v>1.9473532303845076E-2</v>
      </c>
      <c r="AK120" s="147">
        <f t="shared" si="3"/>
        <v>4.6967741935483875</v>
      </c>
      <c r="AL120" s="147">
        <f t="shared" si="3"/>
        <v>4.9170856074811002</v>
      </c>
      <c r="AM120" s="147">
        <f t="shared" si="3"/>
        <v>88.273572992287569</v>
      </c>
      <c r="AN120" s="147">
        <f t="shared" si="3"/>
        <v>5.9906418553103009</v>
      </c>
    </row>
    <row r="121" spans="2:40">
      <c r="B121" s="102" t="s">
        <v>212</v>
      </c>
      <c r="C121" s="107">
        <v>1</v>
      </c>
      <c r="D121" s="108">
        <v>0.5</v>
      </c>
      <c r="E121" s="148">
        <f>AVERAGE(L78)</f>
        <v>2.2852941176470591</v>
      </c>
      <c r="F121" s="112">
        <f>AVERAGE(L77:P77)</f>
        <v>4.4045000874342835</v>
      </c>
      <c r="G121" s="149">
        <f>AVERAGE(L76:P76)</f>
        <v>16.484230160427806</v>
      </c>
      <c r="H121" s="139">
        <f>24-I121-J121</f>
        <v>18.62638195004029</v>
      </c>
      <c r="I121" s="112">
        <f>AVERAGE(L75:P75)</f>
        <v>5.1354673650282026</v>
      </c>
      <c r="J121" s="149">
        <f>AVERAGE(L74:P74)</f>
        <v>0.23815068493150685</v>
      </c>
      <c r="K121" s="151">
        <f>(J121*$G121+I121*$F121+H121*$E121)/1000*365*$C121</f>
        <v>25.225755266736513</v>
      </c>
      <c r="L121" s="139">
        <f>$I$119+$J$119-M121-N121</f>
        <v>6.8274489658877249</v>
      </c>
      <c r="M121" s="152">
        <f>(1-D121)*I121</f>
        <v>2.5677336825141013</v>
      </c>
      <c r="N121" s="150">
        <f>J121</f>
        <v>0.23815068493150685</v>
      </c>
      <c r="O121" s="151">
        <f>(N121*$G121+M121*$F121+L121*$E121)/1000*365*$C121</f>
        <v>11.255885655833499</v>
      </c>
      <c r="P121" s="151">
        <f>K121-O121</f>
        <v>13.969869610903014</v>
      </c>
      <c r="Z121" s="144" t="s">
        <v>212</v>
      </c>
      <c r="AA121" s="153">
        <v>1</v>
      </c>
      <c r="AB121" s="153">
        <v>0.5</v>
      </c>
      <c r="AC121" s="147">
        <f t="shared" si="4"/>
        <v>2.2852941176470591</v>
      </c>
      <c r="AD121" s="147">
        <f t="shared" si="4"/>
        <v>4.4045000874342835</v>
      </c>
      <c r="AE121" s="147">
        <f t="shared" si="4"/>
        <v>16.484230160427806</v>
      </c>
      <c r="AF121" s="147">
        <f t="shared" si="2"/>
        <v>18.62638195004029</v>
      </c>
      <c r="AG121" s="147">
        <f t="shared" si="2"/>
        <v>5.1354673650282026</v>
      </c>
      <c r="AH121" s="147">
        <f t="shared" si="2"/>
        <v>0.23815068493150685</v>
      </c>
      <c r="AI121" s="147">
        <f>K121</f>
        <v>25.225755266736513</v>
      </c>
      <c r="AJ121" s="147">
        <f t="shared" si="3"/>
        <v>6.8274489658877249</v>
      </c>
      <c r="AK121" s="147">
        <f t="shared" si="3"/>
        <v>2.5677336825141013</v>
      </c>
      <c r="AL121" s="147">
        <f t="shared" si="3"/>
        <v>0.23815068493150685</v>
      </c>
      <c r="AM121" s="147">
        <f t="shared" si="3"/>
        <v>11.255885655833499</v>
      </c>
      <c r="AN121" s="147">
        <f t="shared" si="3"/>
        <v>13.969869610903014</v>
      </c>
    </row>
    <row r="122" spans="2:40">
      <c r="B122" s="122" t="s">
        <v>215</v>
      </c>
      <c r="C122" s="156">
        <v>0.5</v>
      </c>
      <c r="D122" s="157">
        <v>0</v>
      </c>
      <c r="E122" s="176">
        <f>$O$92</f>
        <v>2.2999999999999998</v>
      </c>
      <c r="F122" s="125">
        <f>$O$91</f>
        <v>3.7</v>
      </c>
      <c r="G122" s="162">
        <f>$O$90</f>
        <v>11.8</v>
      </c>
      <c r="H122" s="161">
        <f>24-I122-J122</f>
        <v>18.7</v>
      </c>
      <c r="I122" s="125">
        <f>$O$89</f>
        <v>0</v>
      </c>
      <c r="J122" s="162">
        <f>$O$88</f>
        <v>5.3</v>
      </c>
      <c r="K122" s="165">
        <f>(J122*$G122+I122*$F122+H122*$E122)/1000*365*$C122</f>
        <v>19.262874999999998</v>
      </c>
      <c r="L122" s="161">
        <f>$I$119+$J$119-M122-N122</f>
        <v>4.333333333333333</v>
      </c>
      <c r="M122" s="163">
        <f>(1-D122)*I122</f>
        <v>0</v>
      </c>
      <c r="N122" s="162">
        <f>J122</f>
        <v>5.3</v>
      </c>
      <c r="O122" s="165">
        <f>(N122*$G122+M122*$F122+L122*$E122)/1000*365*$C122</f>
        <v>13.232466666666665</v>
      </c>
      <c r="P122" s="165">
        <f>K122-O122</f>
        <v>6.030408333333332</v>
      </c>
      <c r="Z122" s="144" t="s">
        <v>215</v>
      </c>
      <c r="AA122" s="153">
        <v>0.5</v>
      </c>
      <c r="AB122" s="153">
        <v>0</v>
      </c>
      <c r="AC122" s="147">
        <f t="shared" si="4"/>
        <v>2.2999999999999998</v>
      </c>
      <c r="AD122" s="147">
        <f t="shared" si="4"/>
        <v>3.7</v>
      </c>
      <c r="AE122" s="147">
        <f t="shared" si="4"/>
        <v>11.8</v>
      </c>
      <c r="AF122" s="147">
        <f t="shared" si="2"/>
        <v>18.7</v>
      </c>
      <c r="AG122" s="147">
        <f t="shared" si="2"/>
        <v>0</v>
      </c>
      <c r="AH122" s="147">
        <f t="shared" si="2"/>
        <v>5.3</v>
      </c>
      <c r="AI122" s="147">
        <f>K122</f>
        <v>19.262874999999998</v>
      </c>
      <c r="AJ122" s="147">
        <f t="shared" si="3"/>
        <v>4.333333333333333</v>
      </c>
      <c r="AK122" s="147">
        <f t="shared" si="3"/>
        <v>0</v>
      </c>
      <c r="AL122" s="147">
        <f t="shared" si="3"/>
        <v>5.3</v>
      </c>
      <c r="AM122" s="147">
        <f t="shared" si="3"/>
        <v>13.232466666666665</v>
      </c>
      <c r="AN122" s="147">
        <f t="shared" si="3"/>
        <v>6.030408333333332</v>
      </c>
    </row>
    <row r="123" spans="2:40">
      <c r="K123" s="168">
        <f>SUM(K120:K122)</f>
        <v>138.75284511433438</v>
      </c>
      <c r="O123" s="168">
        <f>SUM(O120:O122)</f>
        <v>112.76192531478773</v>
      </c>
      <c r="P123" s="168">
        <f>SUM(P120:P122)</f>
        <v>25.990919799546646</v>
      </c>
      <c r="AA123" s="169"/>
      <c r="AB123" s="169"/>
      <c r="AC123" s="169"/>
      <c r="AD123" s="169"/>
      <c r="AE123" s="169"/>
      <c r="AF123" s="171"/>
      <c r="AG123" s="171"/>
      <c r="AH123" s="171"/>
      <c r="AI123" s="147">
        <f>K123</f>
        <v>138.75284511433438</v>
      </c>
      <c r="AJ123" s="171"/>
      <c r="AK123" s="171"/>
      <c r="AL123" s="171"/>
      <c r="AM123" s="147">
        <f t="shared" si="3"/>
        <v>112.76192531478773</v>
      </c>
      <c r="AN123" s="147">
        <f t="shared" si="3"/>
        <v>25.990919799546646</v>
      </c>
    </row>
    <row r="127" spans="2:40" ht="78" customHeight="1">
      <c r="B127" s="177"/>
      <c r="C127" s="178"/>
      <c r="D127" s="179"/>
    </row>
  </sheetData>
  <mergeCells count="12">
    <mergeCell ref="AJ117:AL117"/>
    <mergeCell ref="E108:G108"/>
    <mergeCell ref="H108:J108"/>
    <mergeCell ref="L108:N108"/>
    <mergeCell ref="AC108:AE108"/>
    <mergeCell ref="AF108:AH108"/>
    <mergeCell ref="AJ108:AL108"/>
    <mergeCell ref="E117:G117"/>
    <mergeCell ref="H117:J117"/>
    <mergeCell ref="L117:N117"/>
    <mergeCell ref="AC117:AE117"/>
    <mergeCell ref="AF117:AH117"/>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sheetPr codeName="Sheet3"/>
  <dimension ref="A1:P68"/>
  <sheetViews>
    <sheetView zoomScaleNormal="100" workbookViewId="0">
      <selection activeCell="D36" sqref="D36"/>
    </sheetView>
  </sheetViews>
  <sheetFormatPr defaultRowHeight="12.75"/>
  <cols>
    <col min="1" max="1" width="9.140625" style="85"/>
    <col min="2" max="2" width="12.85546875" style="85" bestFit="1" customWidth="1"/>
    <col min="3" max="3" width="11.7109375" style="85" bestFit="1" customWidth="1"/>
    <col min="4" max="4" width="10.85546875" style="85" customWidth="1"/>
    <col min="5" max="5" width="7.140625" style="85" customWidth="1"/>
    <col min="6" max="6" width="12" style="85" customWidth="1"/>
    <col min="7" max="16384" width="9.140625" style="85"/>
  </cols>
  <sheetData>
    <row r="1" spans="1:7">
      <c r="A1" s="130" t="s">
        <v>242</v>
      </c>
    </row>
    <row r="2" spans="1:7">
      <c r="B2" s="85" t="s">
        <v>243</v>
      </c>
    </row>
    <row r="3" spans="1:7">
      <c r="B3" s="85" t="s">
        <v>244</v>
      </c>
    </row>
    <row r="4" spans="1:7">
      <c r="B4" s="85" t="s">
        <v>245</v>
      </c>
    </row>
    <row r="5" spans="1:7">
      <c r="B5" s="85" t="s">
        <v>246</v>
      </c>
    </row>
    <row r="7" spans="1:7">
      <c r="B7" s="85" t="s">
        <v>189</v>
      </c>
    </row>
    <row r="8" spans="1:7">
      <c r="C8" s="85" t="s">
        <v>190</v>
      </c>
      <c r="D8" s="87">
        <v>0.86</v>
      </c>
      <c r="E8" s="85" t="s">
        <v>789</v>
      </c>
    </row>
    <row r="9" spans="1:7" ht="25.5">
      <c r="D9" s="87"/>
      <c r="F9" s="88" t="s">
        <v>191</v>
      </c>
    </row>
    <row r="10" spans="1:7">
      <c r="A10" s="97"/>
      <c r="B10" s="180"/>
      <c r="C10" s="181" t="s">
        <v>247</v>
      </c>
      <c r="D10" s="182">
        <f>$D$8*F36</f>
        <v>319.34666666666664</v>
      </c>
      <c r="E10" s="138" t="s">
        <v>155</v>
      </c>
      <c r="F10" s="85">
        <v>300</v>
      </c>
      <c r="G10" s="103" t="s">
        <v>155</v>
      </c>
    </row>
    <row r="11" spans="1:7">
      <c r="A11" s="122"/>
      <c r="B11" s="123"/>
      <c r="C11" s="183" t="s">
        <v>248</v>
      </c>
      <c r="D11" s="184">
        <f>D8*P68</f>
        <v>67.056135840632891</v>
      </c>
      <c r="E11" s="135" t="s">
        <v>155</v>
      </c>
      <c r="F11" s="85">
        <v>70</v>
      </c>
      <c r="G11" s="103" t="s">
        <v>155</v>
      </c>
    </row>
    <row r="13" spans="1:7" ht="13.5" thickBot="1">
      <c r="B13" s="85" t="s">
        <v>249</v>
      </c>
    </row>
    <row r="14" spans="1:7" ht="15.75" thickBot="1">
      <c r="B14" s="185" t="s">
        <v>250</v>
      </c>
      <c r="C14" s="186" t="s">
        <v>251</v>
      </c>
      <c r="D14" s="186" t="s">
        <v>252</v>
      </c>
      <c r="E14" s="187" t="s">
        <v>253</v>
      </c>
      <c r="G14" s="188" t="s">
        <v>254</v>
      </c>
    </row>
    <row r="15" spans="1:7">
      <c r="B15" s="189">
        <v>1</v>
      </c>
      <c r="C15" s="190">
        <v>376</v>
      </c>
      <c r="D15" s="190">
        <v>351</v>
      </c>
      <c r="E15" s="191">
        <v>435</v>
      </c>
      <c r="G15" s="85" t="s">
        <v>255</v>
      </c>
    </row>
    <row r="16" spans="1:7">
      <c r="B16" s="192">
        <v>2</v>
      </c>
      <c r="C16" s="193">
        <v>565</v>
      </c>
      <c r="D16" s="193">
        <v>221</v>
      </c>
      <c r="E16" s="194">
        <v>449</v>
      </c>
      <c r="G16" s="85" t="s">
        <v>256</v>
      </c>
    </row>
    <row r="17" spans="2:5">
      <c r="B17" s="192">
        <v>3</v>
      </c>
      <c r="C17" s="193">
        <v>283</v>
      </c>
      <c r="D17" s="193">
        <v>354</v>
      </c>
      <c r="E17" s="194">
        <v>41</v>
      </c>
    </row>
    <row r="18" spans="2:5">
      <c r="B18" s="192">
        <v>4</v>
      </c>
      <c r="C18" s="193">
        <v>405</v>
      </c>
      <c r="D18" s="193">
        <v>901</v>
      </c>
      <c r="E18" s="194">
        <v>55</v>
      </c>
    </row>
    <row r="19" spans="2:5">
      <c r="B19" s="192">
        <v>5</v>
      </c>
      <c r="C19" s="193">
        <v>673</v>
      </c>
      <c r="D19" s="195">
        <v>231</v>
      </c>
      <c r="E19" s="194">
        <v>525</v>
      </c>
    </row>
    <row r="20" spans="2:5">
      <c r="B20" s="192">
        <v>6</v>
      </c>
      <c r="C20" s="193">
        <v>1196</v>
      </c>
      <c r="D20" s="195">
        <v>636</v>
      </c>
      <c r="E20" s="194">
        <v>336</v>
      </c>
    </row>
    <row r="21" spans="2:5">
      <c r="B21" s="192">
        <v>7</v>
      </c>
      <c r="C21" s="193">
        <v>460</v>
      </c>
      <c r="D21" s="195">
        <v>780</v>
      </c>
      <c r="E21" s="194">
        <v>61</v>
      </c>
    </row>
    <row r="22" spans="2:5">
      <c r="B22" s="192">
        <v>8</v>
      </c>
      <c r="C22" s="193">
        <v>261</v>
      </c>
      <c r="D22" s="195">
        <v>371</v>
      </c>
      <c r="E22" s="194">
        <v>212</v>
      </c>
    </row>
    <row r="23" spans="2:5">
      <c r="B23" s="192">
        <v>9</v>
      </c>
      <c r="C23" s="193">
        <v>223</v>
      </c>
      <c r="D23" s="195">
        <v>490</v>
      </c>
      <c r="E23" s="194">
        <v>275</v>
      </c>
    </row>
    <row r="24" spans="2:5">
      <c r="B24" s="192">
        <v>10</v>
      </c>
      <c r="C24" s="193">
        <v>275</v>
      </c>
      <c r="D24" s="195">
        <v>701</v>
      </c>
      <c r="E24" s="194">
        <v>199</v>
      </c>
    </row>
    <row r="25" spans="2:5">
      <c r="B25" s="192">
        <v>11</v>
      </c>
      <c r="C25" s="193">
        <v>356</v>
      </c>
      <c r="D25" s="195">
        <v>336</v>
      </c>
      <c r="E25" s="194">
        <v>157</v>
      </c>
    </row>
    <row r="26" spans="2:5">
      <c r="B26" s="192">
        <v>12</v>
      </c>
      <c r="C26" s="193">
        <v>216</v>
      </c>
      <c r="D26" s="195">
        <v>1053</v>
      </c>
      <c r="E26" s="194">
        <v>434</v>
      </c>
    </row>
    <row r="27" spans="2:5">
      <c r="B27" s="192">
        <v>13</v>
      </c>
      <c r="C27" s="193">
        <v>395</v>
      </c>
      <c r="D27" s="195">
        <v>785</v>
      </c>
      <c r="E27" s="194">
        <v>286</v>
      </c>
    </row>
    <row r="28" spans="2:5">
      <c r="B28" s="192">
        <v>14</v>
      </c>
      <c r="C28" s="193">
        <v>305</v>
      </c>
      <c r="D28" s="195">
        <v>537</v>
      </c>
      <c r="E28" s="194">
        <v>73</v>
      </c>
    </row>
    <row r="29" spans="2:5">
      <c r="B29" s="192">
        <v>15</v>
      </c>
      <c r="C29" s="193">
        <v>311</v>
      </c>
      <c r="D29" s="195">
        <v>614</v>
      </c>
      <c r="E29" s="194">
        <v>177</v>
      </c>
    </row>
    <row r="30" spans="2:5">
      <c r="B30" s="192">
        <v>16</v>
      </c>
      <c r="C30" s="193"/>
      <c r="D30" s="195">
        <v>552</v>
      </c>
      <c r="E30" s="194">
        <v>326</v>
      </c>
    </row>
    <row r="31" spans="2:5">
      <c r="B31" s="192">
        <v>17</v>
      </c>
      <c r="C31" s="193"/>
      <c r="D31" s="195">
        <v>1271</v>
      </c>
      <c r="E31" s="194">
        <v>140</v>
      </c>
    </row>
    <row r="32" spans="2:5">
      <c r="B32" s="192">
        <v>18</v>
      </c>
      <c r="C32" s="193"/>
      <c r="D32" s="195">
        <v>1179</v>
      </c>
      <c r="E32" s="194">
        <v>632</v>
      </c>
    </row>
    <row r="33" spans="2:6">
      <c r="B33" s="192">
        <v>19</v>
      </c>
      <c r="C33" s="193"/>
      <c r="D33" s="195">
        <v>3086</v>
      </c>
      <c r="E33" s="194">
        <v>89</v>
      </c>
    </row>
    <row r="34" spans="2:6" ht="13.5" thickBot="1">
      <c r="B34" s="196"/>
      <c r="C34" s="197"/>
      <c r="D34" s="198"/>
      <c r="E34" s="199"/>
    </row>
    <row r="35" spans="2:6" ht="15.75" thickBot="1">
      <c r="B35" s="200" t="s">
        <v>257</v>
      </c>
      <c r="C35" s="201">
        <v>420</v>
      </c>
      <c r="D35" s="201">
        <v>760</v>
      </c>
      <c r="E35" s="202">
        <v>258</v>
      </c>
      <c r="F35" s="85" t="s">
        <v>258</v>
      </c>
    </row>
    <row r="36" spans="2:6" ht="15.75" thickBot="1">
      <c r="B36" s="85" t="s">
        <v>259</v>
      </c>
      <c r="C36" s="201">
        <v>420</v>
      </c>
      <c r="D36" s="201">
        <v>436</v>
      </c>
      <c r="E36" s="202">
        <v>258</v>
      </c>
      <c r="F36" s="92">
        <f>AVERAGE(C36:E36)</f>
        <v>371.33333333333331</v>
      </c>
    </row>
    <row r="37" spans="2:6">
      <c r="B37" s="85" t="s">
        <v>260</v>
      </c>
    </row>
    <row r="38" spans="2:6">
      <c r="B38" s="85" t="s">
        <v>261</v>
      </c>
    </row>
    <row r="39" spans="2:6">
      <c r="B39" s="85" t="s">
        <v>262</v>
      </c>
    </row>
    <row r="40" spans="2:6">
      <c r="B40" s="85" t="s">
        <v>263</v>
      </c>
    </row>
    <row r="41" spans="2:6">
      <c r="C41" s="85" t="s">
        <v>264</v>
      </c>
    </row>
    <row r="42" spans="2:6">
      <c r="C42" s="85" t="s">
        <v>265</v>
      </c>
    </row>
    <row r="43" spans="2:6">
      <c r="C43" s="85" t="s">
        <v>266</v>
      </c>
    </row>
    <row r="45" spans="2:6">
      <c r="B45" s="85" t="s">
        <v>267</v>
      </c>
    </row>
    <row r="46" spans="2:6">
      <c r="C46" s="85" t="s">
        <v>268</v>
      </c>
    </row>
    <row r="47" spans="2:6">
      <c r="B47" s="85" t="s">
        <v>269</v>
      </c>
    </row>
    <row r="48" spans="2:6">
      <c r="B48" s="85" t="s">
        <v>270</v>
      </c>
    </row>
    <row r="49" spans="1:16">
      <c r="B49" s="85" t="s">
        <v>271</v>
      </c>
    </row>
    <row r="50" spans="1:16">
      <c r="B50" s="85" t="s">
        <v>272</v>
      </c>
    </row>
    <row r="52" spans="1:16">
      <c r="A52" s="130" t="s">
        <v>273</v>
      </c>
    </row>
    <row r="53" spans="1:16">
      <c r="B53" s="85" t="s">
        <v>274</v>
      </c>
    </row>
    <row r="54" spans="1:16">
      <c r="B54" s="203" t="s">
        <v>275</v>
      </c>
    </row>
    <row r="55" spans="1:16">
      <c r="B55" s="85" t="s">
        <v>276</v>
      </c>
    </row>
    <row r="56" spans="1:16">
      <c r="C56" s="85" t="s">
        <v>277</v>
      </c>
    </row>
    <row r="57" spans="1:16">
      <c r="B57" s="85" t="s">
        <v>278</v>
      </c>
    </row>
    <row r="59" spans="1:16">
      <c r="B59" s="85" t="s">
        <v>279</v>
      </c>
    </row>
    <row r="60" spans="1:16">
      <c r="B60" s="85" t="s">
        <v>280</v>
      </c>
    </row>
    <row r="62" spans="1:16">
      <c r="E62" s="589" t="str">
        <f>'SavingsData&amp;Analysis Tier 1'!E117</f>
        <v>Watts</v>
      </c>
      <c r="F62" s="593">
        <v>0</v>
      </c>
      <c r="G62" s="591">
        <v>0</v>
      </c>
      <c r="H62" s="589" t="str">
        <f>'SavingsData&amp;Analysis Tier 1'!H117</f>
        <v>Baseline hours</v>
      </c>
      <c r="I62" s="593">
        <v>0</v>
      </c>
      <c r="J62" s="591">
        <v>0</v>
      </c>
      <c r="K62" s="129" t="str">
        <f>'SavingsData&amp;Analysis Tier 1'!K117</f>
        <v>Baseline</v>
      </c>
      <c r="L62" s="589" t="str">
        <f>'SavingsData&amp;Analysis Tier 1'!L117</f>
        <v>Measure hours</v>
      </c>
      <c r="M62" s="593">
        <v>0</v>
      </c>
      <c r="N62" s="591">
        <v>0</v>
      </c>
      <c r="O62" s="129" t="str">
        <f>'SavingsData&amp;Analysis Tier 1'!O117</f>
        <v>Measure</v>
      </c>
      <c r="P62" s="129"/>
    </row>
    <row r="63" spans="1:16" ht="51">
      <c r="B63" s="132" t="str">
        <f>'SavingsData&amp;Analysis Tier 1'!B118</f>
        <v>Device</v>
      </c>
      <c r="C63" s="133" t="str">
        <f>'SavingsData&amp;Analysis Tier 1'!C118</f>
        <v>Saturation</v>
      </c>
      <c r="D63" s="134" t="s">
        <v>281</v>
      </c>
      <c r="E63" s="122" t="str">
        <f>'SavingsData&amp;Analysis Tier 1'!E118</f>
        <v>Low</v>
      </c>
      <c r="F63" s="123" t="str">
        <f>'SavingsData&amp;Analysis Tier 1'!F118</f>
        <v>Ready</v>
      </c>
      <c r="G63" s="135" t="str">
        <f>'SavingsData&amp;Analysis Tier 1'!G118</f>
        <v>Active</v>
      </c>
      <c r="H63" s="122" t="str">
        <f>'SavingsData&amp;Analysis Tier 1'!H118</f>
        <v>Low</v>
      </c>
      <c r="I63" s="123" t="str">
        <f>'SavingsData&amp;Analysis Tier 1'!I118</f>
        <v>Ready</v>
      </c>
      <c r="J63" s="135" t="str">
        <f>'SavingsData&amp;Analysis Tier 1'!J118</f>
        <v>Active</v>
      </c>
      <c r="K63" s="136" t="str">
        <f>'SavingsData&amp;Analysis Tier 1'!K118</f>
        <v>Usage</v>
      </c>
      <c r="L63" s="122" t="str">
        <f>'SavingsData&amp;Analysis Tier 1'!L118</f>
        <v>Low</v>
      </c>
      <c r="M63" s="123" t="str">
        <f>'SavingsData&amp;Analysis Tier 1'!M118</f>
        <v>Ready</v>
      </c>
      <c r="N63" s="135" t="str">
        <f>'SavingsData&amp;Analysis Tier 1'!N118</f>
        <v>Active</v>
      </c>
      <c r="O63" s="136" t="str">
        <f>'SavingsData&amp;Analysis Tier 1'!O118</f>
        <v>Usage</v>
      </c>
      <c r="P63" s="136" t="str">
        <f>'SavingsData&amp;Analysis Tier 1'!P118</f>
        <v>Savings</v>
      </c>
    </row>
    <row r="64" spans="1:16">
      <c r="B64" s="97" t="str">
        <f>'SavingsData&amp;Analysis Tier 1'!B119</f>
        <v>Computer</v>
      </c>
      <c r="C64" s="180"/>
      <c r="D64" s="138"/>
      <c r="E64" s="97"/>
      <c r="F64" s="180"/>
      <c r="G64" s="138"/>
      <c r="H64" s="173">
        <f>'SavingsData&amp;Analysis Tier 1'!H119</f>
        <v>14.366666666666667</v>
      </c>
      <c r="I64" s="204">
        <f>'SavingsData&amp;Analysis Tier 1'!I119</f>
        <v>2.4066666666666667</v>
      </c>
      <c r="J64" s="175">
        <f>'SavingsData&amp;Analysis Tier 1'!J119</f>
        <v>7.2266666666666657</v>
      </c>
      <c r="K64" s="129"/>
      <c r="L64" s="173">
        <f>'SavingsData&amp;Analysis Tier 1'!L119</f>
        <v>14.366666666666667</v>
      </c>
      <c r="M64" s="205">
        <f>'SavingsData&amp;Analysis Tier 1'!M119</f>
        <v>2.4066666666666667</v>
      </c>
      <c r="N64" s="206">
        <f>'SavingsData&amp;Analysis Tier 1'!N119</f>
        <v>7.2266666666666657</v>
      </c>
      <c r="O64" s="129"/>
      <c r="P64" s="129"/>
    </row>
    <row r="65" spans="2:16">
      <c r="B65" s="102" t="str">
        <f>'SavingsData&amp;Analysis Tier 1'!B120</f>
        <v>Monitor</v>
      </c>
      <c r="C65" s="107">
        <f>'SavingsData&amp;Analysis Tier 1'!C120</f>
        <v>1</v>
      </c>
      <c r="D65" s="108">
        <v>0.5</v>
      </c>
      <c r="E65" s="148">
        <f>'SavingsData&amp;Analysis Tier 1'!E120</f>
        <v>1.1424165251839276</v>
      </c>
      <c r="F65" s="112">
        <f>'SavingsData&amp;Analysis Tier 1'!F120</f>
        <v>4.5254548670062249</v>
      </c>
      <c r="G65" s="149">
        <f>'SavingsData&amp;Analysis Tier 1'!G120</f>
        <v>44.857490096208267</v>
      </c>
      <c r="H65" s="139">
        <f>'SavingsData&amp;Analysis Tier 1'!H120</f>
        <v>14.386140198970514</v>
      </c>
      <c r="I65" s="112">
        <f>'SavingsData&amp;Analysis Tier 1'!I120</f>
        <v>4.6967741935483875</v>
      </c>
      <c r="J65" s="149">
        <f>'SavingsData&amp;Analysis Tier 1'!J120</f>
        <v>4.9170856074811002</v>
      </c>
      <c r="K65" s="151">
        <f>(J65*$G65+I65*$F65+H65*$E65)/1000*365*$C65</f>
        <v>94.26421484759787</v>
      </c>
      <c r="L65" s="139">
        <f>$M$64+$N$64-I65-J65</f>
        <v>1.9473532303845076E-2</v>
      </c>
      <c r="M65" s="113">
        <f>(1-$D65)*I65</f>
        <v>2.3483870967741938</v>
      </c>
      <c r="N65" s="150">
        <f>(1-$D65)*J65</f>
        <v>2.4585428037405501</v>
      </c>
      <c r="O65" s="151">
        <f>(N65*$G65+M65*$F65+L65*$E65)/1000*365*$C65</f>
        <v>44.140846552675924</v>
      </c>
      <c r="P65" s="151">
        <f>K65-O65</f>
        <v>50.123368294921946</v>
      </c>
    </row>
    <row r="66" spans="2:16">
      <c r="B66" s="102" t="str">
        <f>'SavingsData&amp;Analysis Tier 1'!B121</f>
        <v>Printer</v>
      </c>
      <c r="C66" s="107">
        <f>'SavingsData&amp;Analysis Tier 1'!C121</f>
        <v>1</v>
      </c>
      <c r="D66" s="108">
        <f>'SavingsData&amp;Analysis Tier 1'!D121</f>
        <v>0.5</v>
      </c>
      <c r="E66" s="148">
        <f>'SavingsData&amp;Analysis Tier 1'!E121</f>
        <v>2.2852941176470591</v>
      </c>
      <c r="F66" s="112">
        <f>'SavingsData&amp;Analysis Tier 1'!F121</f>
        <v>4.4045000874342835</v>
      </c>
      <c r="G66" s="149">
        <f>'SavingsData&amp;Analysis Tier 1'!G121</f>
        <v>16.484230160427806</v>
      </c>
      <c r="H66" s="139">
        <f>'SavingsData&amp;Analysis Tier 1'!H121</f>
        <v>18.62638195004029</v>
      </c>
      <c r="I66" s="112">
        <f>'SavingsData&amp;Analysis Tier 1'!I121</f>
        <v>5.1354673650282026</v>
      </c>
      <c r="J66" s="149">
        <f>'SavingsData&amp;Analysis Tier 1'!J121</f>
        <v>0.23815068493150685</v>
      </c>
      <c r="K66" s="151">
        <f>(J66*$G66+I66*$F66+H66*$E66)/1000*365*$C66</f>
        <v>25.225755266736513</v>
      </c>
      <c r="L66" s="139">
        <f>$M$64+$N$64-I66-J66</f>
        <v>4.2597152833736232</v>
      </c>
      <c r="M66" s="113">
        <f>(1-$D66)*I66</f>
        <v>2.5677336825141013</v>
      </c>
      <c r="N66" s="150">
        <f>J66</f>
        <v>0.23815068493150685</v>
      </c>
      <c r="O66" s="151">
        <f>(N66*$G66+M66*$F66+L66*$E66)/1000*365*$C66</f>
        <v>9.1140559175116991</v>
      </c>
      <c r="P66" s="151">
        <f>K66-O66</f>
        <v>16.111699349224814</v>
      </c>
    </row>
    <row r="67" spans="2:16">
      <c r="B67" s="122" t="str">
        <f>'SavingsData&amp;Analysis Tier 1'!B122</f>
        <v>Speakers</v>
      </c>
      <c r="C67" s="156">
        <f>'SavingsData&amp;Analysis Tier 1'!C122</f>
        <v>0.5</v>
      </c>
      <c r="D67" s="157">
        <v>0.5</v>
      </c>
      <c r="E67" s="176">
        <f>'SavingsData&amp;Analysis Tier 1'!E122</f>
        <v>2.2999999999999998</v>
      </c>
      <c r="F67" s="125">
        <f>'SavingsData&amp;Analysis Tier 1'!F122</f>
        <v>3.7</v>
      </c>
      <c r="G67" s="162">
        <f>'SavingsData&amp;Analysis Tier 1'!G122</f>
        <v>11.8</v>
      </c>
      <c r="H67" s="161">
        <f>'SavingsData&amp;Analysis Tier 1'!H122</f>
        <v>18.7</v>
      </c>
      <c r="I67" s="125">
        <f>'SavingsData&amp;Analysis Tier 1'!I122</f>
        <v>0</v>
      </c>
      <c r="J67" s="162">
        <f>'SavingsData&amp;Analysis Tier 1'!J122</f>
        <v>5.3</v>
      </c>
      <c r="K67" s="165">
        <f>(J67*$G67+I67*$F67+H67*$E67)/1000*365*$C67</f>
        <v>19.262874999999998</v>
      </c>
      <c r="L67" s="161">
        <f>$M$64+$N$64-I67-J67</f>
        <v>4.333333333333333</v>
      </c>
      <c r="M67" s="159">
        <f>(1-$D67)*I67</f>
        <v>0</v>
      </c>
      <c r="N67" s="160">
        <f>(1-$D67)*J67</f>
        <v>2.65</v>
      </c>
      <c r="O67" s="165">
        <f>(N67*$G67+M67*$F67+L67*$E67)/1000*365*$C67</f>
        <v>7.525691666666666</v>
      </c>
      <c r="P67" s="165">
        <f>K67-O67</f>
        <v>11.737183333333331</v>
      </c>
    </row>
    <row r="68" spans="2:16">
      <c r="K68" s="168">
        <f>SUM(K65:K67)</f>
        <v>138.75284511433438</v>
      </c>
      <c r="O68" s="168">
        <f>SUM(O65:O67)</f>
        <v>60.78059413685429</v>
      </c>
      <c r="P68" s="168">
        <f>SUM(P65:P67)</f>
        <v>77.972250977480101</v>
      </c>
    </row>
  </sheetData>
  <mergeCells count="3">
    <mergeCell ref="E62:G62"/>
    <mergeCell ref="H62:J62"/>
    <mergeCell ref="L62:N62"/>
  </mergeCells>
  <hyperlinks>
    <hyperlink ref="B54" r:id="rId1" location=".UcNaJdgkzlg "/>
  </hyperlinks>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sheetPr codeName="Sheet9"/>
  <dimension ref="A1:AU453"/>
  <sheetViews>
    <sheetView topLeftCell="K79" workbookViewId="0">
      <selection activeCell="O31" sqref="O31"/>
    </sheetView>
  </sheetViews>
  <sheetFormatPr defaultRowHeight="12.75"/>
  <cols>
    <col min="1" max="1" width="9.140625" style="85"/>
    <col min="2" max="2" width="15.85546875" style="85" customWidth="1"/>
    <col min="3" max="3" width="17" style="85" customWidth="1"/>
    <col min="4" max="4" width="12.28515625" style="85" customWidth="1"/>
    <col min="5" max="8" width="9.140625" style="85"/>
    <col min="9" max="9" width="13.42578125" style="85" customWidth="1"/>
    <col min="10" max="10" width="12" style="85" customWidth="1"/>
    <col min="11" max="11" width="11.140625" style="85" customWidth="1"/>
    <col min="12" max="12" width="12.42578125" style="85" customWidth="1"/>
    <col min="13" max="13" width="16.85546875" style="85" customWidth="1"/>
    <col min="14" max="14" width="12.42578125" style="85" customWidth="1"/>
    <col min="15" max="15" width="16.140625" style="85" customWidth="1"/>
    <col min="16" max="17" width="9.140625" style="85"/>
    <col min="18" max="18" width="10.5703125" style="85" customWidth="1"/>
    <col min="19" max="19" width="11.28515625" style="85" customWidth="1"/>
    <col min="20" max="21" width="9.5703125" style="85" bestFit="1" customWidth="1"/>
    <col min="22" max="16384" width="9.140625" style="85"/>
  </cols>
  <sheetData>
    <row r="1" spans="1:10">
      <c r="A1" s="130" t="s">
        <v>282</v>
      </c>
    </row>
    <row r="2" spans="1:10">
      <c r="C2" s="85" t="s">
        <v>283</v>
      </c>
    </row>
    <row r="3" spans="1:10">
      <c r="C3" s="85" t="s">
        <v>284</v>
      </c>
    </row>
    <row r="4" spans="1:10">
      <c r="D4" s="85" t="s">
        <v>285</v>
      </c>
    </row>
    <row r="5" spans="1:10">
      <c r="D5" s="85" t="s">
        <v>286</v>
      </c>
    </row>
    <row r="6" spans="1:10">
      <c r="D6" s="85" t="s">
        <v>287</v>
      </c>
    </row>
    <row r="7" spans="1:10">
      <c r="D7" s="85" t="s">
        <v>288</v>
      </c>
    </row>
    <row r="8" spans="1:10">
      <c r="D8" s="85" t="s">
        <v>289</v>
      </c>
      <c r="J8" s="85" t="s">
        <v>290</v>
      </c>
    </row>
    <row r="9" spans="1:10">
      <c r="D9" s="85" t="s">
        <v>291</v>
      </c>
      <c r="J9" s="85" t="s">
        <v>292</v>
      </c>
    </row>
    <row r="10" spans="1:10">
      <c r="D10" s="85" t="s">
        <v>293</v>
      </c>
      <c r="J10" s="85" t="s">
        <v>294</v>
      </c>
    </row>
    <row r="11" spans="1:10">
      <c r="J11" s="85" t="s">
        <v>295</v>
      </c>
    </row>
    <row r="12" spans="1:10">
      <c r="J12" s="85" t="s">
        <v>296</v>
      </c>
    </row>
    <row r="13" spans="1:10">
      <c r="J13" s="85" t="s">
        <v>297</v>
      </c>
    </row>
    <row r="14" spans="1:10">
      <c r="J14" s="85" t="s">
        <v>298</v>
      </c>
    </row>
    <row r="15" spans="1:10">
      <c r="C15" s="207" t="s">
        <v>202</v>
      </c>
      <c r="D15" s="650" t="s">
        <v>299</v>
      </c>
      <c r="E15" s="652" t="s">
        <v>300</v>
      </c>
      <c r="F15" s="651"/>
      <c r="G15" s="653" t="s">
        <v>301</v>
      </c>
      <c r="J15" s="85" t="s">
        <v>302</v>
      </c>
    </row>
    <row r="16" spans="1:10">
      <c r="C16" s="208"/>
      <c r="D16" s="651"/>
      <c r="E16" s="209" t="s">
        <v>233</v>
      </c>
      <c r="F16" s="210" t="s">
        <v>303</v>
      </c>
      <c r="G16" s="654"/>
      <c r="J16" s="85" t="s">
        <v>304</v>
      </c>
    </row>
    <row r="17" spans="3:24">
      <c r="C17" s="655" t="s">
        <v>305</v>
      </c>
      <c r="D17" s="655"/>
      <c r="E17" s="655"/>
      <c r="F17" s="655"/>
      <c r="G17" s="655"/>
      <c r="J17" s="85" t="s">
        <v>306</v>
      </c>
    </row>
    <row r="18" spans="3:24" ht="24">
      <c r="C18" s="211" t="s">
        <v>307</v>
      </c>
      <c r="D18" s="212">
        <v>2.9</v>
      </c>
      <c r="E18" s="212">
        <v>5.3</v>
      </c>
      <c r="F18" s="212">
        <v>18.7</v>
      </c>
      <c r="G18" s="213" t="s">
        <v>308</v>
      </c>
      <c r="R18" s="656" t="s">
        <v>309</v>
      </c>
      <c r="S18" s="656"/>
      <c r="T18" s="656"/>
      <c r="U18" s="656"/>
      <c r="V18" s="656"/>
    </row>
    <row r="19" spans="3:24" ht="24">
      <c r="C19" s="211" t="s">
        <v>310</v>
      </c>
      <c r="D19" s="212">
        <v>2.9</v>
      </c>
      <c r="E19" s="212">
        <v>5.3</v>
      </c>
      <c r="F19" s="212">
        <v>18.7</v>
      </c>
      <c r="G19" s="213" t="s">
        <v>311</v>
      </c>
      <c r="M19" s="214" t="s">
        <v>312</v>
      </c>
      <c r="N19" s="215">
        <f>E18</f>
        <v>5.3</v>
      </c>
      <c r="R19" s="216"/>
      <c r="S19" s="216" t="s">
        <v>313</v>
      </c>
      <c r="T19" s="216" t="s">
        <v>314</v>
      </c>
      <c r="U19" s="216" t="s">
        <v>315</v>
      </c>
      <c r="V19" s="216" t="s">
        <v>316</v>
      </c>
    </row>
    <row r="20" spans="3:24" ht="25.5">
      <c r="C20" s="211" t="s">
        <v>317</v>
      </c>
      <c r="D20" s="212">
        <v>3</v>
      </c>
      <c r="E20" s="212">
        <v>6.3</v>
      </c>
      <c r="F20" s="212">
        <v>17.7</v>
      </c>
      <c r="G20" s="213" t="s">
        <v>308</v>
      </c>
      <c r="M20" s="214" t="s">
        <v>318</v>
      </c>
      <c r="N20" s="215">
        <v>0</v>
      </c>
      <c r="R20" s="217" t="s">
        <v>319</v>
      </c>
      <c r="S20" s="218">
        <v>0.47199999999999998</v>
      </c>
      <c r="T20" s="218">
        <v>0.28699999999999998</v>
      </c>
      <c r="U20" s="218">
        <v>0.13400000000000001</v>
      </c>
      <c r="V20" s="218">
        <v>0.107</v>
      </c>
    </row>
    <row r="21" spans="3:24" ht="36" customHeight="1">
      <c r="C21" s="211" t="s">
        <v>320</v>
      </c>
      <c r="D21" s="212">
        <v>2.8</v>
      </c>
      <c r="E21" s="212">
        <v>4</v>
      </c>
      <c r="F21" s="219">
        <v>20</v>
      </c>
      <c r="G21" s="213" t="s">
        <v>308</v>
      </c>
      <c r="M21" s="214" t="s">
        <v>321</v>
      </c>
      <c r="N21" s="215">
        <f>SUMPRODUCT($S$20:$V$20,S21:V21)</f>
        <v>115.05149999999999</v>
      </c>
      <c r="R21" s="144" t="s">
        <v>233</v>
      </c>
      <c r="S21" s="144">
        <v>79.3</v>
      </c>
      <c r="T21" s="144">
        <v>69.900000000000006</v>
      </c>
      <c r="U21" s="144">
        <v>245.9</v>
      </c>
      <c r="V21" s="144">
        <v>230</v>
      </c>
    </row>
    <row r="22" spans="3:24" ht="25.5">
      <c r="C22" s="211" t="s">
        <v>322</v>
      </c>
      <c r="D22" s="212">
        <v>3</v>
      </c>
      <c r="E22" s="212">
        <v>5.7</v>
      </c>
      <c r="F22" s="212">
        <v>18.3</v>
      </c>
      <c r="G22" s="213" t="s">
        <v>308</v>
      </c>
      <c r="M22" s="214" t="s">
        <v>323</v>
      </c>
      <c r="N22" s="215">
        <f>SUMPRODUCT($S$20:$V$20,S22:V22)</f>
        <v>3.7244000000000002</v>
      </c>
      <c r="R22" s="144" t="s">
        <v>324</v>
      </c>
      <c r="S22" s="144">
        <v>5.3</v>
      </c>
      <c r="T22" s="144">
        <v>2.2000000000000002</v>
      </c>
      <c r="U22" s="144">
        <v>0.9</v>
      </c>
      <c r="V22" s="144">
        <v>4.4000000000000004</v>
      </c>
    </row>
    <row r="23" spans="3:24" ht="36" customHeight="1">
      <c r="C23" s="211" t="s">
        <v>325</v>
      </c>
      <c r="D23" s="212">
        <v>2.1</v>
      </c>
      <c r="E23" s="212">
        <v>3.5</v>
      </c>
      <c r="F23" s="212">
        <v>20.5</v>
      </c>
      <c r="G23" s="213" t="s">
        <v>308</v>
      </c>
      <c r="M23" s="214" t="s">
        <v>326</v>
      </c>
      <c r="N23" s="215">
        <f>SUMPRODUCT($S$20:$V$20,S23:V23)</f>
        <v>1.7281</v>
      </c>
      <c r="R23" s="144" t="s">
        <v>303</v>
      </c>
      <c r="S23" s="144">
        <v>1.6</v>
      </c>
      <c r="T23" s="144">
        <v>0.5</v>
      </c>
      <c r="U23" s="144">
        <v>0.6</v>
      </c>
      <c r="V23" s="144">
        <v>7</v>
      </c>
    </row>
    <row r="25" spans="3:24" ht="15.75">
      <c r="C25" s="634" t="s">
        <v>327</v>
      </c>
      <c r="D25" s="634"/>
      <c r="E25" s="634"/>
      <c r="F25" s="634"/>
      <c r="G25" s="634"/>
      <c r="H25" s="634"/>
      <c r="I25" s="634"/>
      <c r="J25" s="634"/>
      <c r="K25" s="634"/>
      <c r="L25" s="634"/>
    </row>
    <row r="26" spans="3:24">
      <c r="C26" s="220"/>
      <c r="D26" s="641" t="s">
        <v>328</v>
      </c>
      <c r="E26" s="641"/>
      <c r="F26" s="641"/>
      <c r="G26" s="641"/>
      <c r="H26" s="641"/>
      <c r="I26" s="641"/>
      <c r="J26" s="642" t="s">
        <v>329</v>
      </c>
      <c r="K26" s="642"/>
      <c r="L26" s="643"/>
    </row>
    <row r="27" spans="3:24" ht="24">
      <c r="C27" s="221"/>
      <c r="D27" s="222" t="s">
        <v>213</v>
      </c>
      <c r="E27" s="223" t="s">
        <v>330</v>
      </c>
      <c r="F27" s="224" t="s">
        <v>211</v>
      </c>
      <c r="G27" s="224" t="s">
        <v>331</v>
      </c>
      <c r="H27" s="222" t="s">
        <v>332</v>
      </c>
      <c r="I27" s="223" t="s">
        <v>333</v>
      </c>
      <c r="J27" s="224" t="s">
        <v>233</v>
      </c>
      <c r="K27" s="224" t="s">
        <v>324</v>
      </c>
      <c r="L27" s="222" t="s">
        <v>303</v>
      </c>
    </row>
    <row r="28" spans="3:24" ht="24">
      <c r="C28" s="225" t="s">
        <v>334</v>
      </c>
      <c r="D28" s="226"/>
      <c r="E28" s="226"/>
      <c r="F28" s="226"/>
      <c r="G28" s="226"/>
      <c r="H28" s="226"/>
      <c r="I28" s="226"/>
      <c r="J28" s="226"/>
      <c r="K28" s="226"/>
      <c r="L28" s="221"/>
      <c r="N28" s="227" t="s">
        <v>335</v>
      </c>
      <c r="O28" s="228" t="s">
        <v>336</v>
      </c>
      <c r="P28" s="228" t="s">
        <v>337</v>
      </c>
      <c r="Q28" s="228" t="s">
        <v>338</v>
      </c>
      <c r="R28" s="229"/>
      <c r="S28" s="230" t="s">
        <v>208</v>
      </c>
      <c r="T28" s="230" t="s">
        <v>209</v>
      </c>
      <c r="U28" s="230" t="s">
        <v>210</v>
      </c>
      <c r="V28" s="230" t="s">
        <v>339</v>
      </c>
      <c r="W28" s="230" t="s">
        <v>340</v>
      </c>
      <c r="X28" s="230" t="s">
        <v>204</v>
      </c>
    </row>
    <row r="29" spans="3:24">
      <c r="C29" s="231" t="s">
        <v>213</v>
      </c>
      <c r="D29" s="232">
        <v>0.9</v>
      </c>
      <c r="E29" s="232">
        <v>0.3</v>
      </c>
      <c r="F29" s="232">
        <v>0.6</v>
      </c>
      <c r="G29" s="232">
        <v>0.1</v>
      </c>
      <c r="H29" s="233">
        <v>0.2</v>
      </c>
      <c r="I29" s="232">
        <v>0.6</v>
      </c>
      <c r="J29" s="231">
        <v>0.7</v>
      </c>
      <c r="K29" s="231">
        <v>2.5</v>
      </c>
      <c r="L29" s="231">
        <v>20.8</v>
      </c>
      <c r="N29" s="211" t="s">
        <v>213</v>
      </c>
      <c r="O29" s="234">
        <v>10</v>
      </c>
      <c r="P29" s="234">
        <v>5</v>
      </c>
      <c r="Q29" s="234">
        <v>2</v>
      </c>
      <c r="R29" s="229" t="s">
        <v>211</v>
      </c>
      <c r="S29" s="215">
        <f>($F$29*$O$31+$G$29*$O$32)/($F$29+$G$29)</f>
        <v>13.285714285714288</v>
      </c>
      <c r="T29" s="215">
        <f>($F$29*$P$31+$G$29*$P$32)/($F$29+$G$29)</f>
        <v>6.2857142857142856</v>
      </c>
      <c r="U29" s="215">
        <f>(F29*Q31+G29*Q32)/(F29+G29)</f>
        <v>3.1428571428571428</v>
      </c>
      <c r="V29" s="215">
        <f>(F29*J31+G29*J32)/(F29+G29)</f>
        <v>0.51428571428571435</v>
      </c>
      <c r="W29" s="229">
        <f>(F29*K31+G29*K32)/(F29+G29)</f>
        <v>2.2428571428571429</v>
      </c>
      <c r="X29" s="229"/>
    </row>
    <row r="30" spans="3:24" ht="36">
      <c r="C30" s="235" t="s">
        <v>330</v>
      </c>
      <c r="D30" s="236"/>
      <c r="E30" s="236"/>
      <c r="F30" s="236"/>
      <c r="G30" s="236"/>
      <c r="H30" s="236"/>
      <c r="I30" s="236"/>
      <c r="J30" s="235">
        <v>0.7</v>
      </c>
      <c r="K30" s="235">
        <v>2.5</v>
      </c>
      <c r="L30" s="235">
        <v>20.8</v>
      </c>
      <c r="N30" s="211" t="s">
        <v>341</v>
      </c>
      <c r="O30" s="234">
        <v>21</v>
      </c>
      <c r="P30" s="234">
        <v>7</v>
      </c>
      <c r="Q30" s="234">
        <v>3</v>
      </c>
      <c r="R30" s="229" t="s">
        <v>213</v>
      </c>
      <c r="S30" s="215">
        <f>($D$29*$O$29+$G$29*$O$32+$H$29*$O$33+$E$29*$O$30)/($D$29+$G$29+$H$29+$E$29)</f>
        <v>13.066666666666668</v>
      </c>
      <c r="T30" s="215">
        <f>($D$29*$P$29+$G$29*$P$32+$H$29*$P$33+$E$29*$P$30)/($D$29+$G$29+$H$29+$E$29)</f>
        <v>5.8666666666666671</v>
      </c>
      <c r="U30" s="215">
        <f>(D29*Q29+G29*Q32+H29*Q33+E29*Q30)/(D29+E29+G29+H29)</f>
        <v>2.08</v>
      </c>
      <c r="V30" s="215">
        <f>($D$29*$J$29+$E$29*$J$30+$G$29*$J$32+$H$29*$J$33)/($D$29+$E$29+$G$29+$H$29)</f>
        <v>0.73333333333333328</v>
      </c>
      <c r="W30" s="215">
        <f>($D$29*$K$29+$E$29*$K$30+$G$29*$K$32+$H$29*$K$33)/($D$29+$E$29+$G$29+$H$29)</f>
        <v>2.5</v>
      </c>
      <c r="X30" s="229"/>
    </row>
    <row r="31" spans="3:24">
      <c r="C31" s="235" t="s">
        <v>211</v>
      </c>
      <c r="D31" s="236"/>
      <c r="E31" s="236"/>
      <c r="F31" s="236"/>
      <c r="G31" s="236"/>
      <c r="H31" s="236"/>
      <c r="I31" s="236"/>
      <c r="J31" s="235">
        <v>0.4</v>
      </c>
      <c r="K31" s="235">
        <v>2.2000000000000002</v>
      </c>
      <c r="L31" s="235">
        <v>21.4</v>
      </c>
      <c r="N31" s="211" t="s">
        <v>211</v>
      </c>
      <c r="O31" s="234">
        <v>13</v>
      </c>
      <c r="P31" s="234">
        <v>6</v>
      </c>
      <c r="Q31" s="234">
        <v>3</v>
      </c>
      <c r="R31" s="229" t="s">
        <v>342</v>
      </c>
      <c r="S31" s="237">
        <f>SUMPRODUCT($U$40:$Y$40,$U$46:$Y$46)/SUM($U$40:$Y$40)</f>
        <v>59.423913043478265</v>
      </c>
      <c r="T31" s="237">
        <f>SUMPRODUCT($U$40:$Y$40,$U$47:$Y$47)/SUM($U$40:$Y$40)</f>
        <v>57.332608695652176</v>
      </c>
      <c r="U31" s="237">
        <f>SUMPRODUCT(U40:Y40,U48:Y48)/SUM(U40:Y40)</f>
        <v>1.589130434782609</v>
      </c>
      <c r="V31" s="237">
        <f>Z40</f>
        <v>1.1000000000000001</v>
      </c>
      <c r="W31" s="237">
        <f>AA40</f>
        <v>1.5</v>
      </c>
      <c r="X31" s="237"/>
    </row>
    <row r="32" spans="3:24" ht="24">
      <c r="C32" s="235" t="s">
        <v>343</v>
      </c>
      <c r="D32" s="236"/>
      <c r="E32" s="236"/>
      <c r="F32" s="236"/>
      <c r="G32" s="236"/>
      <c r="H32" s="236"/>
      <c r="I32" s="236"/>
      <c r="J32" s="235">
        <v>1.2</v>
      </c>
      <c r="K32" s="235">
        <v>2.5</v>
      </c>
      <c r="L32" s="235">
        <v>20.399999999999999</v>
      </c>
      <c r="N32" s="211" t="s">
        <v>331</v>
      </c>
      <c r="O32" s="234">
        <v>15</v>
      </c>
      <c r="P32" s="234">
        <v>8</v>
      </c>
      <c r="Q32" s="234">
        <v>4</v>
      </c>
    </row>
    <row r="33" spans="3:28" ht="24">
      <c r="C33" s="235" t="s">
        <v>344</v>
      </c>
      <c r="D33" s="236"/>
      <c r="E33" s="236"/>
      <c r="F33" s="236"/>
      <c r="G33" s="236"/>
      <c r="H33" s="236"/>
      <c r="I33" s="236"/>
      <c r="J33" s="235">
        <v>0.7</v>
      </c>
      <c r="K33" s="235">
        <v>2.5</v>
      </c>
      <c r="L33" s="235">
        <v>20.8</v>
      </c>
      <c r="N33" s="211" t="s">
        <v>332</v>
      </c>
      <c r="O33" s="234">
        <v>14</v>
      </c>
      <c r="P33" s="234">
        <v>7</v>
      </c>
      <c r="Q33" s="212">
        <v>0.1</v>
      </c>
    </row>
    <row r="34" spans="3:28" ht="15.75" customHeight="1">
      <c r="C34" s="644" t="s">
        <v>345</v>
      </c>
      <c r="D34" s="236"/>
      <c r="E34" s="236"/>
      <c r="F34" s="236"/>
      <c r="G34" s="236"/>
      <c r="H34" s="236"/>
      <c r="I34" s="236"/>
      <c r="J34" s="644">
        <v>1.1000000000000001</v>
      </c>
      <c r="K34" s="597">
        <v>1.5</v>
      </c>
      <c r="L34" s="647">
        <v>21.4</v>
      </c>
      <c r="N34" s="238" t="s">
        <v>346</v>
      </c>
      <c r="O34" s="239"/>
      <c r="P34" s="239"/>
      <c r="Q34" s="239"/>
      <c r="R34" s="85" t="s">
        <v>218</v>
      </c>
      <c r="S34" s="85" t="s">
        <v>347</v>
      </c>
    </row>
    <row r="35" spans="3:28" ht="18.75" customHeight="1">
      <c r="C35" s="645"/>
      <c r="D35" s="240"/>
      <c r="E35" s="240"/>
      <c r="F35" s="240"/>
      <c r="G35" s="240"/>
      <c r="H35" s="240"/>
      <c r="I35" s="240"/>
      <c r="J35" s="645"/>
      <c r="K35" s="646"/>
      <c r="L35" s="648"/>
      <c r="S35" s="85" t="s">
        <v>348</v>
      </c>
    </row>
    <row r="36" spans="3:28" ht="24">
      <c r="C36" s="241" t="s">
        <v>349</v>
      </c>
      <c r="D36" s="232">
        <v>0.9</v>
      </c>
      <c r="E36" s="232">
        <v>0.4</v>
      </c>
      <c r="F36" s="232">
        <v>0.5</v>
      </c>
      <c r="G36" s="232">
        <v>0.1</v>
      </c>
      <c r="H36" s="233">
        <v>0.2</v>
      </c>
      <c r="I36" s="232">
        <v>0.6</v>
      </c>
      <c r="J36" s="231" t="s">
        <v>350</v>
      </c>
      <c r="K36" s="231" t="s">
        <v>351</v>
      </c>
      <c r="L36" s="231" t="s">
        <v>352</v>
      </c>
      <c r="S36" s="85" t="s">
        <v>353</v>
      </c>
    </row>
    <row r="37" spans="3:28" ht="15">
      <c r="C37" s="242"/>
      <c r="D37" s="236"/>
      <c r="E37" s="236"/>
      <c r="F37" s="236"/>
      <c r="G37" s="236"/>
      <c r="H37" s="236"/>
      <c r="I37" s="236"/>
      <c r="J37" s="644" t="s">
        <v>354</v>
      </c>
      <c r="K37" s="597" t="s">
        <v>355</v>
      </c>
      <c r="L37" s="647" t="s">
        <v>356</v>
      </c>
      <c r="S37" s="243"/>
      <c r="T37" s="657" t="s">
        <v>328</v>
      </c>
      <c r="U37" s="657"/>
      <c r="V37" s="657"/>
      <c r="W37" s="657"/>
      <c r="X37" s="657"/>
      <c r="Y37" s="657"/>
      <c r="Z37" s="638" t="s">
        <v>357</v>
      </c>
      <c r="AA37" s="638"/>
      <c r="AB37" s="638"/>
    </row>
    <row r="38" spans="3:28" ht="30">
      <c r="C38" s="244"/>
      <c r="D38" s="240"/>
      <c r="E38" s="240"/>
      <c r="F38" s="240"/>
      <c r="G38" s="240"/>
      <c r="H38" s="240"/>
      <c r="I38" s="240"/>
      <c r="J38" s="645"/>
      <c r="K38" s="646"/>
      <c r="L38" s="648"/>
      <c r="S38" s="243"/>
      <c r="T38" s="245" t="s">
        <v>358</v>
      </c>
      <c r="U38" s="245" t="s">
        <v>359</v>
      </c>
      <c r="V38" s="245" t="s">
        <v>360</v>
      </c>
      <c r="W38" s="245" t="s">
        <v>361</v>
      </c>
      <c r="X38" s="245" t="s">
        <v>362</v>
      </c>
      <c r="Y38" s="245" t="s">
        <v>363</v>
      </c>
      <c r="Z38" s="245" t="s">
        <v>233</v>
      </c>
      <c r="AA38" s="245" t="s">
        <v>324</v>
      </c>
      <c r="AB38" s="245" t="s">
        <v>303</v>
      </c>
    </row>
    <row r="39" spans="3:28" ht="24" customHeight="1">
      <c r="C39" s="241" t="s">
        <v>317</v>
      </c>
      <c r="D39" s="232">
        <v>0.9</v>
      </c>
      <c r="E39" s="232">
        <v>0.3</v>
      </c>
      <c r="F39" s="232">
        <v>0.6</v>
      </c>
      <c r="G39" s="232">
        <v>0.1</v>
      </c>
      <c r="H39" s="233">
        <v>0.2</v>
      </c>
      <c r="I39" s="232">
        <v>0.6</v>
      </c>
      <c r="J39" s="231" t="s">
        <v>364</v>
      </c>
      <c r="K39" s="231" t="s">
        <v>365</v>
      </c>
      <c r="L39" s="231" t="s">
        <v>366</v>
      </c>
      <c r="N39" s="246" t="s">
        <v>335</v>
      </c>
      <c r="O39" s="247" t="s">
        <v>336</v>
      </c>
      <c r="P39" s="247" t="s">
        <v>337</v>
      </c>
      <c r="Q39" s="247" t="s">
        <v>338</v>
      </c>
      <c r="R39" s="248" t="s">
        <v>367</v>
      </c>
      <c r="S39" s="639" t="s">
        <v>334</v>
      </c>
      <c r="T39" s="640"/>
      <c r="U39" s="640"/>
      <c r="V39" s="640"/>
      <c r="W39" s="640"/>
      <c r="X39" s="640"/>
      <c r="Y39" s="640"/>
      <c r="Z39" s="640"/>
      <c r="AA39" s="640"/>
      <c r="AB39" s="640"/>
    </row>
    <row r="40" spans="3:28" ht="24">
      <c r="C40" s="242"/>
      <c r="D40" s="236"/>
      <c r="E40" s="236"/>
      <c r="F40" s="236"/>
      <c r="G40" s="236"/>
      <c r="H40" s="236"/>
      <c r="I40" s="240"/>
      <c r="J40" s="249" t="s">
        <v>368</v>
      </c>
      <c r="K40" s="250" t="s">
        <v>355</v>
      </c>
      <c r="L40" s="251" t="s">
        <v>356</v>
      </c>
      <c r="N40" s="252" t="s">
        <v>369</v>
      </c>
      <c r="O40" s="253">
        <v>18</v>
      </c>
      <c r="P40" s="253">
        <v>17</v>
      </c>
      <c r="Q40" s="254">
        <v>0.2</v>
      </c>
      <c r="R40" s="110">
        <f>SUMPRODUCT(O40:P40,$Z$40:$AA$40)/SUM($Z$40:$AA$40)</f>
        <v>17.42307692307692</v>
      </c>
      <c r="S40" s="255" t="s">
        <v>307</v>
      </c>
      <c r="T40" s="256">
        <v>0.57999999999999996</v>
      </c>
      <c r="U40" s="256">
        <v>0.11</v>
      </c>
      <c r="V40" s="256">
        <v>7.0000000000000007E-2</v>
      </c>
      <c r="W40" s="256">
        <v>0.16</v>
      </c>
      <c r="X40" s="256">
        <v>0.04</v>
      </c>
      <c r="Y40" s="256">
        <v>0.08</v>
      </c>
      <c r="Z40" s="254">
        <v>1.1000000000000001</v>
      </c>
      <c r="AA40" s="254">
        <v>1.5</v>
      </c>
      <c r="AB40" s="254">
        <v>21.4</v>
      </c>
    </row>
    <row r="41" spans="3:28" ht="24">
      <c r="C41" s="241" t="s">
        <v>320</v>
      </c>
      <c r="D41" s="232">
        <v>0.8</v>
      </c>
      <c r="E41" s="232">
        <v>0.3</v>
      </c>
      <c r="F41" s="232">
        <v>0.6</v>
      </c>
      <c r="G41" s="232">
        <v>0.1</v>
      </c>
      <c r="H41" s="233">
        <v>0.2</v>
      </c>
      <c r="I41" s="232">
        <v>0.6</v>
      </c>
      <c r="J41" s="231" t="s">
        <v>370</v>
      </c>
      <c r="K41" s="231" t="s">
        <v>371</v>
      </c>
      <c r="L41" s="231" t="s">
        <v>372</v>
      </c>
      <c r="N41" s="252" t="s">
        <v>373</v>
      </c>
      <c r="O41" s="254">
        <v>150.1</v>
      </c>
      <c r="P41" s="254">
        <v>152.9</v>
      </c>
      <c r="Q41" s="254">
        <v>1.1000000000000001</v>
      </c>
      <c r="R41" s="110">
        <f>SUMPRODUCT(O41:P41,$Z$40:$AA$40)/SUM($Z$40:$AA$40)</f>
        <v>151.71538461538464</v>
      </c>
      <c r="S41" s="255" t="s">
        <v>374</v>
      </c>
      <c r="T41" s="256">
        <v>0.55000000000000004</v>
      </c>
      <c r="U41" s="256">
        <v>0.1</v>
      </c>
      <c r="V41" s="256">
        <v>7.0000000000000007E-2</v>
      </c>
      <c r="W41" s="256">
        <v>0.16</v>
      </c>
      <c r="X41" s="256">
        <v>0.04</v>
      </c>
      <c r="Y41" s="256">
        <v>0.08</v>
      </c>
      <c r="Z41" s="254">
        <v>1</v>
      </c>
      <c r="AA41" s="254">
        <v>1.5</v>
      </c>
      <c r="AB41" s="254">
        <v>21.5</v>
      </c>
    </row>
    <row r="42" spans="3:28" ht="24">
      <c r="C42" s="242"/>
      <c r="D42" s="236"/>
      <c r="E42" s="236"/>
      <c r="F42" s="236"/>
      <c r="G42" s="236"/>
      <c r="H42" s="236"/>
      <c r="I42" s="240"/>
      <c r="J42" s="249" t="s">
        <v>375</v>
      </c>
      <c r="K42" s="250" t="s">
        <v>355</v>
      </c>
      <c r="L42" s="251" t="s">
        <v>376</v>
      </c>
      <c r="N42" s="252" t="s">
        <v>361</v>
      </c>
      <c r="O42" s="254">
        <v>16.399999999999999</v>
      </c>
      <c r="P42" s="254">
        <v>10.5</v>
      </c>
      <c r="Q42" s="254">
        <v>1.9</v>
      </c>
      <c r="R42" s="110">
        <f>SUMPRODUCT(O42:P42,$Z$40:$AA$40)/SUM($Z$40:$AA$40)</f>
        <v>12.996153846153845</v>
      </c>
      <c r="S42" s="255" t="s">
        <v>317</v>
      </c>
      <c r="T42" s="256">
        <v>0.57999999999999996</v>
      </c>
      <c r="U42" s="256">
        <v>0.11</v>
      </c>
      <c r="V42" s="256">
        <v>7.0000000000000007E-2</v>
      </c>
      <c r="W42" s="256">
        <v>0.17</v>
      </c>
      <c r="X42" s="256">
        <v>0.04</v>
      </c>
      <c r="Y42" s="256">
        <v>0.08</v>
      </c>
      <c r="Z42" s="254">
        <v>1</v>
      </c>
      <c r="AA42" s="254">
        <v>1.5</v>
      </c>
      <c r="AB42" s="254">
        <v>21.5</v>
      </c>
    </row>
    <row r="43" spans="3:28" ht="24">
      <c r="C43" s="241" t="s">
        <v>322</v>
      </c>
      <c r="D43" s="232">
        <v>0.9</v>
      </c>
      <c r="E43" s="232">
        <v>0.4</v>
      </c>
      <c r="F43" s="232">
        <v>0.6</v>
      </c>
      <c r="G43" s="232">
        <v>0.1</v>
      </c>
      <c r="H43" s="233">
        <v>0.2</v>
      </c>
      <c r="I43" s="232">
        <v>0.6</v>
      </c>
      <c r="J43" s="231" t="s">
        <v>350</v>
      </c>
      <c r="K43" s="231" t="s">
        <v>377</v>
      </c>
      <c r="L43" s="231" t="s">
        <v>378</v>
      </c>
      <c r="N43" s="252" t="s">
        <v>362</v>
      </c>
      <c r="O43" s="253">
        <v>68</v>
      </c>
      <c r="P43" s="253">
        <v>68</v>
      </c>
      <c r="Q43" s="253">
        <v>2</v>
      </c>
      <c r="R43" s="110">
        <f>SUMPRODUCT(O43:P43,$Z$40:$AA$40)/SUM($Z$40:$AA$40)</f>
        <v>68</v>
      </c>
      <c r="S43" s="255" t="s">
        <v>320</v>
      </c>
      <c r="T43" s="256">
        <v>0.62</v>
      </c>
      <c r="U43" s="256">
        <v>0.12</v>
      </c>
      <c r="V43" s="256">
        <v>7.0000000000000007E-2</v>
      </c>
      <c r="W43" s="256">
        <v>0.16</v>
      </c>
      <c r="X43" s="256">
        <v>0.05</v>
      </c>
      <c r="Y43" s="256">
        <v>7.0000000000000007E-2</v>
      </c>
      <c r="Z43" s="254">
        <v>0.9</v>
      </c>
      <c r="AA43" s="254">
        <v>1.5</v>
      </c>
      <c r="AB43" s="254">
        <v>21.6</v>
      </c>
    </row>
    <row r="44" spans="3:28" ht="24">
      <c r="C44" s="242"/>
      <c r="D44" s="236"/>
      <c r="E44" s="236"/>
      <c r="F44" s="236"/>
      <c r="G44" s="236"/>
      <c r="H44" s="236"/>
      <c r="I44" s="240"/>
      <c r="J44" s="249" t="s">
        <v>379</v>
      </c>
      <c r="K44" s="250" t="s">
        <v>355</v>
      </c>
      <c r="L44" s="251" t="s">
        <v>380</v>
      </c>
      <c r="N44" s="252" t="s">
        <v>381</v>
      </c>
      <c r="O44" s="254">
        <v>118.8</v>
      </c>
      <c r="P44" s="254">
        <v>117.5</v>
      </c>
      <c r="Q44" s="254">
        <v>3.1</v>
      </c>
      <c r="R44" s="110">
        <f>SUMPRODUCT(O44:P44,$Z$40:$AA$40)/SUM($Z$40:$AA$40)</f>
        <v>118.05</v>
      </c>
      <c r="S44" s="255" t="s">
        <v>322</v>
      </c>
      <c r="T44" s="256">
        <v>0.6</v>
      </c>
      <c r="U44" s="256">
        <v>0.11</v>
      </c>
      <c r="V44" s="256">
        <v>7.0000000000000007E-2</v>
      </c>
      <c r="W44" s="256">
        <v>0.18</v>
      </c>
      <c r="X44" s="256">
        <v>0.04</v>
      </c>
      <c r="Y44" s="256">
        <v>0.08</v>
      </c>
      <c r="Z44" s="254">
        <v>1.2</v>
      </c>
      <c r="AA44" s="254">
        <v>1.5</v>
      </c>
      <c r="AB44" s="254">
        <v>21.3</v>
      </c>
    </row>
    <row r="45" spans="3:28" ht="24">
      <c r="C45" s="241" t="s">
        <v>325</v>
      </c>
      <c r="D45" s="232">
        <v>0.7</v>
      </c>
      <c r="E45" s="232">
        <v>0.2</v>
      </c>
      <c r="F45" s="232">
        <v>0.4</v>
      </c>
      <c r="G45" s="232">
        <v>0.1</v>
      </c>
      <c r="H45" s="233">
        <v>0.2</v>
      </c>
      <c r="I45" s="232">
        <v>0.5</v>
      </c>
      <c r="J45" s="231" t="s">
        <v>370</v>
      </c>
      <c r="K45" s="231" t="s">
        <v>382</v>
      </c>
      <c r="L45" s="231" t="s">
        <v>383</v>
      </c>
      <c r="N45" s="257" t="s">
        <v>384</v>
      </c>
      <c r="O45" s="239"/>
      <c r="P45" s="239"/>
      <c r="Q45" s="239"/>
      <c r="S45" s="255" t="s">
        <v>325</v>
      </c>
      <c r="T45" s="256">
        <v>0.52</v>
      </c>
      <c r="U45" s="256">
        <v>0.1</v>
      </c>
      <c r="V45" s="256">
        <v>7.0000000000000007E-2</v>
      </c>
      <c r="W45" s="256">
        <v>0.1</v>
      </c>
      <c r="X45" s="256">
        <v>0.04</v>
      </c>
      <c r="Y45" s="256">
        <v>0.08</v>
      </c>
      <c r="Z45" s="254">
        <v>0.6</v>
      </c>
      <c r="AA45" s="254">
        <v>1.6</v>
      </c>
      <c r="AB45" s="254">
        <v>21.9</v>
      </c>
    </row>
    <row r="46" spans="3:28" ht="24">
      <c r="C46" s="244"/>
      <c r="D46" s="240"/>
      <c r="E46" s="240"/>
      <c r="F46" s="240"/>
      <c r="G46" s="240"/>
      <c r="H46" s="240"/>
      <c r="I46" s="240"/>
      <c r="J46" s="258" t="s">
        <v>385</v>
      </c>
      <c r="K46" s="259" t="s">
        <v>386</v>
      </c>
      <c r="L46" s="260" t="s">
        <v>387</v>
      </c>
      <c r="S46" s="261" t="s">
        <v>388</v>
      </c>
      <c r="U46" s="110">
        <f>O40</f>
        <v>18</v>
      </c>
      <c r="V46" s="110">
        <f>O41</f>
        <v>150.1</v>
      </c>
      <c r="W46" s="110">
        <f>O42</f>
        <v>16.399999999999999</v>
      </c>
      <c r="X46" s="110">
        <f>O43</f>
        <v>68</v>
      </c>
      <c r="Y46" s="110">
        <f>O44</f>
        <v>118.8</v>
      </c>
    </row>
    <row r="47" spans="3:28">
      <c r="S47" s="261" t="s">
        <v>389</v>
      </c>
      <c r="U47" s="92">
        <f>P40</f>
        <v>17</v>
      </c>
      <c r="V47" s="110">
        <f>P41</f>
        <v>152.9</v>
      </c>
      <c r="W47" s="110">
        <f>P42</f>
        <v>10.5</v>
      </c>
      <c r="X47" s="92">
        <f>P43</f>
        <v>68</v>
      </c>
      <c r="Y47" s="110">
        <f>P44</f>
        <v>117.5</v>
      </c>
    </row>
    <row r="48" spans="3:28">
      <c r="C48" s="262" t="s">
        <v>203</v>
      </c>
      <c r="D48" s="630" t="s">
        <v>328</v>
      </c>
      <c r="E48" s="631"/>
      <c r="F48" s="632"/>
      <c r="G48" s="630" t="s">
        <v>390</v>
      </c>
      <c r="H48" s="631"/>
      <c r="I48" s="632"/>
      <c r="K48" s="246" t="s">
        <v>335</v>
      </c>
      <c r="L48" s="247" t="s">
        <v>336</v>
      </c>
      <c r="M48" s="247" t="s">
        <v>337</v>
      </c>
      <c r="N48" s="247" t="s">
        <v>338</v>
      </c>
      <c r="S48" s="247" t="s">
        <v>338</v>
      </c>
      <c r="U48" s="254">
        <v>0.2</v>
      </c>
      <c r="V48" s="254">
        <v>1.1000000000000001</v>
      </c>
      <c r="W48" s="254">
        <v>1.9</v>
      </c>
      <c r="X48" s="253">
        <v>2</v>
      </c>
      <c r="Y48" s="254">
        <v>3.1</v>
      </c>
    </row>
    <row r="49" spans="2:24">
      <c r="C49" s="263"/>
      <c r="D49" s="264" t="s">
        <v>391</v>
      </c>
      <c r="E49" s="265" t="s">
        <v>392</v>
      </c>
      <c r="F49" s="266" t="s">
        <v>393</v>
      </c>
      <c r="G49" s="264" t="s">
        <v>233</v>
      </c>
      <c r="H49" s="267" t="s">
        <v>324</v>
      </c>
      <c r="I49" s="266" t="s">
        <v>303</v>
      </c>
      <c r="K49" s="252" t="s">
        <v>394</v>
      </c>
      <c r="L49" s="254">
        <v>71.5</v>
      </c>
      <c r="M49" s="254">
        <v>11.6</v>
      </c>
      <c r="N49" s="254">
        <v>3.3</v>
      </c>
    </row>
    <row r="50" spans="2:24">
      <c r="C50" s="633" t="s">
        <v>334</v>
      </c>
      <c r="D50" s="633"/>
      <c r="E50" s="633"/>
      <c r="F50" s="633"/>
      <c r="G50" s="633"/>
      <c r="H50" s="633"/>
      <c r="I50" s="633"/>
      <c r="K50" s="252" t="s">
        <v>395</v>
      </c>
      <c r="L50" s="254">
        <v>29.7</v>
      </c>
      <c r="M50" s="254">
        <v>7.6</v>
      </c>
      <c r="N50" s="254">
        <v>4.4000000000000004</v>
      </c>
    </row>
    <row r="51" spans="2:24">
      <c r="C51" s="211" t="s">
        <v>307</v>
      </c>
      <c r="D51" s="212">
        <v>1.3</v>
      </c>
      <c r="E51" s="212">
        <v>0.8</v>
      </c>
      <c r="F51" s="212">
        <v>0.5</v>
      </c>
      <c r="G51" s="212">
        <v>3.2</v>
      </c>
      <c r="H51" s="212">
        <v>4.0999999999999996</v>
      </c>
      <c r="I51" s="212">
        <v>16.7</v>
      </c>
      <c r="K51" s="257" t="s">
        <v>396</v>
      </c>
      <c r="L51" s="239"/>
      <c r="M51" s="239"/>
      <c r="N51" s="239"/>
    </row>
    <row r="52" spans="2:24">
      <c r="C52" s="211" t="s">
        <v>349</v>
      </c>
      <c r="D52" s="212">
        <v>1.3</v>
      </c>
      <c r="E52" s="212">
        <v>1</v>
      </c>
      <c r="F52" s="212">
        <v>0.3</v>
      </c>
      <c r="G52" s="212">
        <v>3.5</v>
      </c>
      <c r="H52" s="212">
        <v>4.5999999999999996</v>
      </c>
      <c r="I52" s="212">
        <v>15.9</v>
      </c>
    </row>
    <row r="53" spans="2:24">
      <c r="C53" s="211" t="s">
        <v>317</v>
      </c>
      <c r="D53" s="212">
        <v>1.3</v>
      </c>
      <c r="E53" s="212">
        <v>1</v>
      </c>
      <c r="F53" s="212">
        <v>0.3</v>
      </c>
      <c r="G53" s="212">
        <v>3.5</v>
      </c>
      <c r="H53" s="212">
        <v>4.5999999999999996</v>
      </c>
      <c r="I53" s="212">
        <v>15.9</v>
      </c>
    </row>
    <row r="54" spans="2:24">
      <c r="C54" s="211" t="s">
        <v>320</v>
      </c>
      <c r="D54" s="212">
        <v>1.3</v>
      </c>
      <c r="E54" s="212">
        <v>1</v>
      </c>
      <c r="F54" s="212">
        <v>0.3</v>
      </c>
      <c r="G54" s="212">
        <v>1.8</v>
      </c>
      <c r="H54" s="212">
        <v>2.2999999999999998</v>
      </c>
      <c r="I54" s="219">
        <v>20</v>
      </c>
    </row>
    <row r="55" spans="2:24">
      <c r="C55" s="211" t="s">
        <v>322</v>
      </c>
      <c r="D55" s="212">
        <v>1.5</v>
      </c>
      <c r="E55" s="212">
        <v>0.9</v>
      </c>
      <c r="F55" s="212">
        <v>0.6</v>
      </c>
      <c r="G55" s="212">
        <v>3.6</v>
      </c>
      <c r="H55" s="212">
        <v>4.5999999999999996</v>
      </c>
      <c r="I55" s="212">
        <v>15.8</v>
      </c>
    </row>
    <row r="56" spans="2:24">
      <c r="C56" s="211" t="s">
        <v>325</v>
      </c>
      <c r="D56" s="212">
        <v>1</v>
      </c>
      <c r="E56" s="212">
        <v>0.5</v>
      </c>
      <c r="F56" s="212">
        <v>0.5</v>
      </c>
      <c r="G56" s="212">
        <v>1.3</v>
      </c>
      <c r="H56" s="212">
        <v>1.7</v>
      </c>
      <c r="I56" s="219">
        <v>21</v>
      </c>
    </row>
    <row r="58" spans="2:24" ht="15.75">
      <c r="B58" s="268" t="s">
        <v>397</v>
      </c>
      <c r="C58" s="634" t="s">
        <v>398</v>
      </c>
      <c r="D58" s="634"/>
      <c r="E58" s="634"/>
      <c r="F58" s="634"/>
      <c r="G58" s="634"/>
      <c r="H58" s="634"/>
      <c r="I58" s="634"/>
      <c r="J58" s="634"/>
      <c r="K58" s="634"/>
      <c r="L58" s="634"/>
    </row>
    <row r="59" spans="2:24">
      <c r="C59" s="269"/>
      <c r="D59" s="635" t="s">
        <v>328</v>
      </c>
      <c r="E59" s="636"/>
      <c r="F59" s="636"/>
      <c r="G59" s="636"/>
      <c r="H59" s="636"/>
      <c r="I59" s="637"/>
      <c r="J59" s="635" t="s">
        <v>399</v>
      </c>
      <c r="K59" s="636"/>
      <c r="L59" s="637"/>
    </row>
    <row r="60" spans="2:24" ht="24">
      <c r="C60" s="270"/>
      <c r="D60" s="271" t="s">
        <v>400</v>
      </c>
      <c r="E60" s="271" t="s">
        <v>212</v>
      </c>
      <c r="F60" s="271" t="s">
        <v>217</v>
      </c>
      <c r="G60" s="271" t="s">
        <v>401</v>
      </c>
      <c r="H60" s="272" t="s">
        <v>402</v>
      </c>
      <c r="I60" s="273" t="s">
        <v>215</v>
      </c>
      <c r="J60" s="274" t="s">
        <v>233</v>
      </c>
      <c r="K60" s="274" t="s">
        <v>324</v>
      </c>
      <c r="L60" s="275" t="s">
        <v>303</v>
      </c>
    </row>
    <row r="61" spans="2:24" ht="24">
      <c r="C61" s="649" t="s">
        <v>334</v>
      </c>
      <c r="D61" s="649"/>
      <c r="E61" s="649"/>
      <c r="F61" s="649"/>
      <c r="G61" s="649"/>
      <c r="H61" s="649"/>
      <c r="I61" s="649"/>
      <c r="J61" s="649"/>
      <c r="K61" s="649"/>
      <c r="L61" s="649"/>
      <c r="N61" s="246" t="s">
        <v>335</v>
      </c>
      <c r="O61" s="247" t="s">
        <v>336</v>
      </c>
      <c r="P61" s="247" t="s">
        <v>337</v>
      </c>
      <c r="Q61" s="247" t="s">
        <v>338</v>
      </c>
      <c r="R61" s="229"/>
      <c r="S61" s="276" t="s">
        <v>208</v>
      </c>
      <c r="T61" s="276" t="s">
        <v>209</v>
      </c>
      <c r="U61" s="276" t="s">
        <v>403</v>
      </c>
      <c r="V61" s="276" t="s">
        <v>339</v>
      </c>
      <c r="W61" s="276" t="s">
        <v>340</v>
      </c>
      <c r="X61" s="276" t="s">
        <v>204</v>
      </c>
    </row>
    <row r="62" spans="2:24">
      <c r="C62" s="277" t="s">
        <v>214</v>
      </c>
      <c r="D62" s="232">
        <v>0.2</v>
      </c>
      <c r="E62" s="232">
        <v>0.6</v>
      </c>
      <c r="F62" s="232">
        <v>0.2</v>
      </c>
      <c r="G62" s="232">
        <v>0.6</v>
      </c>
      <c r="H62" s="232">
        <v>0.1</v>
      </c>
      <c r="I62" s="232">
        <v>0.4</v>
      </c>
      <c r="J62" s="231">
        <v>5.0999999999999996</v>
      </c>
      <c r="K62" s="231">
        <v>2.4</v>
      </c>
      <c r="L62" s="231">
        <v>16.5</v>
      </c>
      <c r="N62" s="252" t="s">
        <v>400</v>
      </c>
      <c r="O62" s="254">
        <v>65.7</v>
      </c>
      <c r="P62" s="254">
        <v>7.6</v>
      </c>
      <c r="Q62" s="254">
        <v>1.5</v>
      </c>
      <c r="R62" s="229" t="s">
        <v>214</v>
      </c>
      <c r="S62" s="215">
        <f>($D$62*$O$62+$G$62*$O$63)/($D$62+$G$62)</f>
        <v>37.424999999999997</v>
      </c>
      <c r="T62" s="215">
        <f>($D$62*$P$62+$G$62*$P$63)/($D$62+$G$62)</f>
        <v>3.3250000000000002</v>
      </c>
      <c r="U62" s="215">
        <f>(D62*Q62+G62*Q63)/(D62+G62)</f>
        <v>1.2</v>
      </c>
      <c r="V62" s="215">
        <f t="shared" ref="V62:W64" si="0">J62</f>
        <v>5.0999999999999996</v>
      </c>
      <c r="W62" s="229">
        <f t="shared" si="0"/>
        <v>2.4</v>
      </c>
      <c r="X62" s="229"/>
    </row>
    <row r="63" spans="2:24">
      <c r="C63" s="278" t="s">
        <v>212</v>
      </c>
      <c r="D63" s="279"/>
      <c r="E63" s="279"/>
      <c r="F63" s="279"/>
      <c r="G63" s="279"/>
      <c r="H63" s="279"/>
      <c r="I63" s="279"/>
      <c r="J63" s="235">
        <v>0.1</v>
      </c>
      <c r="K63" s="235">
        <v>4.4000000000000004</v>
      </c>
      <c r="L63" s="235">
        <v>19.5</v>
      </c>
      <c r="N63" s="252" t="s">
        <v>401</v>
      </c>
      <c r="O63" s="254">
        <v>28</v>
      </c>
      <c r="P63" s="254">
        <v>1.9</v>
      </c>
      <c r="Q63" s="254">
        <v>1.1000000000000001</v>
      </c>
      <c r="R63" s="229" t="s">
        <v>212</v>
      </c>
      <c r="S63" s="215">
        <f>O67</f>
        <v>12.5</v>
      </c>
      <c r="T63" s="215">
        <f>P67</f>
        <v>4.3</v>
      </c>
      <c r="U63" s="215" t="str">
        <f>Q67</f>
        <v>NA</v>
      </c>
      <c r="V63" s="215">
        <f t="shared" si="0"/>
        <v>0.1</v>
      </c>
      <c r="W63" s="215">
        <f t="shared" si="0"/>
        <v>4.4000000000000004</v>
      </c>
      <c r="X63" s="229"/>
    </row>
    <row r="64" spans="2:24">
      <c r="C64" s="278" t="s">
        <v>217</v>
      </c>
      <c r="D64" s="279"/>
      <c r="E64" s="279"/>
      <c r="F64" s="279"/>
      <c r="G64" s="279"/>
      <c r="H64" s="279"/>
      <c r="I64" s="279"/>
      <c r="J64" s="235">
        <v>0</v>
      </c>
      <c r="K64" s="235">
        <v>0</v>
      </c>
      <c r="L64" s="235">
        <v>24</v>
      </c>
      <c r="N64" s="257" t="s">
        <v>404</v>
      </c>
      <c r="O64" s="239"/>
      <c r="P64" s="239"/>
      <c r="Q64" s="239"/>
      <c r="R64" s="229" t="s">
        <v>217</v>
      </c>
      <c r="S64" s="215">
        <f>O73</f>
        <v>10.8</v>
      </c>
      <c r="T64" s="215">
        <f>P73</f>
        <v>3.6</v>
      </c>
      <c r="U64" s="215">
        <f>Q73</f>
        <v>2.1</v>
      </c>
      <c r="V64" s="215">
        <f t="shared" si="0"/>
        <v>0</v>
      </c>
      <c r="W64" s="215">
        <f t="shared" si="0"/>
        <v>0</v>
      </c>
      <c r="X64" s="229"/>
    </row>
    <row r="65" spans="3:25">
      <c r="C65" s="278" t="s">
        <v>405</v>
      </c>
      <c r="D65" s="279"/>
      <c r="E65" s="279"/>
      <c r="F65" s="279"/>
      <c r="G65" s="279"/>
      <c r="H65" s="279"/>
      <c r="I65" s="279"/>
      <c r="J65" s="235">
        <v>0</v>
      </c>
      <c r="K65" s="235">
        <v>0</v>
      </c>
      <c r="L65" s="235">
        <v>24</v>
      </c>
      <c r="R65" s="280" t="s">
        <v>203</v>
      </c>
      <c r="S65" s="237">
        <f>L49</f>
        <v>71.5</v>
      </c>
      <c r="T65" s="237">
        <f>M49</f>
        <v>11.6</v>
      </c>
      <c r="U65" s="237">
        <f>N49</f>
        <v>3.3</v>
      </c>
      <c r="V65" s="237">
        <f>G51</f>
        <v>3.2</v>
      </c>
      <c r="W65" s="237">
        <f>H51</f>
        <v>4.0999999999999996</v>
      </c>
      <c r="X65" s="229"/>
      <c r="Y65" s="85" t="s">
        <v>406</v>
      </c>
    </row>
    <row r="66" spans="3:25" ht="24">
      <c r="C66" s="278" t="s">
        <v>407</v>
      </c>
      <c r="D66" s="279"/>
      <c r="E66" s="279"/>
      <c r="F66" s="279"/>
      <c r="G66" s="279"/>
      <c r="H66" s="279"/>
      <c r="I66" s="279"/>
      <c r="J66" s="235">
        <v>0.2</v>
      </c>
      <c r="K66" s="235">
        <v>0.5</v>
      </c>
      <c r="L66" s="235">
        <v>23.3</v>
      </c>
      <c r="N66" s="246" t="s">
        <v>335</v>
      </c>
      <c r="O66" s="247" t="s">
        <v>336</v>
      </c>
      <c r="P66" s="247" t="s">
        <v>337</v>
      </c>
      <c r="Q66" s="247" t="s">
        <v>338</v>
      </c>
    </row>
    <row r="67" spans="3:25">
      <c r="C67" s="281" t="s">
        <v>215</v>
      </c>
      <c r="D67" s="282"/>
      <c r="E67" s="282"/>
      <c r="F67" s="282"/>
      <c r="G67" s="282"/>
      <c r="H67" s="282"/>
      <c r="I67" s="282"/>
      <c r="J67" s="283">
        <v>5.3</v>
      </c>
      <c r="K67" s="284"/>
      <c r="L67" s="283">
        <v>18.7</v>
      </c>
      <c r="N67" s="285" t="s">
        <v>408</v>
      </c>
      <c r="O67" s="254">
        <v>12.5</v>
      </c>
      <c r="P67" s="254">
        <v>4.3</v>
      </c>
      <c r="Q67" s="254" t="s">
        <v>409</v>
      </c>
    </row>
    <row r="68" spans="3:25">
      <c r="C68" s="277" t="s">
        <v>349</v>
      </c>
      <c r="D68" s="232">
        <v>1</v>
      </c>
      <c r="E68" s="232">
        <v>0.6</v>
      </c>
      <c r="F68" s="232">
        <v>0.2</v>
      </c>
      <c r="G68" s="232">
        <v>0.1</v>
      </c>
      <c r="H68" s="232">
        <v>0.1</v>
      </c>
      <c r="I68" s="232">
        <v>0.4</v>
      </c>
      <c r="J68" s="231" t="s">
        <v>410</v>
      </c>
      <c r="K68" s="231" t="s">
        <v>411</v>
      </c>
      <c r="L68" s="231" t="s">
        <v>412</v>
      </c>
      <c r="N68" s="285" t="s">
        <v>413</v>
      </c>
      <c r="O68" s="254">
        <v>9.1</v>
      </c>
      <c r="P68" s="254">
        <v>2.5</v>
      </c>
      <c r="Q68" s="254">
        <v>1.3</v>
      </c>
    </row>
    <row r="69" spans="3:25">
      <c r="C69" s="286"/>
      <c r="D69" s="279"/>
      <c r="E69" s="279"/>
      <c r="F69" s="279"/>
      <c r="G69" s="279"/>
      <c r="H69" s="279"/>
      <c r="I69" s="279"/>
      <c r="J69" s="235" t="s">
        <v>414</v>
      </c>
      <c r="K69" s="235" t="s">
        <v>415</v>
      </c>
      <c r="L69" s="235" t="s">
        <v>416</v>
      </c>
      <c r="N69" s="285" t="s">
        <v>417</v>
      </c>
      <c r="O69" s="254">
        <v>173.4</v>
      </c>
      <c r="P69" s="253">
        <v>9</v>
      </c>
      <c r="Q69" s="254">
        <v>3.3</v>
      </c>
    </row>
    <row r="70" spans="3:25">
      <c r="C70" s="278"/>
      <c r="D70" s="279"/>
      <c r="E70" s="279"/>
      <c r="F70" s="279"/>
      <c r="G70" s="279"/>
      <c r="H70" s="279"/>
      <c r="I70" s="279"/>
      <c r="J70" s="235" t="s">
        <v>418</v>
      </c>
      <c r="K70" s="235" t="s">
        <v>418</v>
      </c>
      <c r="L70" s="235" t="s">
        <v>419</v>
      </c>
      <c r="N70" s="257" t="s">
        <v>420</v>
      </c>
      <c r="O70" s="239"/>
      <c r="P70" s="239"/>
      <c r="Q70" s="239"/>
    </row>
    <row r="71" spans="3:25">
      <c r="C71" s="278"/>
      <c r="D71" s="279"/>
      <c r="E71" s="279"/>
      <c r="F71" s="279"/>
      <c r="G71" s="279"/>
      <c r="H71" s="279"/>
      <c r="I71" s="279"/>
      <c r="J71" s="235" t="s">
        <v>421</v>
      </c>
      <c r="K71" s="235" t="s">
        <v>421</v>
      </c>
      <c r="L71" s="235" t="s">
        <v>422</v>
      </c>
    </row>
    <row r="72" spans="3:25" ht="24">
      <c r="C72" s="278"/>
      <c r="D72" s="279"/>
      <c r="E72" s="279"/>
      <c r="F72" s="279"/>
      <c r="G72" s="279"/>
      <c r="H72" s="279"/>
      <c r="I72" s="279"/>
      <c r="J72" s="235" t="s">
        <v>423</v>
      </c>
      <c r="K72" s="235" t="s">
        <v>424</v>
      </c>
      <c r="L72" s="235" t="s">
        <v>425</v>
      </c>
      <c r="N72" s="227" t="s">
        <v>335</v>
      </c>
      <c r="O72" s="228" t="s">
        <v>336</v>
      </c>
      <c r="P72" s="228" t="s">
        <v>337</v>
      </c>
      <c r="Q72" s="228" t="s">
        <v>338</v>
      </c>
    </row>
    <row r="73" spans="3:25" ht="24">
      <c r="C73" s="281"/>
      <c r="D73" s="282"/>
      <c r="E73" s="282"/>
      <c r="F73" s="282"/>
      <c r="G73" s="282"/>
      <c r="H73" s="282"/>
      <c r="I73" s="282"/>
      <c r="J73" s="287" t="s">
        <v>426</v>
      </c>
      <c r="K73" s="284"/>
      <c r="L73" s="287" t="s">
        <v>427</v>
      </c>
      <c r="N73" s="211" t="s">
        <v>217</v>
      </c>
      <c r="O73" s="212">
        <v>10.8</v>
      </c>
      <c r="P73" s="212">
        <v>3.6</v>
      </c>
      <c r="Q73" s="212">
        <v>2.1</v>
      </c>
    </row>
    <row r="74" spans="3:25">
      <c r="C74" s="277" t="s">
        <v>317</v>
      </c>
      <c r="D74" s="232">
        <v>1</v>
      </c>
      <c r="E74" s="232">
        <v>0.6</v>
      </c>
      <c r="F74" s="232">
        <v>0.2</v>
      </c>
      <c r="G74" s="232">
        <v>0.2</v>
      </c>
      <c r="H74" s="232">
        <v>0.1</v>
      </c>
      <c r="I74" s="232">
        <v>0.4</v>
      </c>
      <c r="J74" s="231" t="s">
        <v>428</v>
      </c>
      <c r="K74" s="231" t="s">
        <v>429</v>
      </c>
      <c r="L74" s="231" t="s">
        <v>412</v>
      </c>
      <c r="N74" s="211" t="s">
        <v>405</v>
      </c>
      <c r="O74" s="212">
        <v>9.6</v>
      </c>
      <c r="P74" s="212">
        <v>2.8</v>
      </c>
      <c r="Q74" s="212">
        <v>1.5</v>
      </c>
    </row>
    <row r="75" spans="3:25" ht="24">
      <c r="C75" s="286"/>
      <c r="D75" s="279"/>
      <c r="E75" s="279"/>
      <c r="F75" s="279"/>
      <c r="G75" s="279"/>
      <c r="H75" s="279"/>
      <c r="I75" s="279"/>
      <c r="J75" s="235" t="s">
        <v>414</v>
      </c>
      <c r="K75" s="235" t="s">
        <v>415</v>
      </c>
      <c r="L75" s="235" t="s">
        <v>416</v>
      </c>
      <c r="N75" s="211" t="s">
        <v>430</v>
      </c>
      <c r="O75" s="212">
        <v>11.8</v>
      </c>
      <c r="P75" s="212">
        <v>3.7</v>
      </c>
      <c r="Q75" s="212">
        <v>2.2999999999999998</v>
      </c>
    </row>
    <row r="76" spans="3:25" ht="24">
      <c r="C76" s="278"/>
      <c r="D76" s="279"/>
      <c r="E76" s="279"/>
      <c r="F76" s="279"/>
      <c r="G76" s="279"/>
      <c r="H76" s="279"/>
      <c r="I76" s="279"/>
      <c r="J76" s="235" t="s">
        <v>418</v>
      </c>
      <c r="K76" s="235" t="s">
        <v>418</v>
      </c>
      <c r="L76" s="235" t="s">
        <v>419</v>
      </c>
      <c r="N76" s="211" t="s">
        <v>431</v>
      </c>
      <c r="O76" s="212">
        <v>11.1</v>
      </c>
      <c r="P76" s="212">
        <v>7.4</v>
      </c>
      <c r="Q76" s="212">
        <v>3</v>
      </c>
    </row>
    <row r="77" spans="3:25">
      <c r="C77" s="278"/>
      <c r="D77" s="279"/>
      <c r="E77" s="279"/>
      <c r="F77" s="279"/>
      <c r="G77" s="279"/>
      <c r="H77" s="279"/>
      <c r="I77" s="279"/>
      <c r="J77" s="235" t="s">
        <v>421</v>
      </c>
      <c r="K77" s="235" t="s">
        <v>421</v>
      </c>
      <c r="L77" s="235" t="s">
        <v>422</v>
      </c>
      <c r="N77" s="238" t="s">
        <v>432</v>
      </c>
      <c r="O77" s="239"/>
      <c r="P77" s="239"/>
      <c r="Q77" s="239"/>
    </row>
    <row r="78" spans="3:25" ht="24">
      <c r="C78" s="278"/>
      <c r="D78" s="279"/>
      <c r="E78" s="279"/>
      <c r="F78" s="279"/>
      <c r="G78" s="279"/>
      <c r="H78" s="279"/>
      <c r="I78" s="279"/>
      <c r="J78" s="235" t="s">
        <v>423</v>
      </c>
      <c r="K78" s="235" t="s">
        <v>424</v>
      </c>
      <c r="L78" s="235" t="s">
        <v>425</v>
      </c>
    </row>
    <row r="79" spans="3:25" ht="24">
      <c r="C79" s="281"/>
      <c r="D79" s="282"/>
      <c r="E79" s="282"/>
      <c r="F79" s="282"/>
      <c r="G79" s="282"/>
      <c r="H79" s="282"/>
      <c r="I79" s="282"/>
      <c r="J79" s="287" t="s">
        <v>433</v>
      </c>
      <c r="K79" s="284"/>
      <c r="L79" s="287" t="s">
        <v>434</v>
      </c>
    </row>
    <row r="80" spans="3:25">
      <c r="C80" s="277" t="s">
        <v>320</v>
      </c>
      <c r="D80" s="232">
        <v>1</v>
      </c>
      <c r="E80" s="232">
        <v>0.6</v>
      </c>
      <c r="F80" s="232">
        <v>0.2</v>
      </c>
      <c r="G80" s="232">
        <v>0.1</v>
      </c>
      <c r="H80" s="232">
        <v>0.1</v>
      </c>
      <c r="I80" s="232">
        <v>0.4</v>
      </c>
      <c r="J80" s="231" t="s">
        <v>435</v>
      </c>
      <c r="K80" s="231" t="s">
        <v>436</v>
      </c>
      <c r="L80" s="231" t="s">
        <v>437</v>
      </c>
    </row>
    <row r="81" spans="3:12">
      <c r="C81" s="286"/>
      <c r="D81" s="279"/>
      <c r="E81" s="279"/>
      <c r="F81" s="279"/>
      <c r="G81" s="279"/>
      <c r="H81" s="279"/>
      <c r="I81" s="279"/>
      <c r="J81" s="235" t="s">
        <v>414</v>
      </c>
      <c r="K81" s="235" t="s">
        <v>415</v>
      </c>
      <c r="L81" s="235" t="s">
        <v>416</v>
      </c>
    </row>
    <row r="82" spans="3:12">
      <c r="C82" s="278"/>
      <c r="D82" s="279"/>
      <c r="E82" s="279"/>
      <c r="F82" s="279"/>
      <c r="G82" s="279"/>
      <c r="H82" s="279"/>
      <c r="I82" s="279"/>
      <c r="J82" s="235" t="s">
        <v>418</v>
      </c>
      <c r="K82" s="235" t="s">
        <v>418</v>
      </c>
      <c r="L82" s="235" t="s">
        <v>419</v>
      </c>
    </row>
    <row r="83" spans="3:12">
      <c r="C83" s="278"/>
      <c r="D83" s="279"/>
      <c r="E83" s="279"/>
      <c r="F83" s="279"/>
      <c r="G83" s="279"/>
      <c r="H83" s="279"/>
      <c r="I83" s="279"/>
      <c r="J83" s="235" t="s">
        <v>421</v>
      </c>
      <c r="K83" s="235" t="s">
        <v>421</v>
      </c>
      <c r="L83" s="235" t="s">
        <v>422</v>
      </c>
    </row>
    <row r="84" spans="3:12" ht="24">
      <c r="C84" s="278"/>
      <c r="D84" s="279"/>
      <c r="E84" s="279"/>
      <c r="F84" s="279"/>
      <c r="G84" s="279"/>
      <c r="H84" s="279"/>
      <c r="I84" s="279"/>
      <c r="J84" s="235" t="s">
        <v>423</v>
      </c>
      <c r="K84" s="235" t="s">
        <v>424</v>
      </c>
      <c r="L84" s="235" t="s">
        <v>425</v>
      </c>
    </row>
    <row r="85" spans="3:12" ht="24">
      <c r="C85" s="281"/>
      <c r="D85" s="282"/>
      <c r="E85" s="282"/>
      <c r="F85" s="282"/>
      <c r="G85" s="282"/>
      <c r="H85" s="282"/>
      <c r="I85" s="282"/>
      <c r="J85" s="287" t="s">
        <v>438</v>
      </c>
      <c r="K85" s="284"/>
      <c r="L85" s="287" t="s">
        <v>439</v>
      </c>
    </row>
    <row r="86" spans="3:12">
      <c r="C86" s="277" t="s">
        <v>322</v>
      </c>
      <c r="D86" s="232">
        <v>0.9</v>
      </c>
      <c r="E86" s="232">
        <v>0.7</v>
      </c>
      <c r="F86" s="232">
        <v>0.2</v>
      </c>
      <c r="G86" s="232">
        <v>0.1</v>
      </c>
      <c r="H86" s="232">
        <v>0.1</v>
      </c>
      <c r="I86" s="232">
        <v>0.5</v>
      </c>
      <c r="J86" s="231" t="s">
        <v>410</v>
      </c>
      <c r="K86" s="231" t="s">
        <v>411</v>
      </c>
      <c r="L86" s="231" t="s">
        <v>440</v>
      </c>
    </row>
    <row r="87" spans="3:12">
      <c r="C87" s="278"/>
      <c r="D87" s="279"/>
      <c r="E87" s="279"/>
      <c r="F87" s="279"/>
      <c r="G87" s="279"/>
      <c r="H87" s="279"/>
      <c r="I87" s="279"/>
      <c r="J87" s="235" t="s">
        <v>414</v>
      </c>
      <c r="K87" s="235" t="s">
        <v>415</v>
      </c>
      <c r="L87" s="235" t="s">
        <v>416</v>
      </c>
    </row>
    <row r="88" spans="3:12">
      <c r="C88" s="278"/>
      <c r="D88" s="279"/>
      <c r="E88" s="279"/>
      <c r="F88" s="279"/>
      <c r="G88" s="279"/>
      <c r="H88" s="279"/>
      <c r="I88" s="279"/>
      <c r="J88" s="235" t="s">
        <v>418</v>
      </c>
      <c r="K88" s="235" t="s">
        <v>418</v>
      </c>
      <c r="L88" s="235" t="s">
        <v>419</v>
      </c>
    </row>
    <row r="89" spans="3:12">
      <c r="C89" s="278"/>
      <c r="D89" s="279"/>
      <c r="E89" s="279"/>
      <c r="F89" s="279"/>
      <c r="G89" s="279"/>
      <c r="H89" s="279"/>
      <c r="I89" s="279"/>
      <c r="J89" s="235" t="s">
        <v>421</v>
      </c>
      <c r="K89" s="235" t="s">
        <v>421</v>
      </c>
      <c r="L89" s="235" t="s">
        <v>422</v>
      </c>
    </row>
    <row r="90" spans="3:12" ht="24">
      <c r="C90" s="278"/>
      <c r="D90" s="279"/>
      <c r="E90" s="279"/>
      <c r="F90" s="279"/>
      <c r="G90" s="279"/>
      <c r="H90" s="279"/>
      <c r="I90" s="279"/>
      <c r="J90" s="235" t="s">
        <v>423</v>
      </c>
      <c r="K90" s="235" t="s">
        <v>424</v>
      </c>
      <c r="L90" s="235" t="s">
        <v>425</v>
      </c>
    </row>
    <row r="91" spans="3:12" ht="24">
      <c r="C91" s="281"/>
      <c r="D91" s="282"/>
      <c r="E91" s="282"/>
      <c r="F91" s="282"/>
      <c r="G91" s="282"/>
      <c r="H91" s="282"/>
      <c r="I91" s="282"/>
      <c r="J91" s="287" t="s">
        <v>426</v>
      </c>
      <c r="K91" s="284"/>
      <c r="L91" s="287" t="s">
        <v>427</v>
      </c>
    </row>
    <row r="92" spans="3:12">
      <c r="C92" s="277" t="s">
        <v>325</v>
      </c>
      <c r="D92" s="232">
        <v>0.5</v>
      </c>
      <c r="E92" s="232">
        <v>0.4</v>
      </c>
      <c r="F92" s="232">
        <v>0.1</v>
      </c>
      <c r="G92" s="232">
        <v>0</v>
      </c>
      <c r="H92" s="232">
        <v>0</v>
      </c>
      <c r="I92" s="232">
        <v>0.3</v>
      </c>
      <c r="J92" s="231" t="s">
        <v>441</v>
      </c>
      <c r="K92" s="231" t="s">
        <v>442</v>
      </c>
      <c r="L92" s="231" t="s">
        <v>443</v>
      </c>
    </row>
    <row r="93" spans="3:12">
      <c r="C93" s="288"/>
      <c r="D93" s="289"/>
      <c r="E93" s="289"/>
      <c r="F93" s="289"/>
      <c r="G93" s="289"/>
      <c r="H93" s="289"/>
      <c r="I93" s="289"/>
      <c r="J93" s="235" t="s">
        <v>414</v>
      </c>
      <c r="K93" s="235" t="s">
        <v>415</v>
      </c>
      <c r="L93" s="235" t="s">
        <v>416</v>
      </c>
    </row>
    <row r="94" spans="3:12">
      <c r="C94" s="288"/>
      <c r="D94" s="288"/>
      <c r="E94" s="288"/>
      <c r="F94" s="288"/>
      <c r="G94" s="288"/>
      <c r="H94" s="288"/>
      <c r="I94" s="290"/>
      <c r="J94" s="235" t="s">
        <v>418</v>
      </c>
      <c r="K94" s="235" t="s">
        <v>418</v>
      </c>
      <c r="L94" s="235" t="s">
        <v>419</v>
      </c>
    </row>
    <row r="95" spans="3:12">
      <c r="C95" s="288"/>
      <c r="D95" s="288"/>
      <c r="E95" s="288"/>
      <c r="F95" s="288"/>
      <c r="G95" s="288"/>
      <c r="H95" s="288"/>
      <c r="I95" s="290"/>
      <c r="J95" s="235" t="s">
        <v>421</v>
      </c>
      <c r="K95" s="235" t="s">
        <v>421</v>
      </c>
      <c r="L95" s="235" t="s">
        <v>422</v>
      </c>
    </row>
    <row r="96" spans="3:12" ht="24">
      <c r="C96" s="288"/>
      <c r="D96" s="288"/>
      <c r="E96" s="288"/>
      <c r="F96" s="288"/>
      <c r="G96" s="288"/>
      <c r="H96" s="288"/>
      <c r="I96" s="290"/>
      <c r="J96" s="235" t="s">
        <v>423</v>
      </c>
      <c r="K96" s="235" t="s">
        <v>424</v>
      </c>
      <c r="L96" s="235" t="s">
        <v>425</v>
      </c>
    </row>
    <row r="97" spans="1:47" ht="24">
      <c r="C97" s="291"/>
      <c r="D97" s="292"/>
      <c r="E97" s="293"/>
      <c r="F97" s="291"/>
      <c r="G97" s="291"/>
      <c r="H97" s="291"/>
      <c r="I97" s="292"/>
      <c r="J97" s="287" t="s">
        <v>444</v>
      </c>
      <c r="K97" s="284"/>
      <c r="L97" s="287" t="s">
        <v>445</v>
      </c>
    </row>
    <row r="99" spans="1:47">
      <c r="A99" s="130" t="s">
        <v>446</v>
      </c>
    </row>
    <row r="100" spans="1:47">
      <c r="B100" s="85" t="s">
        <v>447</v>
      </c>
    </row>
    <row r="101" spans="1:47">
      <c r="B101" s="85" t="s">
        <v>448</v>
      </c>
    </row>
    <row r="102" spans="1:47">
      <c r="B102" s="85" t="s">
        <v>449</v>
      </c>
    </row>
    <row r="103" spans="1:47">
      <c r="C103" s="85" t="s">
        <v>450</v>
      </c>
      <c r="J103" s="294" t="s">
        <v>451</v>
      </c>
    </row>
    <row r="104" spans="1:47">
      <c r="C104" s="85" t="s">
        <v>452</v>
      </c>
      <c r="J104" s="85" t="s">
        <v>453</v>
      </c>
      <c r="AM104" s="97" t="s">
        <v>454</v>
      </c>
      <c r="AN104" s="180"/>
      <c r="AO104" s="180"/>
      <c r="AP104" s="180"/>
      <c r="AQ104" s="180"/>
      <c r="AR104" s="180"/>
      <c r="AS104" s="180"/>
      <c r="AT104" s="180"/>
      <c r="AU104" s="138"/>
    </row>
    <row r="105" spans="1:47">
      <c r="C105" s="85" t="s">
        <v>455</v>
      </c>
      <c r="J105" s="85" t="s">
        <v>456</v>
      </c>
      <c r="AC105" s="97" t="s">
        <v>457</v>
      </c>
      <c r="AD105" s="180"/>
      <c r="AE105" s="180"/>
      <c r="AF105" s="180"/>
      <c r="AG105" s="180"/>
      <c r="AH105" s="180"/>
      <c r="AI105" s="180"/>
      <c r="AJ105" s="180"/>
      <c r="AK105" s="138"/>
      <c r="AM105" s="102" t="s">
        <v>458</v>
      </c>
      <c r="AN105" s="103"/>
      <c r="AO105" s="103"/>
      <c r="AP105" s="103"/>
      <c r="AQ105" s="103"/>
      <c r="AR105" s="103"/>
      <c r="AS105" s="103"/>
      <c r="AT105" s="103"/>
      <c r="AU105" s="104"/>
    </row>
    <row r="106" spans="1:47">
      <c r="C106" s="85" t="s">
        <v>459</v>
      </c>
      <c r="AC106" s="102" t="s">
        <v>460</v>
      </c>
      <c r="AD106" s="103"/>
      <c r="AE106" s="103"/>
      <c r="AF106" s="103"/>
      <c r="AG106" s="103"/>
      <c r="AH106" s="103"/>
      <c r="AI106" s="103"/>
      <c r="AJ106" s="103"/>
      <c r="AK106" s="104"/>
      <c r="AM106" s="102" t="s">
        <v>461</v>
      </c>
      <c r="AN106" s="103"/>
      <c r="AO106" s="103"/>
      <c r="AP106" s="103"/>
      <c r="AQ106" s="103"/>
      <c r="AR106" s="103"/>
      <c r="AS106" s="103"/>
      <c r="AT106" s="103"/>
      <c r="AU106" s="104"/>
    </row>
    <row r="107" spans="1:47">
      <c r="AC107" s="102" t="s">
        <v>462</v>
      </c>
      <c r="AD107" s="103"/>
      <c r="AE107" s="103"/>
      <c r="AF107" s="103"/>
      <c r="AG107" s="103"/>
      <c r="AH107" s="103"/>
      <c r="AI107" s="103"/>
      <c r="AJ107" s="103"/>
      <c r="AK107" s="104"/>
      <c r="AM107" s="102" t="s">
        <v>463</v>
      </c>
      <c r="AN107" s="103"/>
      <c r="AO107" s="103"/>
      <c r="AP107" s="103"/>
      <c r="AQ107" s="103"/>
      <c r="AR107" s="103"/>
      <c r="AS107" s="103"/>
      <c r="AT107" s="103"/>
      <c r="AU107" s="104"/>
    </row>
    <row r="108" spans="1:47" ht="14.25">
      <c r="B108" s="295"/>
      <c r="AC108" s="102" t="s">
        <v>464</v>
      </c>
      <c r="AD108" s="103"/>
      <c r="AE108" s="103"/>
      <c r="AF108" s="103"/>
      <c r="AG108" s="103"/>
      <c r="AH108" s="103"/>
      <c r="AI108" s="103"/>
      <c r="AJ108" s="103"/>
      <c r="AK108" s="104"/>
      <c r="AM108" s="102" t="s">
        <v>465</v>
      </c>
      <c r="AN108" s="103"/>
      <c r="AO108" s="103"/>
      <c r="AP108" s="103"/>
      <c r="AQ108" s="103"/>
      <c r="AR108" s="103"/>
      <c r="AS108" s="103"/>
      <c r="AT108" s="103"/>
      <c r="AU108" s="104"/>
    </row>
    <row r="109" spans="1:47" ht="14.25">
      <c r="B109" s="296"/>
      <c r="C109" s="624" t="s">
        <v>466</v>
      </c>
      <c r="D109" s="625"/>
      <c r="E109" s="625"/>
      <c r="F109" s="625"/>
      <c r="G109" s="625"/>
      <c r="J109" s="626" t="s">
        <v>467</v>
      </c>
      <c r="K109" s="626"/>
      <c r="L109" s="626"/>
      <c r="M109" s="626"/>
      <c r="O109" s="624" t="s">
        <v>468</v>
      </c>
      <c r="P109" s="625"/>
      <c r="Q109" s="625"/>
      <c r="R109" s="625"/>
      <c r="S109" s="625"/>
      <c r="AC109" s="102" t="s">
        <v>469</v>
      </c>
      <c r="AD109" s="103"/>
      <c r="AE109" s="103"/>
      <c r="AF109" s="103"/>
      <c r="AG109" s="103"/>
      <c r="AH109" s="103"/>
      <c r="AI109" s="103"/>
      <c r="AJ109" s="103"/>
      <c r="AK109" s="104"/>
      <c r="AM109" s="102" t="s">
        <v>470</v>
      </c>
      <c r="AN109" s="103"/>
      <c r="AO109" s="103"/>
      <c r="AP109" s="103"/>
      <c r="AQ109" s="103"/>
      <c r="AR109" s="103"/>
      <c r="AS109" s="103"/>
      <c r="AT109" s="103"/>
      <c r="AU109" s="104"/>
    </row>
    <row r="110" spans="1:47" ht="48">
      <c r="B110" s="297"/>
      <c r="C110" s="298" t="s">
        <v>471</v>
      </c>
      <c r="D110" s="298" t="s">
        <v>233</v>
      </c>
      <c r="E110" s="299" t="s">
        <v>472</v>
      </c>
      <c r="F110" s="300" t="s">
        <v>473</v>
      </c>
      <c r="G110" s="301" t="s">
        <v>303</v>
      </c>
      <c r="J110" s="298" t="s">
        <v>474</v>
      </c>
      <c r="K110" s="298" t="s">
        <v>475</v>
      </c>
      <c r="L110" s="298" t="s">
        <v>476</v>
      </c>
      <c r="M110" s="302" t="s">
        <v>477</v>
      </c>
      <c r="O110" s="298" t="s">
        <v>471</v>
      </c>
      <c r="P110" s="298" t="s">
        <v>233</v>
      </c>
      <c r="Q110" s="299" t="s">
        <v>472</v>
      </c>
      <c r="R110" s="300" t="s">
        <v>473</v>
      </c>
      <c r="S110" s="301" t="s">
        <v>303</v>
      </c>
      <c r="U110" s="229"/>
      <c r="V110" s="276" t="s">
        <v>208</v>
      </c>
      <c r="W110" s="276" t="s">
        <v>209</v>
      </c>
      <c r="X110" s="276" t="s">
        <v>210</v>
      </c>
      <c r="Y110" s="276" t="s">
        <v>339</v>
      </c>
      <c r="Z110" s="303" t="s">
        <v>340</v>
      </c>
      <c r="AA110" s="303" t="s">
        <v>204</v>
      </c>
      <c r="AC110" s="102" t="s">
        <v>478</v>
      </c>
      <c r="AD110" s="103"/>
      <c r="AE110" s="103"/>
      <c r="AF110" s="103"/>
      <c r="AG110" s="103"/>
      <c r="AH110" s="103"/>
      <c r="AI110" s="103"/>
      <c r="AJ110" s="103"/>
      <c r="AK110" s="104"/>
      <c r="AM110" s="102" t="s">
        <v>479</v>
      </c>
      <c r="AN110" s="103"/>
      <c r="AO110" s="103"/>
      <c r="AP110" s="103"/>
      <c r="AQ110" s="103"/>
      <c r="AR110" s="103"/>
      <c r="AS110" s="103"/>
      <c r="AT110" s="103"/>
      <c r="AU110" s="104"/>
    </row>
    <row r="111" spans="1:47">
      <c r="B111" s="304"/>
      <c r="C111" s="305" t="s">
        <v>480</v>
      </c>
      <c r="D111" s="306">
        <v>23</v>
      </c>
      <c r="E111" s="307">
        <v>16</v>
      </c>
      <c r="F111" s="308"/>
      <c r="G111" s="309">
        <v>7</v>
      </c>
      <c r="J111" s="310" t="s">
        <v>481</v>
      </c>
      <c r="K111" s="311">
        <v>76</v>
      </c>
      <c r="L111" s="312">
        <v>0.7</v>
      </c>
      <c r="M111" s="313">
        <v>0.46</v>
      </c>
      <c r="O111" s="305" t="s">
        <v>480</v>
      </c>
      <c r="P111" s="314">
        <v>840</v>
      </c>
      <c r="Q111" s="311">
        <v>730</v>
      </c>
      <c r="R111" s="315"/>
      <c r="S111" s="314">
        <v>7190</v>
      </c>
      <c r="U111" s="214" t="s">
        <v>211</v>
      </c>
      <c r="V111" s="316">
        <f>D125</f>
        <v>16</v>
      </c>
      <c r="W111" s="316">
        <f>E125</f>
        <v>12</v>
      </c>
      <c r="X111" s="316">
        <f>G125</f>
        <v>4.5</v>
      </c>
      <c r="Y111" s="316">
        <f>P111/8760*24</f>
        <v>2.3013698630136985</v>
      </c>
      <c r="Z111" s="316">
        <f>Q111/8760*24</f>
        <v>2</v>
      </c>
      <c r="AA111" s="317">
        <f>M125</f>
        <v>0.79</v>
      </c>
      <c r="AC111" s="102" t="s">
        <v>482</v>
      </c>
      <c r="AD111" s="103"/>
      <c r="AE111" s="103"/>
      <c r="AF111" s="103"/>
      <c r="AG111" s="103"/>
      <c r="AH111" s="103"/>
      <c r="AI111" s="103"/>
      <c r="AJ111" s="103"/>
      <c r="AK111" s="104"/>
      <c r="AM111" s="102"/>
      <c r="AN111" s="103"/>
      <c r="AO111" s="103"/>
      <c r="AP111" s="103"/>
      <c r="AQ111" s="103"/>
      <c r="AR111" s="103"/>
      <c r="AS111" s="103"/>
      <c r="AT111" s="103"/>
      <c r="AU111" s="104"/>
    </row>
    <row r="112" spans="1:47" ht="25.5">
      <c r="B112" s="304"/>
      <c r="C112" s="305" t="s">
        <v>483</v>
      </c>
      <c r="D112" s="306">
        <v>45</v>
      </c>
      <c r="E112" s="307">
        <v>43</v>
      </c>
      <c r="F112" s="308"/>
      <c r="G112" s="309">
        <v>3</v>
      </c>
      <c r="J112" s="310" t="s">
        <v>484</v>
      </c>
      <c r="K112" s="311">
        <v>50</v>
      </c>
      <c r="L112" s="312">
        <v>0.4</v>
      </c>
      <c r="M112" s="313">
        <v>0.4</v>
      </c>
      <c r="O112" s="305" t="s">
        <v>483</v>
      </c>
      <c r="P112" s="314">
        <v>1580</v>
      </c>
      <c r="Q112" s="311">
        <v>730</v>
      </c>
      <c r="R112" s="315"/>
      <c r="S112" s="314">
        <v>6450</v>
      </c>
      <c r="U112" s="214" t="s">
        <v>213</v>
      </c>
      <c r="V112" s="316">
        <f>D113</f>
        <v>14</v>
      </c>
      <c r="W112" s="316">
        <f>E113</f>
        <v>10.7</v>
      </c>
      <c r="X112" s="316">
        <f>G113</f>
        <v>2.9</v>
      </c>
      <c r="Y112" s="316">
        <f>P113/8760*24</f>
        <v>0.86301369863013688</v>
      </c>
      <c r="Z112" s="316">
        <f>Q113/8760*24</f>
        <v>2.4657534246575343</v>
      </c>
      <c r="AA112" s="317">
        <f>M113</f>
        <v>0.74</v>
      </c>
      <c r="AC112" s="102" t="s">
        <v>485</v>
      </c>
      <c r="AD112" s="103"/>
      <c r="AE112" s="103"/>
      <c r="AF112" s="103"/>
      <c r="AG112" s="103"/>
      <c r="AH112" s="103"/>
      <c r="AI112" s="103"/>
      <c r="AJ112" s="103"/>
      <c r="AK112" s="104"/>
      <c r="AM112" s="102" t="s">
        <v>486</v>
      </c>
      <c r="AN112" s="103"/>
      <c r="AO112" s="103"/>
      <c r="AP112" s="103"/>
      <c r="AQ112" s="103"/>
      <c r="AR112" s="103"/>
      <c r="AS112" s="103"/>
      <c r="AT112" s="103"/>
      <c r="AU112" s="104"/>
    </row>
    <row r="113" spans="1:47" ht="38.25">
      <c r="B113" s="304"/>
      <c r="C113" s="305" t="s">
        <v>487</v>
      </c>
      <c r="D113" s="306">
        <v>14</v>
      </c>
      <c r="E113" s="318">
        <v>10.7</v>
      </c>
      <c r="F113" s="308"/>
      <c r="G113" s="319">
        <v>2.9</v>
      </c>
      <c r="J113" s="310" t="s">
        <v>213</v>
      </c>
      <c r="K113" s="311">
        <v>120</v>
      </c>
      <c r="L113" s="312">
        <v>1</v>
      </c>
      <c r="M113" s="313">
        <v>0.74</v>
      </c>
      <c r="O113" s="305" t="s">
        <v>487</v>
      </c>
      <c r="P113" s="314">
        <v>315</v>
      </c>
      <c r="Q113" s="311">
        <v>900</v>
      </c>
      <c r="R113" s="315"/>
      <c r="S113" s="314">
        <v>7545</v>
      </c>
      <c r="U113" s="214" t="s">
        <v>216</v>
      </c>
      <c r="V113" s="316"/>
      <c r="W113" s="316"/>
      <c r="X113" s="316"/>
      <c r="Y113" s="316"/>
      <c r="Z113" s="316"/>
      <c r="AA113" s="229"/>
      <c r="AC113" s="102" t="s">
        <v>488</v>
      </c>
      <c r="AD113" s="103"/>
      <c r="AE113" s="103"/>
      <c r="AF113" s="103"/>
      <c r="AG113" s="103"/>
      <c r="AH113" s="103"/>
      <c r="AI113" s="103"/>
      <c r="AJ113" s="103"/>
      <c r="AK113" s="104"/>
      <c r="AM113" s="102" t="s">
        <v>489</v>
      </c>
      <c r="AN113" s="103"/>
      <c r="AO113" s="103"/>
      <c r="AP113" s="103"/>
      <c r="AQ113" s="103"/>
      <c r="AR113" s="103"/>
      <c r="AS113" s="103"/>
      <c r="AT113" s="103"/>
      <c r="AU113" s="104"/>
    </row>
    <row r="114" spans="1:47">
      <c r="B114" s="304"/>
      <c r="C114" s="320" t="s">
        <v>490</v>
      </c>
      <c r="D114" s="321">
        <v>38</v>
      </c>
      <c r="E114" s="322">
        <v>34</v>
      </c>
      <c r="F114" s="323"/>
      <c r="G114" s="324">
        <v>0.6</v>
      </c>
      <c r="J114" s="325" t="s">
        <v>491</v>
      </c>
      <c r="K114" s="326">
        <v>25</v>
      </c>
      <c r="L114" s="327">
        <v>0.22</v>
      </c>
      <c r="M114" s="328">
        <v>0.17</v>
      </c>
      <c r="O114" s="320" t="s">
        <v>490</v>
      </c>
      <c r="P114" s="329">
        <v>1580</v>
      </c>
      <c r="Q114" s="326">
        <v>730</v>
      </c>
      <c r="R114" s="330"/>
      <c r="S114" s="329">
        <v>6450</v>
      </c>
      <c r="U114" s="214" t="s">
        <v>214</v>
      </c>
      <c r="V114" s="316">
        <f>D117</f>
        <v>42</v>
      </c>
      <c r="W114" s="316">
        <f>E117</f>
        <v>0</v>
      </c>
      <c r="X114" s="316">
        <f>G117</f>
        <v>1</v>
      </c>
      <c r="Y114" s="316">
        <f>P117/8760*24</f>
        <v>5.0986301369863014</v>
      </c>
      <c r="Z114" s="316">
        <f>R117/8760*24</f>
        <v>2.3808219178082193</v>
      </c>
      <c r="AA114" s="317">
        <f>M117</f>
        <v>0.64</v>
      </c>
      <c r="AC114" s="102" t="s">
        <v>492</v>
      </c>
      <c r="AD114" s="103"/>
      <c r="AE114" s="103"/>
      <c r="AF114" s="103"/>
      <c r="AG114" s="103"/>
      <c r="AH114" s="103"/>
      <c r="AI114" s="103"/>
      <c r="AJ114" s="103"/>
      <c r="AK114" s="104"/>
      <c r="AM114" s="102" t="s">
        <v>493</v>
      </c>
      <c r="AN114" s="103"/>
      <c r="AO114" s="103"/>
      <c r="AP114" s="103"/>
      <c r="AQ114" s="103"/>
      <c r="AR114" s="103"/>
      <c r="AS114" s="103"/>
      <c r="AT114" s="103"/>
      <c r="AU114" s="104"/>
    </row>
    <row r="115" spans="1:47">
      <c r="B115" s="304"/>
      <c r="C115" s="320" t="s">
        <v>494</v>
      </c>
      <c r="D115" s="331">
        <v>10.5</v>
      </c>
      <c r="E115" s="332">
        <v>4.7</v>
      </c>
      <c r="F115" s="323"/>
      <c r="G115" s="333">
        <v>2.8</v>
      </c>
      <c r="J115" s="325" t="s">
        <v>495</v>
      </c>
      <c r="K115" s="326">
        <v>101</v>
      </c>
      <c r="L115" s="334">
        <v>0.9</v>
      </c>
      <c r="M115" s="328">
        <v>0.68</v>
      </c>
      <c r="O115" s="320" t="s">
        <v>494</v>
      </c>
      <c r="P115" s="329">
        <v>136</v>
      </c>
      <c r="Q115" s="326">
        <v>163</v>
      </c>
      <c r="R115" s="330"/>
      <c r="S115" s="329">
        <v>8461</v>
      </c>
      <c r="U115" s="214" t="s">
        <v>212</v>
      </c>
      <c r="V115" s="316">
        <f>D115</f>
        <v>10.5</v>
      </c>
      <c r="W115" s="316">
        <f>E115</f>
        <v>4.7</v>
      </c>
      <c r="X115" s="316">
        <f>G115</f>
        <v>2.8</v>
      </c>
      <c r="Y115" s="316">
        <f>P115/8760*24</f>
        <v>0.37260273972602742</v>
      </c>
      <c r="Z115" s="316">
        <f>Q115/8760*24</f>
        <v>0.44657534246575348</v>
      </c>
      <c r="AA115" s="317">
        <f>M115</f>
        <v>0.68</v>
      </c>
      <c r="AC115" s="102" t="s">
        <v>496</v>
      </c>
      <c r="AD115" s="103"/>
      <c r="AE115" s="103"/>
      <c r="AF115" s="103"/>
      <c r="AG115" s="103"/>
      <c r="AH115" s="103"/>
      <c r="AI115" s="103"/>
      <c r="AJ115" s="103"/>
      <c r="AK115" s="104"/>
      <c r="AM115" s="102" t="s">
        <v>497</v>
      </c>
      <c r="AN115" s="103"/>
      <c r="AO115" s="103"/>
      <c r="AP115" s="103"/>
      <c r="AQ115" s="103"/>
      <c r="AR115" s="103"/>
      <c r="AS115" s="103"/>
      <c r="AT115" s="103"/>
      <c r="AU115" s="104"/>
    </row>
    <row r="116" spans="1:47" ht="24">
      <c r="B116" s="304"/>
      <c r="C116" s="305" t="s">
        <v>498</v>
      </c>
      <c r="D116" s="306">
        <v>6</v>
      </c>
      <c r="E116" s="335"/>
      <c r="F116" s="308"/>
      <c r="G116" s="336"/>
      <c r="J116" s="310" t="s">
        <v>499</v>
      </c>
      <c r="K116" s="311">
        <v>46</v>
      </c>
      <c r="L116" s="337">
        <v>0.4</v>
      </c>
      <c r="M116" s="313">
        <v>0.4</v>
      </c>
      <c r="O116" s="305" t="s">
        <v>498</v>
      </c>
      <c r="P116" s="314">
        <v>8760</v>
      </c>
      <c r="Q116" s="337"/>
      <c r="R116" s="315"/>
      <c r="S116" s="290"/>
      <c r="U116" s="214" t="s">
        <v>217</v>
      </c>
      <c r="V116" s="316"/>
      <c r="W116" s="316"/>
      <c r="X116" s="316"/>
      <c r="Y116" s="316"/>
      <c r="Z116" s="316"/>
      <c r="AA116" s="229"/>
      <c r="AC116" s="122" t="s">
        <v>500</v>
      </c>
      <c r="AD116" s="123"/>
      <c r="AE116" s="123"/>
      <c r="AF116" s="123"/>
      <c r="AG116" s="123"/>
      <c r="AH116" s="123"/>
      <c r="AI116" s="123"/>
      <c r="AJ116" s="123"/>
      <c r="AK116" s="135"/>
      <c r="AM116" s="102" t="s">
        <v>501</v>
      </c>
      <c r="AN116" s="103"/>
      <c r="AO116" s="103"/>
      <c r="AP116" s="103"/>
      <c r="AQ116" s="103"/>
      <c r="AR116" s="103"/>
      <c r="AS116" s="103"/>
      <c r="AT116" s="103"/>
      <c r="AU116" s="104"/>
    </row>
    <row r="117" spans="1:47">
      <c r="B117" s="304"/>
      <c r="C117" s="305" t="s">
        <v>502</v>
      </c>
      <c r="D117" s="306">
        <v>42</v>
      </c>
      <c r="E117" s="318"/>
      <c r="F117" s="309">
        <v>1</v>
      </c>
      <c r="G117" s="309">
        <v>1</v>
      </c>
      <c r="J117" s="310" t="s">
        <v>503</v>
      </c>
      <c r="K117" s="311">
        <v>90</v>
      </c>
      <c r="L117" s="312">
        <v>0.8</v>
      </c>
      <c r="M117" s="313">
        <v>0.64</v>
      </c>
      <c r="O117" s="305" t="s">
        <v>502</v>
      </c>
      <c r="P117" s="314">
        <v>1861</v>
      </c>
      <c r="Q117" s="312"/>
      <c r="R117" s="314">
        <v>869</v>
      </c>
      <c r="S117" s="314">
        <v>6029</v>
      </c>
      <c r="U117" s="229"/>
      <c r="V117" s="316"/>
      <c r="W117" s="316"/>
      <c r="X117" s="316"/>
      <c r="Y117" s="316"/>
      <c r="Z117" s="316"/>
      <c r="AA117" s="229"/>
      <c r="AD117" s="103"/>
      <c r="AE117" s="103"/>
      <c r="AF117" s="103"/>
      <c r="AG117" s="103"/>
      <c r="AH117" s="103"/>
      <c r="AI117" s="103"/>
      <c r="AJ117" s="103"/>
      <c r="AK117" s="103"/>
      <c r="AM117" s="102" t="s">
        <v>504</v>
      </c>
      <c r="AN117" s="103"/>
      <c r="AO117" s="103"/>
      <c r="AP117" s="103"/>
      <c r="AQ117" s="103"/>
      <c r="AR117" s="103"/>
      <c r="AS117" s="103"/>
      <c r="AT117" s="103"/>
      <c r="AU117" s="104"/>
    </row>
    <row r="118" spans="1:47">
      <c r="B118" s="304"/>
      <c r="C118" s="305" t="s">
        <v>505</v>
      </c>
      <c r="D118" s="306">
        <v>25</v>
      </c>
      <c r="E118" s="318"/>
      <c r="F118" s="309">
        <v>2</v>
      </c>
      <c r="G118" s="309">
        <v>2</v>
      </c>
      <c r="J118" s="310" t="s">
        <v>506</v>
      </c>
      <c r="K118" s="311">
        <v>90</v>
      </c>
      <c r="L118" s="312">
        <v>0.8</v>
      </c>
      <c r="M118" s="313">
        <v>0.64</v>
      </c>
      <c r="O118" s="305" t="s">
        <v>505</v>
      </c>
      <c r="P118" s="314">
        <v>2968</v>
      </c>
      <c r="Q118" s="312"/>
      <c r="R118" s="314">
        <v>333</v>
      </c>
      <c r="S118" s="314">
        <v>5457</v>
      </c>
      <c r="U118" s="229"/>
      <c r="V118" s="316"/>
      <c r="W118" s="316"/>
      <c r="X118" s="316"/>
      <c r="Y118" s="316"/>
      <c r="Z118" s="316"/>
      <c r="AA118" s="229"/>
      <c r="AM118" s="102" t="s">
        <v>507</v>
      </c>
      <c r="AN118" s="103"/>
      <c r="AO118" s="103"/>
      <c r="AP118" s="103"/>
      <c r="AQ118" s="103"/>
      <c r="AR118" s="103"/>
      <c r="AS118" s="103"/>
      <c r="AT118" s="103"/>
      <c r="AU118" s="104"/>
    </row>
    <row r="119" spans="1:47" ht="24" customHeight="1">
      <c r="B119" s="304"/>
      <c r="C119" s="305" t="s">
        <v>508</v>
      </c>
      <c r="D119" s="306">
        <v>75</v>
      </c>
      <c r="E119" s="335"/>
      <c r="F119" s="309">
        <v>4</v>
      </c>
      <c r="G119" s="309">
        <v>2</v>
      </c>
      <c r="J119" s="310" t="s">
        <v>509</v>
      </c>
      <c r="K119" s="311">
        <v>39</v>
      </c>
      <c r="L119" s="337">
        <v>0.34</v>
      </c>
      <c r="M119" s="313">
        <v>0.25</v>
      </c>
      <c r="O119" s="305" t="s">
        <v>508</v>
      </c>
      <c r="P119" s="314">
        <v>2383</v>
      </c>
      <c r="Q119" s="337"/>
      <c r="R119" s="314">
        <v>918</v>
      </c>
      <c r="S119" s="314">
        <v>5458</v>
      </c>
      <c r="U119" s="214" t="s">
        <v>202</v>
      </c>
      <c r="V119" s="316"/>
      <c r="W119" s="316"/>
      <c r="X119" s="316"/>
      <c r="Y119" s="316">
        <f>P123/8760*24</f>
        <v>5.205479452054794</v>
      </c>
      <c r="Z119" s="316"/>
      <c r="AA119" s="229"/>
      <c r="AM119" s="102" t="s">
        <v>510</v>
      </c>
      <c r="AN119" s="103"/>
      <c r="AO119" s="103"/>
      <c r="AP119" s="103"/>
      <c r="AQ119" s="103"/>
      <c r="AR119" s="103"/>
      <c r="AS119" s="103"/>
      <c r="AT119" s="103"/>
      <c r="AU119" s="104"/>
    </row>
    <row r="120" spans="1:47" ht="36" customHeight="1">
      <c r="B120" s="304"/>
      <c r="C120" s="305" t="s">
        <v>511</v>
      </c>
      <c r="D120" s="627" t="s">
        <v>512</v>
      </c>
      <c r="E120" s="628"/>
      <c r="F120" s="338"/>
      <c r="G120" s="336"/>
      <c r="J120" s="310" t="s">
        <v>513</v>
      </c>
      <c r="K120" s="311">
        <v>590</v>
      </c>
      <c r="L120" s="311">
        <v>5</v>
      </c>
      <c r="M120" s="313" t="s">
        <v>514</v>
      </c>
      <c r="O120" s="305" t="s">
        <v>511</v>
      </c>
      <c r="P120" s="629" t="s">
        <v>512</v>
      </c>
      <c r="Q120" s="629"/>
      <c r="R120" s="629"/>
      <c r="S120" s="290"/>
      <c r="U120" s="214" t="s">
        <v>515</v>
      </c>
      <c r="V120" s="316">
        <f>$D$118</f>
        <v>25</v>
      </c>
      <c r="W120" s="316">
        <f>$F$118</f>
        <v>2</v>
      </c>
      <c r="X120" s="316">
        <f>$G$118</f>
        <v>2</v>
      </c>
      <c r="Y120" s="316">
        <f>P118/8760*24</f>
        <v>8.1315068493150697</v>
      </c>
      <c r="Z120" s="316">
        <v>0</v>
      </c>
      <c r="AA120" s="317">
        <f>M118</f>
        <v>0.64</v>
      </c>
      <c r="AB120" s="339" t="s">
        <v>516</v>
      </c>
      <c r="AM120" s="102" t="s">
        <v>517</v>
      </c>
      <c r="AN120" s="103"/>
      <c r="AO120" s="103"/>
      <c r="AP120" s="103"/>
      <c r="AQ120" s="103"/>
      <c r="AR120" s="103"/>
      <c r="AS120" s="103"/>
      <c r="AT120" s="103"/>
      <c r="AU120" s="104"/>
    </row>
    <row r="121" spans="1:47">
      <c r="B121" s="304"/>
      <c r="C121" s="320" t="s">
        <v>518</v>
      </c>
      <c r="D121" s="321">
        <v>16</v>
      </c>
      <c r="E121" s="340"/>
      <c r="F121" s="341"/>
      <c r="G121" s="333">
        <v>15</v>
      </c>
      <c r="J121" s="325" t="s">
        <v>519</v>
      </c>
      <c r="K121" s="326">
        <v>77</v>
      </c>
      <c r="L121" s="334">
        <v>0.7</v>
      </c>
      <c r="M121" s="328">
        <v>0.45</v>
      </c>
      <c r="O121" s="320" t="s">
        <v>518</v>
      </c>
      <c r="P121" s="329">
        <v>2730</v>
      </c>
      <c r="Q121" s="326"/>
      <c r="R121" s="342"/>
      <c r="S121" s="329">
        <v>6030</v>
      </c>
      <c r="AM121" s="102" t="s">
        <v>520</v>
      </c>
      <c r="AN121" s="103"/>
      <c r="AO121" s="103"/>
      <c r="AP121" s="103"/>
      <c r="AQ121" s="103"/>
      <c r="AR121" s="103"/>
      <c r="AS121" s="103"/>
      <c r="AT121" s="103"/>
      <c r="AU121" s="104"/>
    </row>
    <row r="122" spans="1:47" ht="12.75" customHeight="1">
      <c r="B122" s="304"/>
      <c r="C122" s="320" t="s">
        <v>521</v>
      </c>
      <c r="D122" s="321">
        <v>15</v>
      </c>
      <c r="E122" s="340"/>
      <c r="F122" s="341"/>
      <c r="G122" s="333">
        <v>14</v>
      </c>
      <c r="J122" s="325" t="s">
        <v>522</v>
      </c>
      <c r="K122" s="326">
        <v>70</v>
      </c>
      <c r="L122" s="334">
        <v>0.6</v>
      </c>
      <c r="M122" s="328">
        <v>0.25</v>
      </c>
      <c r="O122" s="320" t="s">
        <v>521</v>
      </c>
      <c r="P122" s="329">
        <v>3240</v>
      </c>
      <c r="Q122" s="326"/>
      <c r="R122" s="342"/>
      <c r="S122" s="329">
        <v>5520</v>
      </c>
      <c r="AM122" s="122" t="s">
        <v>523</v>
      </c>
      <c r="AN122" s="123"/>
      <c r="AO122" s="123"/>
      <c r="AP122" s="123"/>
      <c r="AQ122" s="123"/>
      <c r="AR122" s="123"/>
      <c r="AS122" s="123"/>
      <c r="AT122" s="123"/>
      <c r="AU122" s="135"/>
    </row>
    <row r="123" spans="1:47" ht="24" customHeight="1">
      <c r="B123" s="304"/>
      <c r="C123" s="320" t="s">
        <v>524</v>
      </c>
      <c r="D123" s="620" t="s">
        <v>525</v>
      </c>
      <c r="E123" s="621"/>
      <c r="F123" s="343"/>
      <c r="G123" s="333">
        <v>4</v>
      </c>
      <c r="J123" s="325" t="s">
        <v>526</v>
      </c>
      <c r="K123" s="326">
        <v>237</v>
      </c>
      <c r="L123" s="334">
        <v>2.1</v>
      </c>
      <c r="M123" s="328">
        <v>0.89</v>
      </c>
      <c r="O123" s="320" t="s">
        <v>524</v>
      </c>
      <c r="P123" s="329">
        <v>1900</v>
      </c>
      <c r="Q123" s="326"/>
      <c r="R123" s="342"/>
      <c r="S123" s="329">
        <v>6860</v>
      </c>
    </row>
    <row r="124" spans="1:47">
      <c r="B124" s="304"/>
      <c r="C124" s="320" t="s">
        <v>527</v>
      </c>
      <c r="D124" s="321">
        <v>192</v>
      </c>
      <c r="E124" s="340"/>
      <c r="F124" s="341"/>
      <c r="G124" s="333">
        <v>4</v>
      </c>
      <c r="J124" s="325" t="s">
        <v>528</v>
      </c>
      <c r="K124" s="326">
        <v>38</v>
      </c>
      <c r="L124" s="327">
        <v>0.33</v>
      </c>
      <c r="M124" s="328">
        <v>0.24</v>
      </c>
      <c r="O124" s="320" t="s">
        <v>527</v>
      </c>
      <c r="P124" s="329">
        <v>1900</v>
      </c>
      <c r="Q124" s="326"/>
      <c r="R124" s="342"/>
      <c r="S124" s="329">
        <v>6860</v>
      </c>
    </row>
    <row r="125" spans="1:47" ht="24">
      <c r="B125" s="304"/>
      <c r="C125" s="344" t="s">
        <v>529</v>
      </c>
      <c r="D125" s="306">
        <v>16</v>
      </c>
      <c r="E125" s="345">
        <v>12</v>
      </c>
      <c r="F125" s="346"/>
      <c r="G125" s="347">
        <v>4.5</v>
      </c>
      <c r="J125" s="348" t="s">
        <v>530</v>
      </c>
      <c r="K125" s="311">
        <v>105</v>
      </c>
      <c r="L125" s="349">
        <v>0.9</v>
      </c>
      <c r="M125" s="350">
        <v>0.79</v>
      </c>
      <c r="O125" s="344" t="s">
        <v>529</v>
      </c>
      <c r="P125" s="351">
        <v>156</v>
      </c>
      <c r="Q125" s="352">
        <v>793</v>
      </c>
      <c r="R125" s="353"/>
      <c r="S125" s="354">
        <v>7811</v>
      </c>
    </row>
    <row r="126" spans="1:47" ht="15">
      <c r="B126" s="355"/>
      <c r="C126" s="356" t="s">
        <v>531</v>
      </c>
      <c r="D126" s="357"/>
      <c r="E126" s="290"/>
      <c r="F126" s="358"/>
      <c r="G126" s="290"/>
      <c r="J126" s="356" t="s">
        <v>532</v>
      </c>
      <c r="K126" s="359"/>
      <c r="L126" s="359"/>
      <c r="M126" s="359"/>
      <c r="O126" s="356" t="s">
        <v>533</v>
      </c>
      <c r="P126" s="290"/>
      <c r="Q126" s="290"/>
      <c r="R126" s="358"/>
      <c r="S126" s="290"/>
    </row>
    <row r="127" spans="1:47">
      <c r="B127" s="602"/>
      <c r="C127" s="602"/>
      <c r="D127" s="602"/>
      <c r="E127" s="602"/>
      <c r="F127" s="602"/>
      <c r="O127" s="85" t="s">
        <v>534</v>
      </c>
    </row>
    <row r="128" spans="1:47">
      <c r="A128" s="130" t="s">
        <v>535</v>
      </c>
      <c r="B128" s="602"/>
      <c r="C128" s="602"/>
      <c r="D128" s="602"/>
      <c r="E128" s="602"/>
      <c r="F128" s="602"/>
    </row>
    <row r="129" spans="2:16">
      <c r="B129" s="85" t="s">
        <v>536</v>
      </c>
      <c r="F129" s="355"/>
      <c r="O129" s="85" t="s">
        <v>537</v>
      </c>
    </row>
    <row r="130" spans="2:16">
      <c r="B130" s="85" t="s">
        <v>538</v>
      </c>
      <c r="O130" s="85" t="s">
        <v>539</v>
      </c>
    </row>
    <row r="131" spans="2:16">
      <c r="B131" s="85" t="s">
        <v>540</v>
      </c>
      <c r="O131" s="85" t="s">
        <v>541</v>
      </c>
    </row>
    <row r="132" spans="2:16">
      <c r="B132" s="360" t="s">
        <v>542</v>
      </c>
    </row>
    <row r="133" spans="2:16">
      <c r="O133" s="85" t="s">
        <v>543</v>
      </c>
    </row>
    <row r="134" spans="2:16">
      <c r="B134" s="622" t="s">
        <v>544</v>
      </c>
      <c r="C134" s="623" t="s">
        <v>545</v>
      </c>
      <c r="D134" s="623"/>
      <c r="E134" s="623"/>
      <c r="I134" s="229" t="s">
        <v>546</v>
      </c>
      <c r="J134" s="229"/>
      <c r="K134" s="229">
        <f>C140</f>
        <v>5.39</v>
      </c>
    </row>
    <row r="135" spans="2:16">
      <c r="B135" s="622"/>
      <c r="C135" s="247" t="s">
        <v>547</v>
      </c>
      <c r="D135" s="247" t="s">
        <v>548</v>
      </c>
      <c r="E135" s="247" t="s">
        <v>549</v>
      </c>
      <c r="I135" s="229" t="s">
        <v>550</v>
      </c>
      <c r="J135" s="229"/>
      <c r="K135" s="229"/>
      <c r="O135" s="229" t="s">
        <v>551</v>
      </c>
      <c r="P135" s="229">
        <v>7.37</v>
      </c>
    </row>
    <row r="136" spans="2:16">
      <c r="B136" s="361" t="s">
        <v>552</v>
      </c>
      <c r="C136" s="362">
        <v>5.61</v>
      </c>
      <c r="D136" s="362">
        <v>0.56200000000000006</v>
      </c>
      <c r="E136" s="362">
        <v>182</v>
      </c>
      <c r="I136" s="229" t="s">
        <v>553</v>
      </c>
      <c r="J136" s="229"/>
      <c r="K136" s="363">
        <f>C176</f>
        <v>0.90500000000000003</v>
      </c>
      <c r="L136" s="85" t="s">
        <v>554</v>
      </c>
    </row>
    <row r="137" spans="2:16">
      <c r="B137" s="361" t="s">
        <v>555</v>
      </c>
      <c r="C137" s="362">
        <v>5.04</v>
      </c>
      <c r="D137" s="362">
        <v>0.46500000000000002</v>
      </c>
      <c r="E137" s="362">
        <v>164</v>
      </c>
      <c r="I137" s="229" t="s">
        <v>556</v>
      </c>
      <c r="J137" s="229"/>
      <c r="K137" s="363">
        <f>C149</f>
        <v>0.33200000000000002</v>
      </c>
      <c r="O137" s="85" t="s">
        <v>557</v>
      </c>
    </row>
    <row r="138" spans="2:16">
      <c r="B138" s="361" t="s">
        <v>558</v>
      </c>
      <c r="C138" s="362">
        <v>5.37</v>
      </c>
      <c r="D138" s="364">
        <v>0.47</v>
      </c>
      <c r="E138" s="362">
        <v>283</v>
      </c>
    </row>
    <row r="139" spans="2:16" ht="13.5" thickBot="1">
      <c r="B139" s="365" t="s">
        <v>559</v>
      </c>
      <c r="C139" s="366">
        <v>5.4</v>
      </c>
      <c r="D139" s="367">
        <v>0.372</v>
      </c>
      <c r="E139" s="367">
        <v>714</v>
      </c>
    </row>
    <row r="140" spans="2:16" ht="13.5" thickTop="1">
      <c r="B140" s="368" t="s">
        <v>551</v>
      </c>
      <c r="C140" s="369">
        <v>5.39</v>
      </c>
      <c r="D140" s="369">
        <v>0.246</v>
      </c>
      <c r="E140" s="370">
        <v>1343</v>
      </c>
    </row>
    <row r="141" spans="2:16">
      <c r="B141" s="371" t="s">
        <v>560</v>
      </c>
      <c r="C141" s="239"/>
      <c r="D141" s="239"/>
      <c r="E141" s="239"/>
    </row>
    <row r="143" spans="2:16">
      <c r="B143" s="616" t="s">
        <v>544</v>
      </c>
      <c r="C143" s="617" t="s">
        <v>561</v>
      </c>
      <c r="D143" s="618"/>
      <c r="E143" s="619"/>
    </row>
    <row r="144" spans="2:16">
      <c r="B144" s="616"/>
      <c r="C144" s="228" t="s">
        <v>153</v>
      </c>
      <c r="D144" s="228" t="s">
        <v>548</v>
      </c>
      <c r="E144" s="228" t="s">
        <v>549</v>
      </c>
    </row>
    <row r="145" spans="2:5">
      <c r="B145" s="211" t="s">
        <v>552</v>
      </c>
      <c r="C145" s="372">
        <v>0.33500000000000002</v>
      </c>
      <c r="D145" s="372">
        <v>6.3E-2</v>
      </c>
      <c r="E145" s="234">
        <v>185</v>
      </c>
    </row>
    <row r="146" spans="2:5">
      <c r="B146" s="211" t="s">
        <v>555</v>
      </c>
      <c r="C146" s="372">
        <v>0.23400000000000001</v>
      </c>
      <c r="D146" s="372">
        <v>5.6000000000000001E-2</v>
      </c>
      <c r="E146" s="234">
        <v>169</v>
      </c>
    </row>
    <row r="147" spans="2:5">
      <c r="B147" s="211" t="s">
        <v>558</v>
      </c>
      <c r="C147" s="372">
        <v>0.308</v>
      </c>
      <c r="D147" s="372">
        <v>5.2999999999999999E-2</v>
      </c>
      <c r="E147" s="234">
        <v>314</v>
      </c>
    </row>
    <row r="148" spans="2:5" ht="13.5" thickBot="1">
      <c r="B148" s="373" t="s">
        <v>559</v>
      </c>
      <c r="C148" s="374">
        <v>0.36</v>
      </c>
      <c r="D148" s="374">
        <v>3.6999999999999998E-2</v>
      </c>
      <c r="E148" s="375">
        <v>736</v>
      </c>
    </row>
    <row r="149" spans="2:5" ht="13.5" thickTop="1">
      <c r="B149" s="376" t="s">
        <v>551</v>
      </c>
      <c r="C149" s="377">
        <v>0.33200000000000002</v>
      </c>
      <c r="D149" s="377">
        <v>2.5999999999999999E-2</v>
      </c>
      <c r="E149" s="378">
        <v>1404</v>
      </c>
    </row>
    <row r="150" spans="2:5">
      <c r="B150" s="238" t="s">
        <v>562</v>
      </c>
      <c r="C150" s="239"/>
      <c r="D150" s="239"/>
      <c r="E150" s="239"/>
    </row>
    <row r="152" spans="2:5">
      <c r="B152" s="616" t="s">
        <v>544</v>
      </c>
      <c r="C152" s="617" t="s">
        <v>563</v>
      </c>
      <c r="D152" s="618"/>
      <c r="E152" s="619"/>
    </row>
    <row r="153" spans="2:5">
      <c r="B153" s="616"/>
      <c r="C153" s="228" t="s">
        <v>547</v>
      </c>
      <c r="D153" s="228" t="s">
        <v>548</v>
      </c>
      <c r="E153" s="228" t="s">
        <v>549</v>
      </c>
    </row>
    <row r="154" spans="2:5">
      <c r="B154" s="211" t="s">
        <v>552</v>
      </c>
      <c r="C154" s="379">
        <v>1.53</v>
      </c>
      <c r="D154" s="380">
        <v>0.113</v>
      </c>
      <c r="E154" s="234">
        <v>185</v>
      </c>
    </row>
    <row r="155" spans="2:5">
      <c r="B155" s="211" t="s">
        <v>555</v>
      </c>
      <c r="C155" s="379">
        <v>1.3</v>
      </c>
      <c r="D155" s="380">
        <v>8.5000000000000006E-2</v>
      </c>
      <c r="E155" s="234">
        <v>169</v>
      </c>
    </row>
    <row r="156" spans="2:5">
      <c r="B156" s="211" t="s">
        <v>558</v>
      </c>
      <c r="C156" s="379">
        <v>1.44</v>
      </c>
      <c r="D156" s="380">
        <v>8.7999999999999995E-2</v>
      </c>
      <c r="E156" s="234">
        <v>314</v>
      </c>
    </row>
    <row r="157" spans="2:5" ht="13.5" thickBot="1">
      <c r="B157" s="373" t="s">
        <v>559</v>
      </c>
      <c r="C157" s="381">
        <v>1.51</v>
      </c>
      <c r="D157" s="382">
        <v>6.4000000000000001E-2</v>
      </c>
      <c r="E157" s="375">
        <v>736</v>
      </c>
    </row>
    <row r="158" spans="2:5" ht="13.5" thickTop="1">
      <c r="B158" s="376" t="s">
        <v>551</v>
      </c>
      <c r="C158" s="383">
        <v>1.48</v>
      </c>
      <c r="D158" s="384">
        <v>4.3999999999999997E-2</v>
      </c>
      <c r="E158" s="378">
        <v>1404</v>
      </c>
    </row>
    <row r="159" spans="2:5">
      <c r="B159" s="238" t="s">
        <v>564</v>
      </c>
      <c r="C159" s="226"/>
      <c r="D159" s="226"/>
      <c r="E159" s="226"/>
    </row>
    <row r="161" spans="2:5">
      <c r="B161" s="616" t="s">
        <v>544</v>
      </c>
      <c r="C161" s="617" t="s">
        <v>565</v>
      </c>
      <c r="D161" s="618"/>
      <c r="E161" s="619"/>
    </row>
    <row r="162" spans="2:5">
      <c r="B162" s="616"/>
      <c r="C162" s="228" t="s">
        <v>547</v>
      </c>
      <c r="D162" s="228" t="s">
        <v>548</v>
      </c>
      <c r="E162" s="228" t="s">
        <v>549</v>
      </c>
    </row>
    <row r="163" spans="2:5">
      <c r="B163" s="211" t="s">
        <v>552</v>
      </c>
      <c r="C163" s="379">
        <v>1.58</v>
      </c>
      <c r="D163" s="380">
        <v>0.16</v>
      </c>
      <c r="E163" s="234">
        <v>185</v>
      </c>
    </row>
    <row r="164" spans="2:5">
      <c r="B164" s="211" t="s">
        <v>555</v>
      </c>
      <c r="C164" s="379">
        <v>1.26</v>
      </c>
      <c r="D164" s="380">
        <v>0.126</v>
      </c>
      <c r="E164" s="234">
        <v>169</v>
      </c>
    </row>
    <row r="165" spans="2:5">
      <c r="B165" s="211" t="s">
        <v>558</v>
      </c>
      <c r="C165" s="379">
        <v>1.58</v>
      </c>
      <c r="D165" s="380">
        <v>0.128</v>
      </c>
      <c r="E165" s="234">
        <v>314</v>
      </c>
    </row>
    <row r="166" spans="2:5" ht="13.5" thickBot="1">
      <c r="B166" s="373" t="s">
        <v>559</v>
      </c>
      <c r="C166" s="381">
        <v>1.79</v>
      </c>
      <c r="D166" s="382">
        <v>0.10199999999999999</v>
      </c>
      <c r="E166" s="375">
        <v>736</v>
      </c>
    </row>
    <row r="167" spans="2:5" ht="13.5" thickTop="1">
      <c r="B167" s="376" t="s">
        <v>551</v>
      </c>
      <c r="C167" s="383">
        <v>1.67</v>
      </c>
      <c r="D167" s="384">
        <v>6.7000000000000004E-2</v>
      </c>
      <c r="E167" s="378">
        <v>1404</v>
      </c>
    </row>
    <row r="168" spans="2:5">
      <c r="B168" s="238" t="s">
        <v>566</v>
      </c>
      <c r="C168" s="239"/>
      <c r="D168" s="239"/>
      <c r="E168" s="239"/>
    </row>
    <row r="170" spans="2:5">
      <c r="B170" s="616" t="s">
        <v>544</v>
      </c>
      <c r="C170" s="617" t="s">
        <v>567</v>
      </c>
      <c r="D170" s="618"/>
      <c r="E170" s="619"/>
    </row>
    <row r="171" spans="2:5">
      <c r="B171" s="616"/>
      <c r="C171" s="385"/>
      <c r="D171" s="228" t="s">
        <v>548</v>
      </c>
      <c r="E171" s="228" t="s">
        <v>549</v>
      </c>
    </row>
    <row r="172" spans="2:5">
      <c r="B172" s="211" t="s">
        <v>552</v>
      </c>
      <c r="C172" s="372">
        <v>0.876</v>
      </c>
      <c r="D172" s="372">
        <v>4.2000000000000003E-2</v>
      </c>
      <c r="E172" s="234">
        <v>185</v>
      </c>
    </row>
    <row r="173" spans="2:5">
      <c r="B173" s="211" t="s">
        <v>555</v>
      </c>
      <c r="C173" s="372">
        <v>0.80900000000000005</v>
      </c>
      <c r="D173" s="372">
        <v>5.2999999999999999E-2</v>
      </c>
      <c r="E173" s="234">
        <v>169</v>
      </c>
    </row>
    <row r="174" spans="2:5">
      <c r="B174" s="211" t="s">
        <v>558</v>
      </c>
      <c r="C174" s="372">
        <v>0.91</v>
      </c>
      <c r="D174" s="372">
        <v>3.4000000000000002E-2</v>
      </c>
      <c r="E174" s="234">
        <v>314</v>
      </c>
    </row>
    <row r="175" spans="2:5" ht="13.5" thickBot="1">
      <c r="B175" s="373" t="s">
        <v>559</v>
      </c>
      <c r="C175" s="374">
        <v>0.92300000000000004</v>
      </c>
      <c r="D175" s="374">
        <v>1.9E-2</v>
      </c>
      <c r="E175" s="375">
        <v>736</v>
      </c>
    </row>
    <row r="176" spans="2:5" ht="13.5" thickTop="1">
      <c r="B176" s="376" t="s">
        <v>551</v>
      </c>
      <c r="C176" s="377">
        <v>0.90500000000000003</v>
      </c>
      <c r="D176" s="377">
        <v>1.4999999999999999E-2</v>
      </c>
      <c r="E176" s="378">
        <v>1404</v>
      </c>
    </row>
    <row r="177" spans="1:33">
      <c r="B177" s="238" t="s">
        <v>568</v>
      </c>
      <c r="C177" s="239"/>
      <c r="D177" s="239"/>
      <c r="E177" s="239"/>
    </row>
    <row r="180" spans="1:33">
      <c r="A180" s="130" t="s">
        <v>569</v>
      </c>
    </row>
    <row r="181" spans="1:33">
      <c r="B181" s="85" t="s">
        <v>570</v>
      </c>
    </row>
    <row r="182" spans="1:33">
      <c r="B182" s="85" t="s">
        <v>571</v>
      </c>
    </row>
    <row r="183" spans="1:33">
      <c r="B183" s="85" t="s">
        <v>572</v>
      </c>
    </row>
    <row r="184" spans="1:33">
      <c r="C184" s="294" t="s">
        <v>573</v>
      </c>
    </row>
    <row r="185" spans="1:33">
      <c r="C185" s="85" t="s">
        <v>574</v>
      </c>
    </row>
    <row r="187" spans="1:33" ht="13.5" thickBot="1"/>
    <row r="188" spans="1:33">
      <c r="B188" s="610"/>
      <c r="C188" s="610"/>
      <c r="D188" s="612"/>
      <c r="E188" s="606" t="s">
        <v>575</v>
      </c>
      <c r="F188" s="606"/>
      <c r="G188" s="606"/>
      <c r="H188" s="614"/>
      <c r="I188" s="604" t="s">
        <v>235</v>
      </c>
      <c r="J188" s="606"/>
      <c r="K188" s="606"/>
      <c r="L188" s="606"/>
      <c r="M188" s="606"/>
      <c r="N188" s="605"/>
      <c r="O188" s="604" t="s">
        <v>576</v>
      </c>
      <c r="P188" s="605"/>
      <c r="Q188" s="604" t="s">
        <v>577</v>
      </c>
      <c r="R188" s="606"/>
      <c r="S188" s="605"/>
      <c r="T188" s="604" t="s">
        <v>578</v>
      </c>
      <c r="U188" s="605"/>
    </row>
    <row r="189" spans="1:33" ht="13.5" thickBot="1">
      <c r="B189" s="611"/>
      <c r="C189" s="611"/>
      <c r="D189" s="613"/>
      <c r="E189" s="608"/>
      <c r="F189" s="608"/>
      <c r="G189" s="608"/>
      <c r="H189" s="615"/>
      <c r="I189" s="607" t="s">
        <v>579</v>
      </c>
      <c r="J189" s="608"/>
      <c r="K189" s="608"/>
      <c r="L189" s="608"/>
      <c r="M189" s="608"/>
      <c r="N189" s="609"/>
      <c r="O189" s="607" t="s">
        <v>580</v>
      </c>
      <c r="P189" s="609"/>
      <c r="Q189" s="607"/>
      <c r="R189" s="608"/>
      <c r="S189" s="609"/>
      <c r="T189" s="607"/>
      <c r="U189" s="609"/>
    </row>
    <row r="190" spans="1:33" ht="51.75" thickBot="1">
      <c r="B190" s="386" t="s">
        <v>21</v>
      </c>
      <c r="C190" s="387" t="s">
        <v>581</v>
      </c>
      <c r="D190" s="388" t="s">
        <v>582</v>
      </c>
      <c r="E190" s="388" t="s">
        <v>583</v>
      </c>
      <c r="F190" s="388" t="s">
        <v>584</v>
      </c>
      <c r="G190" s="388" t="s">
        <v>585</v>
      </c>
      <c r="H190" s="388" t="s">
        <v>233</v>
      </c>
      <c r="I190" s="389" t="s">
        <v>586</v>
      </c>
      <c r="J190" s="388" t="s">
        <v>582</v>
      </c>
      <c r="K190" s="388" t="s">
        <v>583</v>
      </c>
      <c r="L190" s="388" t="s">
        <v>584</v>
      </c>
      <c r="M190" s="388" t="s">
        <v>585</v>
      </c>
      <c r="N190" s="388" t="s">
        <v>233</v>
      </c>
      <c r="O190" s="388" t="s">
        <v>587</v>
      </c>
      <c r="P190" s="388" t="s">
        <v>588</v>
      </c>
      <c r="Q190" s="390" t="s">
        <v>589</v>
      </c>
      <c r="R190" s="388" t="s">
        <v>590</v>
      </c>
      <c r="S190" s="388" t="s">
        <v>591</v>
      </c>
      <c r="T190" s="388" t="s">
        <v>587</v>
      </c>
      <c r="U190" s="388" t="s">
        <v>588</v>
      </c>
      <c r="V190" s="339" t="s">
        <v>208</v>
      </c>
      <c r="W190" s="391" t="s">
        <v>209</v>
      </c>
      <c r="X190" s="339" t="s">
        <v>210</v>
      </c>
      <c r="Y190" s="339" t="s">
        <v>339</v>
      </c>
      <c r="Z190" s="392" t="s">
        <v>340</v>
      </c>
      <c r="AA190" s="393"/>
      <c r="AB190" s="394" t="s">
        <v>208</v>
      </c>
      <c r="AC190" s="394" t="s">
        <v>209</v>
      </c>
      <c r="AD190" s="394" t="s">
        <v>403</v>
      </c>
      <c r="AE190" s="394" t="s">
        <v>339</v>
      </c>
      <c r="AF190" s="394" t="s">
        <v>340</v>
      </c>
      <c r="AG190" s="394" t="s">
        <v>204</v>
      </c>
    </row>
    <row r="191" spans="1:33">
      <c r="B191" s="395" t="s">
        <v>592</v>
      </c>
      <c r="C191" s="396" t="s">
        <v>593</v>
      </c>
      <c r="D191" s="397">
        <v>0.2</v>
      </c>
      <c r="E191" s="397">
        <v>33</v>
      </c>
      <c r="F191" s="397"/>
      <c r="G191" s="397"/>
      <c r="H191" s="398">
        <v>34</v>
      </c>
      <c r="I191" s="399"/>
      <c r="J191" s="400">
        <v>0.78</v>
      </c>
      <c r="K191" s="400">
        <v>0.2</v>
      </c>
      <c r="L191" s="400"/>
      <c r="M191" s="400"/>
      <c r="N191" s="401">
        <v>0.02</v>
      </c>
      <c r="O191" s="397">
        <v>6.8</v>
      </c>
      <c r="P191" s="402">
        <v>59</v>
      </c>
      <c r="Q191" s="400">
        <v>0.17</v>
      </c>
      <c r="R191" s="400">
        <v>0.7</v>
      </c>
      <c r="S191" s="403">
        <v>0.12</v>
      </c>
      <c r="T191" s="400">
        <v>0.8</v>
      </c>
      <c r="U191" s="398">
        <v>7</v>
      </c>
      <c r="V191" s="110">
        <f t="shared" ref="V191:V244" si="1">H191</f>
        <v>34</v>
      </c>
      <c r="W191" s="85">
        <f>SUMPRODUCT(E191:G191,K191:M191)/SUM(K191:M191)</f>
        <v>33</v>
      </c>
      <c r="X191" s="110">
        <f t="shared" ref="X191:X244" si="2">D191</f>
        <v>0.2</v>
      </c>
      <c r="Y191" s="85">
        <f t="shared" ref="Y191:Y244" si="3">N191*24</f>
        <v>0.48</v>
      </c>
      <c r="Z191" s="85">
        <f t="shared" ref="Z191:Z222" si="4">SUM($K191:$M191)*24</f>
        <v>4.8000000000000007</v>
      </c>
      <c r="AA191" s="404" t="s">
        <v>211</v>
      </c>
      <c r="AB191" s="405">
        <f>($Q236*$V236+$Q237*$V237)/SUM($Q236:$Q237)</f>
        <v>13</v>
      </c>
      <c r="AC191" s="405">
        <f>($Q236*$W236+$Q237*$W237)/SUM($Q236:$Q237)</f>
        <v>6.8046728971962622</v>
      </c>
      <c r="AD191" s="405">
        <f>(Q236*X236+Q237*X237)/SUM(Q236,Q237)</f>
        <v>2.4420560747663549</v>
      </c>
      <c r="AE191" s="405">
        <f>($Q236*$Y236+$Q237*$Y237)/SUM($Q236,$Q237)</f>
        <v>2.4067289719626164</v>
      </c>
      <c r="AF191" s="405">
        <f>($Q236*$Z236+$Q237*$Z237)/SUM($Q236,$Q237)</f>
        <v>5.04</v>
      </c>
      <c r="AG191" s="393"/>
    </row>
    <row r="192" spans="1:33" ht="25.5">
      <c r="B192" s="395" t="s">
        <v>592</v>
      </c>
      <c r="C192" s="396" t="s">
        <v>594</v>
      </c>
      <c r="D192" s="397">
        <v>8</v>
      </c>
      <c r="E192" s="397">
        <v>13</v>
      </c>
      <c r="F192" s="397">
        <v>13</v>
      </c>
      <c r="G192" s="397">
        <v>14</v>
      </c>
      <c r="H192" s="398">
        <v>15</v>
      </c>
      <c r="I192" s="399">
        <v>0.02</v>
      </c>
      <c r="J192" s="400">
        <v>0.68</v>
      </c>
      <c r="K192" s="400">
        <v>0</v>
      </c>
      <c r="L192" s="400">
        <v>0</v>
      </c>
      <c r="M192" s="400">
        <v>0.23</v>
      </c>
      <c r="N192" s="401">
        <v>7.0000000000000007E-2</v>
      </c>
      <c r="O192" s="397">
        <v>8.6999999999999993</v>
      </c>
      <c r="P192" s="402">
        <v>76</v>
      </c>
      <c r="Q192" s="400">
        <v>0.5</v>
      </c>
      <c r="R192" s="400">
        <v>1</v>
      </c>
      <c r="S192" s="401">
        <v>0.5</v>
      </c>
      <c r="T192" s="400">
        <v>4.33</v>
      </c>
      <c r="U192" s="398">
        <v>37.9</v>
      </c>
      <c r="V192" s="110">
        <f t="shared" si="1"/>
        <v>15</v>
      </c>
      <c r="W192" s="85">
        <f t="shared" ref="W192:W223" si="5">IFERROR(SUMPRODUCT(E192:G192,K192:M192)/SUM(K192:M192),0)</f>
        <v>14</v>
      </c>
      <c r="X192" s="110">
        <f t="shared" si="2"/>
        <v>8</v>
      </c>
      <c r="Y192" s="85">
        <f t="shared" si="3"/>
        <v>1.6800000000000002</v>
      </c>
      <c r="Z192" s="85">
        <f t="shared" si="4"/>
        <v>5.5200000000000005</v>
      </c>
      <c r="AA192" s="404" t="s">
        <v>213</v>
      </c>
      <c r="AB192" s="405">
        <f>V238</f>
        <v>10</v>
      </c>
      <c r="AC192" s="405">
        <f>W238</f>
        <v>6</v>
      </c>
      <c r="AD192" s="405">
        <f>X238</f>
        <v>1.2</v>
      </c>
      <c r="AE192" s="405">
        <f>Y238</f>
        <v>0.48</v>
      </c>
      <c r="AF192" s="405">
        <f>Z238</f>
        <v>5.04</v>
      </c>
      <c r="AG192" s="393"/>
    </row>
    <row r="193" spans="2:33" ht="38.25">
      <c r="B193" s="395" t="s">
        <v>592</v>
      </c>
      <c r="C193" s="396" t="s">
        <v>595</v>
      </c>
      <c r="D193" s="397">
        <v>0.6</v>
      </c>
      <c r="E193" s="397">
        <v>4.5</v>
      </c>
      <c r="F193" s="397"/>
      <c r="G193" s="397"/>
      <c r="H193" s="398">
        <v>5.7</v>
      </c>
      <c r="I193" s="399"/>
      <c r="J193" s="400">
        <v>0.91</v>
      </c>
      <c r="K193" s="400">
        <v>0.08</v>
      </c>
      <c r="L193" s="400"/>
      <c r="M193" s="400"/>
      <c r="N193" s="401">
        <v>0.01</v>
      </c>
      <c r="O193" s="397">
        <v>0.9</v>
      </c>
      <c r="P193" s="402">
        <v>8</v>
      </c>
      <c r="Q193" s="400">
        <v>0.28000000000000003</v>
      </c>
      <c r="R193" s="400">
        <v>0.82</v>
      </c>
      <c r="S193" s="401">
        <v>0.23</v>
      </c>
      <c r="T193" s="400">
        <v>0.21</v>
      </c>
      <c r="U193" s="398">
        <v>1.8</v>
      </c>
      <c r="V193" s="110">
        <f t="shared" si="1"/>
        <v>5.7</v>
      </c>
      <c r="W193" s="85">
        <f t="shared" si="5"/>
        <v>4.5</v>
      </c>
      <c r="X193" s="110">
        <f t="shared" si="2"/>
        <v>0.6</v>
      </c>
      <c r="Y193" s="85">
        <f t="shared" si="3"/>
        <v>0.24</v>
      </c>
      <c r="Z193" s="85">
        <f t="shared" si="4"/>
        <v>1.92</v>
      </c>
      <c r="AA193" s="404" t="s">
        <v>216</v>
      </c>
      <c r="AB193" s="405">
        <f>V240</f>
        <v>24</v>
      </c>
      <c r="AC193" s="405">
        <f>W240</f>
        <v>23</v>
      </c>
      <c r="AD193" s="405">
        <f>X240</f>
        <v>1</v>
      </c>
      <c r="AE193" s="405">
        <f>Y240</f>
        <v>2.64</v>
      </c>
      <c r="AF193" s="405">
        <f>Z240</f>
        <v>2.88</v>
      </c>
      <c r="AG193" s="393"/>
    </row>
    <row r="194" spans="2:33">
      <c r="B194" s="395" t="s">
        <v>592</v>
      </c>
      <c r="C194" s="396" t="s">
        <v>596</v>
      </c>
      <c r="D194" s="397">
        <v>2</v>
      </c>
      <c r="E194" s="397">
        <v>8</v>
      </c>
      <c r="F194" s="397"/>
      <c r="G194" s="397"/>
      <c r="H194" s="398">
        <v>9</v>
      </c>
      <c r="I194" s="399"/>
      <c r="J194" s="400">
        <v>0.78</v>
      </c>
      <c r="K194" s="400">
        <v>0.2</v>
      </c>
      <c r="L194" s="400"/>
      <c r="M194" s="400"/>
      <c r="N194" s="401">
        <v>0.02</v>
      </c>
      <c r="O194" s="397">
        <v>3.2</v>
      </c>
      <c r="P194" s="402">
        <v>28</v>
      </c>
      <c r="Q194" s="400">
        <v>0.83</v>
      </c>
      <c r="R194" s="400">
        <v>0.9</v>
      </c>
      <c r="S194" s="401">
        <v>0.75</v>
      </c>
      <c r="T194" s="400">
        <v>2.36</v>
      </c>
      <c r="U194" s="398">
        <v>20.7</v>
      </c>
      <c r="V194" s="110">
        <f t="shared" si="1"/>
        <v>9</v>
      </c>
      <c r="W194" s="85">
        <f t="shared" si="5"/>
        <v>8</v>
      </c>
      <c r="X194" s="110">
        <f t="shared" si="2"/>
        <v>2</v>
      </c>
      <c r="Y194" s="85">
        <f t="shared" si="3"/>
        <v>0.48</v>
      </c>
      <c r="Z194" s="85">
        <f t="shared" si="4"/>
        <v>4.8000000000000007</v>
      </c>
      <c r="AA194" s="404" t="s">
        <v>214</v>
      </c>
      <c r="AB194" s="405">
        <f>($Q$211*$V$211+$Q$212*$V$212)/SUM($Q$211:$Q$212)</f>
        <v>49.516129032258064</v>
      </c>
      <c r="AC194" s="405">
        <f>($Q$211*$W$211+$Q$212*$W$212)/SUM($Q$211:$Q$212)</f>
        <v>5.2068817204301059</v>
      </c>
      <c r="AD194" s="405">
        <f>($Q$211*$X$211+$Q$212*$X$212)/SUM($Q$211:$Q$212)</f>
        <v>1.156989247311828</v>
      </c>
      <c r="AE194" s="405">
        <f>($Q$211*$Y$211+$Q$212*$Y$212)/SUM($Q$211:$Q$212)</f>
        <v>4.6632258064516128</v>
      </c>
      <c r="AF194" s="405">
        <f>($Q$211*$Z$211+$Q$212*$Z$212)/SUM($Q$211:$Q$212)</f>
        <v>4.6967741935483875</v>
      </c>
      <c r="AG194" s="393"/>
    </row>
    <row r="195" spans="2:33">
      <c r="B195" s="395" t="s">
        <v>592</v>
      </c>
      <c r="C195" s="396" t="s">
        <v>597</v>
      </c>
      <c r="D195" s="397">
        <v>1.2</v>
      </c>
      <c r="E195" s="397">
        <v>1.8</v>
      </c>
      <c r="F195" s="397"/>
      <c r="G195" s="397"/>
      <c r="H195" s="398">
        <v>3.2</v>
      </c>
      <c r="I195" s="399">
        <v>0.2</v>
      </c>
      <c r="J195" s="400">
        <v>0.04</v>
      </c>
      <c r="K195" s="400">
        <v>0.73</v>
      </c>
      <c r="L195" s="400"/>
      <c r="M195" s="400"/>
      <c r="N195" s="401">
        <v>0.03</v>
      </c>
      <c r="O195" s="397">
        <v>1.4</v>
      </c>
      <c r="P195" s="402">
        <v>12</v>
      </c>
      <c r="Q195" s="400">
        <v>0.25</v>
      </c>
      <c r="R195" s="400">
        <v>1</v>
      </c>
      <c r="S195" s="401">
        <v>0.25</v>
      </c>
      <c r="T195" s="400">
        <v>0.34</v>
      </c>
      <c r="U195" s="398">
        <v>3</v>
      </c>
      <c r="V195" s="110">
        <f t="shared" si="1"/>
        <v>3.2</v>
      </c>
      <c r="W195" s="85">
        <f t="shared" si="5"/>
        <v>1.8</v>
      </c>
      <c r="X195" s="110">
        <f t="shared" si="2"/>
        <v>1.2</v>
      </c>
      <c r="Y195" s="85">
        <f t="shared" si="3"/>
        <v>0.72</v>
      </c>
      <c r="Z195" s="85">
        <f t="shared" si="4"/>
        <v>17.52</v>
      </c>
      <c r="AA195" s="404" t="s">
        <v>212</v>
      </c>
      <c r="AB195" s="405">
        <f>($Q$221*$V$221+$Q$222*$V$222+$Q223*$V223)/SUM($Q$221:$Q$223)</f>
        <v>22.45882352941177</v>
      </c>
      <c r="AC195" s="405">
        <f>($Q$221*$W$221+$Q$222*$W$222+$Q223*$W223)/SUM($Q$221:$Q$223)</f>
        <v>4.2543639861007705</v>
      </c>
      <c r="AD195" s="405">
        <f>($Q$221*$X$221+$Q$222*$X$222+$Q223*$X223)/SUM($Q$221:$Q$223)</f>
        <v>2.2852941176470591</v>
      </c>
      <c r="AE195" s="405">
        <f>($Q$221*$Y$221+$Q$222*$Y$222+$Q223*$Y223)/SUM($Q$221:$Q$223)</f>
        <v>0.24</v>
      </c>
      <c r="AF195" s="405">
        <f>($Q$221*$Z$221+$Q$222*$Z$222+$Q223*$Z223)/SUM($Q$221:$Q$223)</f>
        <v>15.610588235294117</v>
      </c>
      <c r="AG195" s="393"/>
    </row>
    <row r="196" spans="2:33" ht="25.5">
      <c r="B196" s="395" t="s">
        <v>592</v>
      </c>
      <c r="C196" s="396" t="s">
        <v>598</v>
      </c>
      <c r="D196" s="397">
        <v>0.4</v>
      </c>
      <c r="E196" s="397">
        <v>1.5</v>
      </c>
      <c r="F196" s="397"/>
      <c r="G196" s="397"/>
      <c r="H196" s="398">
        <v>5</v>
      </c>
      <c r="I196" s="399">
        <v>0.5</v>
      </c>
      <c r="J196" s="400">
        <v>0.35</v>
      </c>
      <c r="K196" s="400">
        <v>0.08</v>
      </c>
      <c r="L196" s="400"/>
      <c r="M196" s="400"/>
      <c r="N196" s="401">
        <v>7.0000000000000007E-2</v>
      </c>
      <c r="O196" s="397">
        <v>0.3</v>
      </c>
      <c r="P196" s="402">
        <v>2</v>
      </c>
      <c r="Q196" s="400">
        <v>0.34</v>
      </c>
      <c r="R196" s="400">
        <v>1</v>
      </c>
      <c r="S196" s="401">
        <v>0.34</v>
      </c>
      <c r="T196" s="400">
        <v>0.09</v>
      </c>
      <c r="U196" s="398">
        <v>0.8</v>
      </c>
      <c r="V196" s="110">
        <f t="shared" si="1"/>
        <v>5</v>
      </c>
      <c r="W196" s="85">
        <f t="shared" si="5"/>
        <v>1.5</v>
      </c>
      <c r="X196" s="110">
        <f t="shared" si="2"/>
        <v>0.4</v>
      </c>
      <c r="Y196" s="85">
        <f t="shared" si="3"/>
        <v>1.6800000000000002</v>
      </c>
      <c r="Z196" s="85">
        <f t="shared" si="4"/>
        <v>1.92</v>
      </c>
      <c r="AA196" s="404" t="s">
        <v>217</v>
      </c>
      <c r="AB196" s="405">
        <f>V224</f>
        <v>36</v>
      </c>
      <c r="AC196" s="405">
        <f>W224</f>
        <v>5.3235294117647065</v>
      </c>
      <c r="AD196" s="405">
        <f>X224</f>
        <v>3</v>
      </c>
      <c r="AE196" s="405">
        <f>Y224</f>
        <v>0.24</v>
      </c>
      <c r="AF196" s="405">
        <f>Z224</f>
        <v>8.16</v>
      </c>
      <c r="AG196" s="393"/>
    </row>
    <row r="197" spans="2:33">
      <c r="B197" s="395" t="s">
        <v>592</v>
      </c>
      <c r="C197" s="396" t="s">
        <v>599</v>
      </c>
      <c r="D197" s="397">
        <v>2</v>
      </c>
      <c r="E197" s="397"/>
      <c r="F197" s="397"/>
      <c r="G197" s="397"/>
      <c r="H197" s="398">
        <v>30</v>
      </c>
      <c r="I197" s="399"/>
      <c r="J197" s="400">
        <v>0.8</v>
      </c>
      <c r="K197" s="400"/>
      <c r="L197" s="400"/>
      <c r="M197" s="400"/>
      <c r="N197" s="401">
        <v>0.2</v>
      </c>
      <c r="O197" s="397">
        <v>1.6</v>
      </c>
      <c r="P197" s="402">
        <v>14</v>
      </c>
      <c r="Q197" s="400">
        <v>0.03</v>
      </c>
      <c r="R197" s="400">
        <v>0.4</v>
      </c>
      <c r="S197" s="401">
        <v>0.01</v>
      </c>
      <c r="T197" s="400">
        <v>0.02</v>
      </c>
      <c r="U197" s="398">
        <v>0.2</v>
      </c>
      <c r="V197" s="110">
        <f t="shared" si="1"/>
        <v>30</v>
      </c>
      <c r="W197" s="85">
        <f t="shared" si="5"/>
        <v>0</v>
      </c>
      <c r="X197" s="110">
        <f t="shared" si="2"/>
        <v>2</v>
      </c>
      <c r="Y197" s="85">
        <f t="shared" si="3"/>
        <v>4.8000000000000007</v>
      </c>
      <c r="Z197" s="85">
        <f t="shared" si="4"/>
        <v>0</v>
      </c>
      <c r="AA197" s="393" t="s">
        <v>600</v>
      </c>
      <c r="AB197" s="405">
        <f>$V$200</f>
        <v>9</v>
      </c>
      <c r="AC197" s="405">
        <f>$E$200</f>
        <v>5.5</v>
      </c>
      <c r="AD197" s="405">
        <f>$X$200</f>
        <v>5</v>
      </c>
      <c r="AE197" s="405">
        <f>Y200</f>
        <v>6</v>
      </c>
      <c r="AF197" s="405">
        <f>Z200</f>
        <v>0</v>
      </c>
      <c r="AG197" s="393"/>
    </row>
    <row r="198" spans="2:33" ht="25.5">
      <c r="B198" s="395" t="s">
        <v>592</v>
      </c>
      <c r="C198" s="396" t="s">
        <v>601</v>
      </c>
      <c r="D198" s="397">
        <v>0.7</v>
      </c>
      <c r="E198" s="397">
        <v>34</v>
      </c>
      <c r="F198" s="397"/>
      <c r="G198" s="397"/>
      <c r="H198" s="398">
        <v>38</v>
      </c>
      <c r="I198" s="399"/>
      <c r="J198" s="400">
        <v>0.92</v>
      </c>
      <c r="K198" s="400">
        <v>0.1</v>
      </c>
      <c r="L198" s="400"/>
      <c r="M198" s="400"/>
      <c r="N198" s="401">
        <v>0.08</v>
      </c>
      <c r="O198" s="397">
        <v>4</v>
      </c>
      <c r="P198" s="402">
        <v>35</v>
      </c>
      <c r="Q198" s="400">
        <v>0.05</v>
      </c>
      <c r="R198" s="400">
        <v>1</v>
      </c>
      <c r="S198" s="401">
        <v>0.05</v>
      </c>
      <c r="T198" s="400">
        <v>0.2</v>
      </c>
      <c r="U198" s="398">
        <v>1.8</v>
      </c>
      <c r="V198" s="110">
        <f t="shared" si="1"/>
        <v>38</v>
      </c>
      <c r="W198" s="85">
        <f t="shared" si="5"/>
        <v>34</v>
      </c>
      <c r="X198" s="110">
        <f t="shared" si="2"/>
        <v>0.7</v>
      </c>
      <c r="Y198" s="85">
        <f t="shared" si="3"/>
        <v>1.92</v>
      </c>
      <c r="Z198" s="85">
        <f t="shared" si="4"/>
        <v>2.4000000000000004</v>
      </c>
      <c r="AA198" s="393"/>
      <c r="AB198" s="405"/>
      <c r="AC198" s="405"/>
      <c r="AD198" s="405"/>
      <c r="AE198" s="405"/>
      <c r="AF198" s="405"/>
      <c r="AG198" s="393"/>
    </row>
    <row r="199" spans="2:33">
      <c r="B199" s="395" t="s">
        <v>592</v>
      </c>
      <c r="C199" s="396" t="s">
        <v>602</v>
      </c>
      <c r="D199" s="397">
        <v>3</v>
      </c>
      <c r="E199" s="397">
        <v>37</v>
      </c>
      <c r="F199" s="397"/>
      <c r="G199" s="397"/>
      <c r="H199" s="398">
        <v>40</v>
      </c>
      <c r="I199" s="399"/>
      <c r="J199" s="400">
        <v>0.5</v>
      </c>
      <c r="K199" s="400">
        <v>0.25</v>
      </c>
      <c r="L199" s="400"/>
      <c r="M199" s="400"/>
      <c r="N199" s="401">
        <v>0.25</v>
      </c>
      <c r="O199" s="397">
        <v>10.8</v>
      </c>
      <c r="P199" s="402">
        <v>94</v>
      </c>
      <c r="Q199" s="400">
        <v>0.36</v>
      </c>
      <c r="R199" s="400">
        <v>0.96</v>
      </c>
      <c r="S199" s="401">
        <v>0.35</v>
      </c>
      <c r="T199" s="400">
        <v>3.72</v>
      </c>
      <c r="U199" s="398">
        <v>32.5</v>
      </c>
      <c r="V199" s="110">
        <f t="shared" si="1"/>
        <v>40</v>
      </c>
      <c r="W199" s="85">
        <f t="shared" si="5"/>
        <v>37</v>
      </c>
      <c r="X199" s="110">
        <f t="shared" si="2"/>
        <v>3</v>
      </c>
      <c r="Y199" s="85">
        <f t="shared" si="3"/>
        <v>6</v>
      </c>
      <c r="Z199" s="85">
        <f t="shared" si="4"/>
        <v>6</v>
      </c>
      <c r="AA199" s="404" t="s">
        <v>202</v>
      </c>
      <c r="AB199" s="405">
        <f>($Q214*V214+$Q215*V215+$Q216*V216+$Q217*V217+$Q218*V218)/SUM($Q214:$Q218)</f>
        <v>73.64015151515153</v>
      </c>
      <c r="AC199" s="405">
        <f>($Q214*W214+$Q215*W215+$Q216*W216+$Q217*W217+$Q218*W218)/SUM($Q214:$Q218)</f>
        <v>0</v>
      </c>
      <c r="AD199" s="405">
        <f>($Q214*X214+$Q215*X215+$Q216*X216+$Q217*X217+$Q218*X218)/SUM($Q214:$Q218)</f>
        <v>3.1890151515151519</v>
      </c>
      <c r="AE199" s="405">
        <f>($Q214*Y214+$Q215*Y215+$Q216*Y216+$Q217*Y217+$Q218*Y218)/SUM($Q214:$Q218)</f>
        <v>4.1718181818181828</v>
      </c>
      <c r="AF199" s="405">
        <f>($Q214*Z214+$Q215*Z215+$Q216*Z216+$Q217*Z217+$Q218*Z218)/SUM($Q214:$Q218)</f>
        <v>0</v>
      </c>
      <c r="AG199" s="393"/>
    </row>
    <row r="200" spans="2:33">
      <c r="B200" s="395" t="s">
        <v>592</v>
      </c>
      <c r="C200" s="396" t="s">
        <v>603</v>
      </c>
      <c r="D200" s="397">
        <v>5</v>
      </c>
      <c r="E200" s="397">
        <v>5.5</v>
      </c>
      <c r="F200" s="397"/>
      <c r="G200" s="397"/>
      <c r="H200" s="398">
        <v>9</v>
      </c>
      <c r="I200" s="399"/>
      <c r="J200" s="400">
        <v>0.75</v>
      </c>
      <c r="K200" s="400">
        <v>0</v>
      </c>
      <c r="L200" s="400"/>
      <c r="M200" s="400"/>
      <c r="N200" s="401">
        <v>0.25</v>
      </c>
      <c r="O200" s="397">
        <v>3.8</v>
      </c>
      <c r="P200" s="402">
        <v>33</v>
      </c>
      <c r="Q200" s="400">
        <v>0.05</v>
      </c>
      <c r="R200" s="400">
        <v>1</v>
      </c>
      <c r="S200" s="401">
        <v>0.05</v>
      </c>
      <c r="T200" s="400">
        <v>0.19</v>
      </c>
      <c r="U200" s="398">
        <v>1.6</v>
      </c>
      <c r="V200" s="110">
        <f t="shared" si="1"/>
        <v>9</v>
      </c>
      <c r="W200" s="85">
        <f t="shared" si="5"/>
        <v>0</v>
      </c>
      <c r="X200" s="110">
        <f t="shared" si="2"/>
        <v>5</v>
      </c>
      <c r="Y200" s="85">
        <f t="shared" si="3"/>
        <v>6</v>
      </c>
      <c r="Z200" s="406">
        <f t="shared" si="4"/>
        <v>0</v>
      </c>
      <c r="AA200" s="404" t="s">
        <v>515</v>
      </c>
      <c r="AB200" s="405">
        <f>V207</f>
        <v>70</v>
      </c>
      <c r="AC200" s="405">
        <f>W207</f>
        <v>41.571428571428569</v>
      </c>
      <c r="AD200" s="405">
        <f>X207</f>
        <v>3.5</v>
      </c>
      <c r="AE200" s="405">
        <f>Y207</f>
        <v>10.08</v>
      </c>
      <c r="AF200" s="405">
        <f>Z207</f>
        <v>1.6800000000000002</v>
      </c>
      <c r="AG200" s="393"/>
    </row>
    <row r="201" spans="2:33" ht="25.5">
      <c r="B201" s="395" t="s">
        <v>592</v>
      </c>
      <c r="C201" s="396" t="s">
        <v>604</v>
      </c>
      <c r="D201" s="397">
        <v>5</v>
      </c>
      <c r="E201" s="397"/>
      <c r="F201" s="397"/>
      <c r="G201" s="397"/>
      <c r="H201" s="398">
        <v>8</v>
      </c>
      <c r="I201" s="399"/>
      <c r="J201" s="400">
        <v>0.75</v>
      </c>
      <c r="K201" s="400"/>
      <c r="L201" s="400"/>
      <c r="M201" s="400"/>
      <c r="N201" s="401">
        <v>0.25</v>
      </c>
      <c r="O201" s="397">
        <v>3.8</v>
      </c>
      <c r="P201" s="402">
        <v>33</v>
      </c>
      <c r="Q201" s="400">
        <v>0.03</v>
      </c>
      <c r="R201" s="400">
        <v>1</v>
      </c>
      <c r="S201" s="401">
        <v>0.03</v>
      </c>
      <c r="T201" s="400">
        <v>0.11</v>
      </c>
      <c r="U201" s="398">
        <v>1</v>
      </c>
      <c r="V201" s="110">
        <f t="shared" si="1"/>
        <v>8</v>
      </c>
      <c r="W201" s="85">
        <f t="shared" si="5"/>
        <v>0</v>
      </c>
      <c r="X201" s="110">
        <f t="shared" si="2"/>
        <v>5</v>
      </c>
      <c r="Y201" s="85">
        <f t="shared" si="3"/>
        <v>6</v>
      </c>
      <c r="Z201" s="85">
        <f t="shared" si="4"/>
        <v>0</v>
      </c>
      <c r="AA201" s="85" t="s">
        <v>218</v>
      </c>
    </row>
    <row r="202" spans="2:33" ht="25.5">
      <c r="B202" s="395" t="s">
        <v>592</v>
      </c>
      <c r="C202" s="396" t="s">
        <v>605</v>
      </c>
      <c r="D202" s="397">
        <v>5</v>
      </c>
      <c r="E202" s="397"/>
      <c r="F202" s="397"/>
      <c r="G202" s="397"/>
      <c r="H202" s="398">
        <v>8</v>
      </c>
      <c r="I202" s="399"/>
      <c r="J202" s="400">
        <v>0.75</v>
      </c>
      <c r="K202" s="400"/>
      <c r="L202" s="400"/>
      <c r="M202" s="400"/>
      <c r="N202" s="401">
        <v>0.25</v>
      </c>
      <c r="O202" s="397">
        <v>3.8</v>
      </c>
      <c r="P202" s="402">
        <v>33</v>
      </c>
      <c r="Q202" s="400">
        <v>0.03</v>
      </c>
      <c r="R202" s="400">
        <v>1</v>
      </c>
      <c r="S202" s="401">
        <v>0.03</v>
      </c>
      <c r="T202" s="400">
        <v>0.11</v>
      </c>
      <c r="U202" s="398">
        <v>1</v>
      </c>
      <c r="V202" s="110">
        <f t="shared" si="1"/>
        <v>8</v>
      </c>
      <c r="W202" s="85">
        <f t="shared" si="5"/>
        <v>0</v>
      </c>
      <c r="X202" s="110">
        <f t="shared" si="2"/>
        <v>5</v>
      </c>
      <c r="Y202" s="85">
        <f t="shared" si="3"/>
        <v>6</v>
      </c>
      <c r="Z202" s="85">
        <f t="shared" si="4"/>
        <v>0</v>
      </c>
      <c r="AB202" s="85" t="s">
        <v>606</v>
      </c>
    </row>
    <row r="203" spans="2:33">
      <c r="B203" s="395" t="s">
        <v>592</v>
      </c>
      <c r="C203" s="396" t="s">
        <v>607</v>
      </c>
      <c r="D203" s="397">
        <v>1.6</v>
      </c>
      <c r="E203" s="397">
        <v>4</v>
      </c>
      <c r="F203" s="397"/>
      <c r="G203" s="397"/>
      <c r="H203" s="398">
        <v>7</v>
      </c>
      <c r="I203" s="399">
        <v>0.3</v>
      </c>
      <c r="J203" s="400">
        <v>0.51</v>
      </c>
      <c r="K203" s="400">
        <v>0.13</v>
      </c>
      <c r="L203" s="400"/>
      <c r="M203" s="400"/>
      <c r="N203" s="401">
        <v>0.06</v>
      </c>
      <c r="O203" s="397">
        <v>1.3</v>
      </c>
      <c r="P203" s="402">
        <v>12</v>
      </c>
      <c r="Q203" s="400">
        <v>0.51</v>
      </c>
      <c r="R203" s="400">
        <v>0.95</v>
      </c>
      <c r="S203" s="401">
        <v>0.48</v>
      </c>
      <c r="T203" s="400">
        <v>0.65</v>
      </c>
      <c r="U203" s="398">
        <v>5.7</v>
      </c>
      <c r="V203" s="110">
        <f t="shared" si="1"/>
        <v>7</v>
      </c>
      <c r="W203" s="85">
        <f t="shared" si="5"/>
        <v>4</v>
      </c>
      <c r="X203" s="110">
        <f t="shared" si="2"/>
        <v>1.6</v>
      </c>
      <c r="Y203" s="85">
        <f t="shared" si="3"/>
        <v>1.44</v>
      </c>
      <c r="Z203" s="85">
        <f t="shared" si="4"/>
        <v>3.12</v>
      </c>
      <c r="AB203" s="85" t="s">
        <v>608</v>
      </c>
    </row>
    <row r="204" spans="2:33">
      <c r="B204" s="395" t="s">
        <v>592</v>
      </c>
      <c r="C204" s="396" t="s">
        <v>609</v>
      </c>
      <c r="D204" s="397">
        <v>7</v>
      </c>
      <c r="E204" s="397">
        <v>10</v>
      </c>
      <c r="F204" s="397"/>
      <c r="G204" s="397"/>
      <c r="H204" s="398">
        <v>11</v>
      </c>
      <c r="I204" s="399"/>
      <c r="J204" s="400">
        <v>0.16</v>
      </c>
      <c r="K204" s="400">
        <v>0.78</v>
      </c>
      <c r="L204" s="400"/>
      <c r="M204" s="400"/>
      <c r="N204" s="401">
        <v>0.06</v>
      </c>
      <c r="O204" s="397">
        <v>8.9</v>
      </c>
      <c r="P204" s="402">
        <v>78</v>
      </c>
      <c r="Q204" s="400">
        <v>0.22</v>
      </c>
      <c r="R204" s="400">
        <v>1</v>
      </c>
      <c r="S204" s="401">
        <v>0.22</v>
      </c>
      <c r="T204" s="400">
        <v>1.94</v>
      </c>
      <c r="U204" s="398">
        <v>17</v>
      </c>
      <c r="V204" s="110">
        <f t="shared" si="1"/>
        <v>11</v>
      </c>
      <c r="W204" s="85">
        <f t="shared" si="5"/>
        <v>10</v>
      </c>
      <c r="X204" s="110">
        <f t="shared" si="2"/>
        <v>7</v>
      </c>
      <c r="Y204" s="85">
        <f t="shared" si="3"/>
        <v>1.44</v>
      </c>
      <c r="Z204" s="85">
        <f t="shared" si="4"/>
        <v>18.72</v>
      </c>
      <c r="AB204" s="85" t="s">
        <v>610</v>
      </c>
    </row>
    <row r="205" spans="2:33">
      <c r="B205" s="395" t="s">
        <v>592</v>
      </c>
      <c r="C205" s="396" t="s">
        <v>611</v>
      </c>
      <c r="D205" s="397">
        <v>1</v>
      </c>
      <c r="E205" s="397"/>
      <c r="F205" s="397"/>
      <c r="G205" s="397"/>
      <c r="H205" s="398">
        <v>9</v>
      </c>
      <c r="I205" s="399"/>
      <c r="J205" s="400">
        <v>0.97</v>
      </c>
      <c r="K205" s="400"/>
      <c r="L205" s="400"/>
      <c r="M205" s="400"/>
      <c r="N205" s="401">
        <v>0.03</v>
      </c>
      <c r="O205" s="397">
        <v>1</v>
      </c>
      <c r="P205" s="402">
        <v>8</v>
      </c>
      <c r="Q205" s="400">
        <v>0.16</v>
      </c>
      <c r="R205" s="400">
        <v>0.9</v>
      </c>
      <c r="S205" s="401">
        <v>0.14000000000000001</v>
      </c>
      <c r="T205" s="400">
        <v>0.14000000000000001</v>
      </c>
      <c r="U205" s="398">
        <v>1.2</v>
      </c>
      <c r="V205" s="110">
        <f t="shared" si="1"/>
        <v>9</v>
      </c>
      <c r="W205" s="85">
        <f t="shared" si="5"/>
        <v>0</v>
      </c>
      <c r="X205" s="110">
        <f t="shared" si="2"/>
        <v>1</v>
      </c>
      <c r="Y205" s="85">
        <f t="shared" si="3"/>
        <v>0.72</v>
      </c>
      <c r="Z205" s="85">
        <f t="shared" si="4"/>
        <v>0</v>
      </c>
      <c r="AB205" s="85" t="s">
        <v>612</v>
      </c>
    </row>
    <row r="206" spans="2:33">
      <c r="B206" s="395" t="s">
        <v>592</v>
      </c>
      <c r="C206" s="396" t="s">
        <v>613</v>
      </c>
      <c r="D206" s="397">
        <v>1</v>
      </c>
      <c r="E206" s="397"/>
      <c r="F206" s="397"/>
      <c r="G206" s="397"/>
      <c r="H206" s="398">
        <v>14</v>
      </c>
      <c r="I206" s="399"/>
      <c r="J206" s="400">
        <v>1</v>
      </c>
      <c r="K206" s="400"/>
      <c r="L206" s="400"/>
      <c r="M206" s="400"/>
      <c r="N206" s="401">
        <v>0</v>
      </c>
      <c r="O206" s="397">
        <v>1</v>
      </c>
      <c r="P206" s="402">
        <v>9</v>
      </c>
      <c r="Q206" s="400">
        <v>0.15</v>
      </c>
      <c r="R206" s="400">
        <v>0.9</v>
      </c>
      <c r="S206" s="401">
        <v>0.14000000000000001</v>
      </c>
      <c r="T206" s="400">
        <v>0.13</v>
      </c>
      <c r="U206" s="398">
        <v>1.2</v>
      </c>
      <c r="V206" s="110">
        <f t="shared" si="1"/>
        <v>14</v>
      </c>
      <c r="W206" s="85">
        <f t="shared" si="5"/>
        <v>0</v>
      </c>
      <c r="X206" s="110">
        <f t="shared" si="2"/>
        <v>1</v>
      </c>
      <c r="Y206" s="85">
        <f t="shared" si="3"/>
        <v>0</v>
      </c>
      <c r="Z206" s="85">
        <f t="shared" si="4"/>
        <v>0</v>
      </c>
    </row>
    <row r="207" spans="2:33">
      <c r="B207" s="395" t="s">
        <v>203</v>
      </c>
      <c r="C207" s="396" t="s">
        <v>614</v>
      </c>
      <c r="D207" s="397">
        <v>3.5</v>
      </c>
      <c r="E207" s="397">
        <v>17</v>
      </c>
      <c r="F207" s="397">
        <v>60</v>
      </c>
      <c r="G207" s="397"/>
      <c r="H207" s="398">
        <v>70</v>
      </c>
      <c r="I207" s="399">
        <v>7.0000000000000007E-2</v>
      </c>
      <c r="J207" s="400">
        <v>0.44</v>
      </c>
      <c r="K207" s="400">
        <v>0.03</v>
      </c>
      <c r="L207" s="400">
        <v>0.04</v>
      </c>
      <c r="M207" s="400"/>
      <c r="N207" s="401">
        <v>0.42</v>
      </c>
      <c r="O207" s="397">
        <v>4.5</v>
      </c>
      <c r="P207" s="402">
        <v>39</v>
      </c>
      <c r="Q207" s="400">
        <v>0.95</v>
      </c>
      <c r="R207" s="400">
        <v>1</v>
      </c>
      <c r="S207" s="401">
        <v>0.95</v>
      </c>
      <c r="T207" s="400">
        <v>4.2300000000000004</v>
      </c>
      <c r="U207" s="398">
        <v>37</v>
      </c>
      <c r="V207" s="110">
        <f t="shared" si="1"/>
        <v>70</v>
      </c>
      <c r="W207" s="85">
        <f t="shared" si="5"/>
        <v>41.571428571428569</v>
      </c>
      <c r="X207" s="110">
        <f t="shared" si="2"/>
        <v>3.5</v>
      </c>
      <c r="Y207" s="85">
        <f t="shared" si="3"/>
        <v>10.08</v>
      </c>
      <c r="Z207" s="85">
        <f t="shared" si="4"/>
        <v>1.6800000000000002</v>
      </c>
    </row>
    <row r="208" spans="2:33" ht="25.5">
      <c r="B208" s="395" t="s">
        <v>203</v>
      </c>
      <c r="C208" s="396" t="s">
        <v>615</v>
      </c>
      <c r="D208" s="397">
        <v>3</v>
      </c>
      <c r="E208" s="397">
        <v>30</v>
      </c>
      <c r="F208" s="397">
        <v>60</v>
      </c>
      <c r="G208" s="397"/>
      <c r="H208" s="398">
        <v>110</v>
      </c>
      <c r="I208" s="399">
        <v>7.0000000000000007E-2</v>
      </c>
      <c r="J208" s="400">
        <v>0.62</v>
      </c>
      <c r="K208" s="400">
        <v>0.03</v>
      </c>
      <c r="L208" s="400">
        <v>0.04</v>
      </c>
      <c r="M208" s="400"/>
      <c r="N208" s="401">
        <v>0.24</v>
      </c>
      <c r="O208" s="397">
        <v>5.2</v>
      </c>
      <c r="P208" s="402">
        <v>45</v>
      </c>
      <c r="Q208" s="400">
        <v>0.02</v>
      </c>
      <c r="R208" s="400">
        <v>1</v>
      </c>
      <c r="S208" s="401">
        <v>0.02</v>
      </c>
      <c r="T208" s="400">
        <v>0.12</v>
      </c>
      <c r="U208" s="398">
        <v>1</v>
      </c>
      <c r="V208" s="110">
        <f t="shared" si="1"/>
        <v>110</v>
      </c>
      <c r="W208" s="85">
        <f t="shared" si="5"/>
        <v>47.142857142857139</v>
      </c>
      <c r="X208" s="110">
        <f t="shared" si="2"/>
        <v>3</v>
      </c>
      <c r="Y208" s="85">
        <f t="shared" si="3"/>
        <v>5.76</v>
      </c>
      <c r="Z208" s="85">
        <f t="shared" si="4"/>
        <v>1.6800000000000002</v>
      </c>
    </row>
    <row r="209" spans="2:26" ht="25.5">
      <c r="B209" s="395" t="s">
        <v>203</v>
      </c>
      <c r="C209" s="396" t="s">
        <v>616</v>
      </c>
      <c r="D209" s="397">
        <v>1</v>
      </c>
      <c r="E209" s="397">
        <v>3</v>
      </c>
      <c r="F209" s="397">
        <v>2.8</v>
      </c>
      <c r="G209" s="397">
        <v>18</v>
      </c>
      <c r="H209" s="398">
        <v>22</v>
      </c>
      <c r="I209" s="399">
        <v>0.15</v>
      </c>
      <c r="J209" s="400">
        <v>0.15</v>
      </c>
      <c r="K209" s="400">
        <v>0.14000000000000001</v>
      </c>
      <c r="L209" s="400">
        <v>0.28000000000000003</v>
      </c>
      <c r="M209" s="400">
        <v>0.15</v>
      </c>
      <c r="N209" s="401">
        <v>0.13</v>
      </c>
      <c r="O209" s="397">
        <v>4</v>
      </c>
      <c r="P209" s="402">
        <v>35</v>
      </c>
      <c r="Q209" s="400">
        <v>0.41</v>
      </c>
      <c r="R209" s="400">
        <v>1</v>
      </c>
      <c r="S209" s="401">
        <v>0.41</v>
      </c>
      <c r="T209" s="400">
        <v>1.63</v>
      </c>
      <c r="U209" s="398">
        <v>14.3</v>
      </c>
      <c r="V209" s="110">
        <f t="shared" si="1"/>
        <v>22</v>
      </c>
      <c r="W209" s="85">
        <f t="shared" si="5"/>
        <v>6.8491228070175429</v>
      </c>
      <c r="X209" s="110">
        <f t="shared" si="2"/>
        <v>1</v>
      </c>
      <c r="Y209" s="85">
        <f t="shared" si="3"/>
        <v>3.12</v>
      </c>
      <c r="Z209" s="85">
        <f t="shared" si="4"/>
        <v>13.680000000000001</v>
      </c>
    </row>
    <row r="210" spans="2:26">
      <c r="B210" s="395" t="s">
        <v>203</v>
      </c>
      <c r="C210" s="396" t="s">
        <v>617</v>
      </c>
      <c r="D210" s="397">
        <v>2</v>
      </c>
      <c r="E210" s="397"/>
      <c r="F210" s="397"/>
      <c r="G210" s="397"/>
      <c r="H210" s="398">
        <v>12</v>
      </c>
      <c r="I210" s="399">
        <v>0.2</v>
      </c>
      <c r="J210" s="400">
        <v>0.5</v>
      </c>
      <c r="K210" s="400"/>
      <c r="L210" s="400"/>
      <c r="M210" s="400"/>
      <c r="N210" s="401">
        <v>0.3</v>
      </c>
      <c r="O210" s="397">
        <v>1</v>
      </c>
      <c r="P210" s="402">
        <v>9</v>
      </c>
      <c r="Q210" s="400">
        <v>0.02</v>
      </c>
      <c r="R210" s="400">
        <v>1</v>
      </c>
      <c r="S210" s="401">
        <v>0.02</v>
      </c>
      <c r="T210" s="400">
        <v>0.02</v>
      </c>
      <c r="U210" s="398">
        <v>0.2</v>
      </c>
      <c r="V210" s="110">
        <f t="shared" si="1"/>
        <v>12</v>
      </c>
      <c r="W210" s="85">
        <f t="shared" si="5"/>
        <v>0</v>
      </c>
      <c r="X210" s="110">
        <f t="shared" si="2"/>
        <v>2</v>
      </c>
      <c r="Y210" s="85">
        <f t="shared" si="3"/>
        <v>7.1999999999999993</v>
      </c>
      <c r="Z210" s="85">
        <f t="shared" si="4"/>
        <v>0</v>
      </c>
    </row>
    <row r="211" spans="2:26" ht="25.5">
      <c r="B211" s="395" t="s">
        <v>618</v>
      </c>
      <c r="C211" s="396" t="s">
        <v>619</v>
      </c>
      <c r="D211" s="397">
        <v>1.2</v>
      </c>
      <c r="E211" s="397">
        <v>8</v>
      </c>
      <c r="F211" s="397">
        <v>8.1999999999999993</v>
      </c>
      <c r="G211" s="397"/>
      <c r="H211" s="398">
        <v>65</v>
      </c>
      <c r="I211" s="399">
        <v>7.0000000000000007E-2</v>
      </c>
      <c r="J211" s="400">
        <v>0.54</v>
      </c>
      <c r="K211" s="400">
        <v>0.12</v>
      </c>
      <c r="L211" s="400">
        <v>0.08</v>
      </c>
      <c r="M211" s="400"/>
      <c r="N211" s="401">
        <v>0.19</v>
      </c>
      <c r="O211" s="397">
        <v>2.2999999999999998</v>
      </c>
      <c r="P211" s="402">
        <v>20</v>
      </c>
      <c r="Q211" s="400">
        <v>0.53</v>
      </c>
      <c r="R211" s="400">
        <v>1</v>
      </c>
      <c r="S211" s="401">
        <v>0.53</v>
      </c>
      <c r="T211" s="400">
        <v>1.21</v>
      </c>
      <c r="U211" s="398">
        <v>10.6</v>
      </c>
      <c r="V211" s="110">
        <f t="shared" si="1"/>
        <v>65</v>
      </c>
      <c r="W211" s="85">
        <f t="shared" si="5"/>
        <v>8.0799999999999983</v>
      </c>
      <c r="X211" s="110">
        <f t="shared" si="2"/>
        <v>1.2</v>
      </c>
      <c r="Y211" s="85">
        <f t="shared" si="3"/>
        <v>4.5600000000000005</v>
      </c>
      <c r="Z211" s="85">
        <f t="shared" si="4"/>
        <v>4.8000000000000007</v>
      </c>
    </row>
    <row r="212" spans="2:26" ht="25.5">
      <c r="B212" s="395" t="s">
        <v>618</v>
      </c>
      <c r="C212" s="396" t="s">
        <v>620</v>
      </c>
      <c r="D212" s="397">
        <v>1.1000000000000001</v>
      </c>
      <c r="E212" s="397">
        <v>1.4</v>
      </c>
      <c r="F212" s="397"/>
      <c r="G212" s="397"/>
      <c r="H212" s="398">
        <v>29</v>
      </c>
      <c r="I212" s="399">
        <v>7.0000000000000007E-2</v>
      </c>
      <c r="J212" s="400">
        <v>0.54</v>
      </c>
      <c r="K212" s="400">
        <v>0.19</v>
      </c>
      <c r="L212" s="400"/>
      <c r="M212" s="400"/>
      <c r="N212" s="401">
        <v>0.2</v>
      </c>
      <c r="O212" s="397">
        <v>0.9</v>
      </c>
      <c r="P212" s="402">
        <v>8</v>
      </c>
      <c r="Q212" s="400">
        <v>0.4</v>
      </c>
      <c r="R212" s="400">
        <v>1</v>
      </c>
      <c r="S212" s="401">
        <v>0.4</v>
      </c>
      <c r="T212" s="400">
        <v>0.34</v>
      </c>
      <c r="U212" s="398">
        <v>3</v>
      </c>
      <c r="V212" s="110">
        <f t="shared" si="1"/>
        <v>29</v>
      </c>
      <c r="W212" s="85">
        <f t="shared" si="5"/>
        <v>1.3999999999999997</v>
      </c>
      <c r="X212" s="110">
        <f t="shared" si="2"/>
        <v>1.1000000000000001</v>
      </c>
      <c r="Y212" s="85">
        <f t="shared" si="3"/>
        <v>4.8000000000000007</v>
      </c>
      <c r="Z212" s="85">
        <f t="shared" si="4"/>
        <v>4.5600000000000005</v>
      </c>
    </row>
    <row r="213" spans="2:26">
      <c r="B213" s="395" t="s">
        <v>618</v>
      </c>
      <c r="C213" s="396" t="s">
        <v>621</v>
      </c>
      <c r="D213" s="397">
        <v>2</v>
      </c>
      <c r="E213" s="397">
        <v>20</v>
      </c>
      <c r="F213" s="397"/>
      <c r="G213" s="397"/>
      <c r="H213" s="398">
        <v>175</v>
      </c>
      <c r="I213" s="399">
        <v>0.64</v>
      </c>
      <c r="J213" s="400">
        <v>0.3</v>
      </c>
      <c r="K213" s="400">
        <v>0.05</v>
      </c>
      <c r="L213" s="400"/>
      <c r="M213" s="400"/>
      <c r="N213" s="401">
        <v>0.01</v>
      </c>
      <c r="O213" s="397">
        <v>1.6</v>
      </c>
      <c r="P213" s="402">
        <v>14</v>
      </c>
      <c r="Q213" s="400">
        <v>0.01</v>
      </c>
      <c r="R213" s="400">
        <v>1</v>
      </c>
      <c r="S213" s="401">
        <v>0.01</v>
      </c>
      <c r="T213" s="400">
        <v>0.02</v>
      </c>
      <c r="U213" s="398">
        <v>0.2</v>
      </c>
      <c r="V213" s="110">
        <f t="shared" si="1"/>
        <v>175</v>
      </c>
      <c r="W213" s="85">
        <f t="shared" si="5"/>
        <v>20</v>
      </c>
      <c r="X213" s="110">
        <f t="shared" si="2"/>
        <v>2</v>
      </c>
      <c r="Y213" s="85">
        <f t="shared" si="3"/>
        <v>0.24</v>
      </c>
      <c r="Z213" s="85">
        <f t="shared" si="4"/>
        <v>1.2000000000000002</v>
      </c>
    </row>
    <row r="214" spans="2:26">
      <c r="B214" s="395" t="s">
        <v>618</v>
      </c>
      <c r="C214" s="396" t="s">
        <v>622</v>
      </c>
      <c r="D214" s="397">
        <v>3.1</v>
      </c>
      <c r="E214" s="397"/>
      <c r="F214" s="397"/>
      <c r="G214" s="397"/>
      <c r="H214" s="398">
        <v>71</v>
      </c>
      <c r="I214" s="399">
        <v>0</v>
      </c>
      <c r="J214" s="400">
        <v>0.84</v>
      </c>
      <c r="K214" s="400"/>
      <c r="L214" s="400"/>
      <c r="M214" s="400"/>
      <c r="N214" s="401">
        <v>0.16</v>
      </c>
      <c r="O214" s="397">
        <v>2.6</v>
      </c>
      <c r="P214" s="402">
        <v>23</v>
      </c>
      <c r="Q214" s="400">
        <v>2.11</v>
      </c>
      <c r="R214" s="400">
        <v>0.98</v>
      </c>
      <c r="S214" s="401">
        <v>2.0699999999999998</v>
      </c>
      <c r="T214" s="400">
        <v>5.38</v>
      </c>
      <c r="U214" s="398">
        <v>47.2</v>
      </c>
      <c r="V214" s="110">
        <f t="shared" si="1"/>
        <v>71</v>
      </c>
      <c r="W214" s="85">
        <f t="shared" si="5"/>
        <v>0</v>
      </c>
      <c r="X214" s="110">
        <f t="shared" si="2"/>
        <v>3.1</v>
      </c>
      <c r="Y214" s="85">
        <f t="shared" si="3"/>
        <v>3.84</v>
      </c>
      <c r="Z214" s="85">
        <f t="shared" si="4"/>
        <v>0</v>
      </c>
    </row>
    <row r="215" spans="2:26">
      <c r="B215" s="395" t="s">
        <v>618</v>
      </c>
      <c r="C215" s="396" t="s">
        <v>623</v>
      </c>
      <c r="D215" s="397">
        <v>2</v>
      </c>
      <c r="E215" s="397"/>
      <c r="F215" s="397"/>
      <c r="G215" s="397"/>
      <c r="H215" s="398">
        <v>70</v>
      </c>
      <c r="I215" s="399">
        <v>0</v>
      </c>
      <c r="J215" s="400">
        <v>0.77</v>
      </c>
      <c r="K215" s="400"/>
      <c r="L215" s="400"/>
      <c r="M215" s="400"/>
      <c r="N215" s="401">
        <v>0.23</v>
      </c>
      <c r="O215" s="397">
        <v>1.5</v>
      </c>
      <c r="P215" s="402">
        <v>13</v>
      </c>
      <c r="Q215" s="400">
        <v>0.14000000000000001</v>
      </c>
      <c r="R215" s="400">
        <v>1</v>
      </c>
      <c r="S215" s="401">
        <v>0.14000000000000001</v>
      </c>
      <c r="T215" s="400">
        <v>0.22</v>
      </c>
      <c r="U215" s="398">
        <v>1.9</v>
      </c>
      <c r="V215" s="110">
        <f t="shared" si="1"/>
        <v>70</v>
      </c>
      <c r="W215" s="85">
        <f t="shared" si="5"/>
        <v>0</v>
      </c>
      <c r="X215" s="110">
        <f t="shared" si="2"/>
        <v>2</v>
      </c>
      <c r="Y215" s="85">
        <f t="shared" si="3"/>
        <v>5.5200000000000005</v>
      </c>
      <c r="Z215" s="85">
        <f t="shared" si="4"/>
        <v>0</v>
      </c>
    </row>
    <row r="216" spans="2:26">
      <c r="B216" s="395" t="s">
        <v>618</v>
      </c>
      <c r="C216" s="396" t="s">
        <v>624</v>
      </c>
      <c r="D216" s="397">
        <v>2.5</v>
      </c>
      <c r="E216" s="397"/>
      <c r="F216" s="397"/>
      <c r="G216" s="397"/>
      <c r="H216" s="398">
        <v>250</v>
      </c>
      <c r="I216" s="399">
        <v>0</v>
      </c>
      <c r="J216" s="400">
        <v>0.75</v>
      </c>
      <c r="K216" s="400"/>
      <c r="L216" s="400"/>
      <c r="M216" s="400"/>
      <c r="N216" s="401">
        <v>0.25</v>
      </c>
      <c r="O216" s="397">
        <v>1.9</v>
      </c>
      <c r="P216" s="402">
        <v>16</v>
      </c>
      <c r="Q216" s="400">
        <v>0.02</v>
      </c>
      <c r="R216" s="400">
        <v>1</v>
      </c>
      <c r="S216" s="401">
        <v>0.02</v>
      </c>
      <c r="T216" s="400">
        <v>0.04</v>
      </c>
      <c r="U216" s="398">
        <v>0.3</v>
      </c>
      <c r="V216" s="110">
        <f t="shared" si="1"/>
        <v>250</v>
      </c>
      <c r="W216" s="85">
        <f t="shared" si="5"/>
        <v>0</v>
      </c>
      <c r="X216" s="110">
        <f t="shared" si="2"/>
        <v>2.5</v>
      </c>
      <c r="Y216" s="85">
        <f t="shared" si="3"/>
        <v>6</v>
      </c>
      <c r="Z216" s="85">
        <f t="shared" si="4"/>
        <v>0</v>
      </c>
    </row>
    <row r="217" spans="2:26" ht="25.5">
      <c r="B217" s="395" t="s">
        <v>618</v>
      </c>
      <c r="C217" s="396" t="s">
        <v>625</v>
      </c>
      <c r="D217" s="397">
        <v>3.2</v>
      </c>
      <c r="E217" s="397"/>
      <c r="F217" s="397"/>
      <c r="G217" s="397"/>
      <c r="H217" s="398">
        <v>160</v>
      </c>
      <c r="I217" s="399">
        <v>0</v>
      </c>
      <c r="J217" s="400">
        <v>0.75</v>
      </c>
      <c r="K217" s="400"/>
      <c r="L217" s="400"/>
      <c r="M217" s="400"/>
      <c r="N217" s="401">
        <v>0.25</v>
      </c>
      <c r="O217" s="397">
        <v>2.4</v>
      </c>
      <c r="P217" s="402">
        <v>21</v>
      </c>
      <c r="Q217" s="400">
        <v>0.09</v>
      </c>
      <c r="R217" s="400">
        <v>1</v>
      </c>
      <c r="S217" s="401">
        <v>0.09</v>
      </c>
      <c r="T217" s="400">
        <v>0.22</v>
      </c>
      <c r="U217" s="398">
        <v>1.9</v>
      </c>
      <c r="V217" s="110">
        <f t="shared" si="1"/>
        <v>160</v>
      </c>
      <c r="W217" s="85">
        <f t="shared" si="5"/>
        <v>0</v>
      </c>
      <c r="X217" s="110">
        <f t="shared" si="2"/>
        <v>3.2</v>
      </c>
      <c r="Y217" s="85">
        <f t="shared" si="3"/>
        <v>6</v>
      </c>
      <c r="Z217" s="85">
        <f t="shared" si="4"/>
        <v>0</v>
      </c>
    </row>
    <row r="218" spans="2:26">
      <c r="B218" s="395" t="s">
        <v>618</v>
      </c>
      <c r="C218" s="396" t="s">
        <v>626</v>
      </c>
      <c r="D218" s="397">
        <v>4.5</v>
      </c>
      <c r="E218" s="397"/>
      <c r="F218" s="397"/>
      <c r="G218" s="397"/>
      <c r="H218" s="398">
        <v>55</v>
      </c>
      <c r="I218" s="399">
        <v>0</v>
      </c>
      <c r="J218" s="400">
        <v>0.78</v>
      </c>
      <c r="K218" s="400"/>
      <c r="L218" s="400"/>
      <c r="M218" s="400"/>
      <c r="N218" s="401">
        <v>0.22</v>
      </c>
      <c r="O218" s="397">
        <v>3.5</v>
      </c>
      <c r="P218" s="402">
        <v>31</v>
      </c>
      <c r="Q218" s="400">
        <v>0.28000000000000003</v>
      </c>
      <c r="R218" s="400">
        <v>1</v>
      </c>
      <c r="S218" s="401">
        <v>0.28000000000000003</v>
      </c>
      <c r="T218" s="400">
        <v>0.98</v>
      </c>
      <c r="U218" s="398">
        <v>8.6</v>
      </c>
      <c r="V218" s="110">
        <f t="shared" si="1"/>
        <v>55</v>
      </c>
      <c r="W218" s="85">
        <f t="shared" si="5"/>
        <v>0</v>
      </c>
      <c r="X218" s="110">
        <f t="shared" si="2"/>
        <v>4.5</v>
      </c>
      <c r="Y218" s="85">
        <f t="shared" si="3"/>
        <v>5.28</v>
      </c>
      <c r="Z218" s="85">
        <f t="shared" si="4"/>
        <v>0</v>
      </c>
    </row>
    <row r="219" spans="2:26" ht="25.5">
      <c r="B219" s="395" t="s">
        <v>627</v>
      </c>
      <c r="C219" s="396" t="s">
        <v>628</v>
      </c>
      <c r="D219" s="397">
        <v>7.8</v>
      </c>
      <c r="E219" s="397">
        <v>9.9</v>
      </c>
      <c r="F219" s="397">
        <v>11</v>
      </c>
      <c r="G219" s="397"/>
      <c r="H219" s="398">
        <v>16</v>
      </c>
      <c r="I219" s="399">
        <v>7.0000000000000007E-2</v>
      </c>
      <c r="J219" s="400">
        <v>0.68</v>
      </c>
      <c r="K219" s="400">
        <v>0.04</v>
      </c>
      <c r="L219" s="400">
        <v>0.2</v>
      </c>
      <c r="M219" s="400"/>
      <c r="N219" s="401">
        <v>0.01</v>
      </c>
      <c r="O219" s="397">
        <v>7.9</v>
      </c>
      <c r="P219" s="402">
        <v>69</v>
      </c>
      <c r="Q219" s="400">
        <v>0.35</v>
      </c>
      <c r="R219" s="400">
        <v>1</v>
      </c>
      <c r="S219" s="401">
        <v>0.35</v>
      </c>
      <c r="T219" s="400">
        <v>2.77</v>
      </c>
      <c r="U219" s="398">
        <v>24.2</v>
      </c>
      <c r="V219" s="110">
        <f t="shared" si="1"/>
        <v>16</v>
      </c>
      <c r="W219" s="85">
        <f t="shared" si="5"/>
        <v>10.816666666666666</v>
      </c>
      <c r="X219" s="110">
        <f t="shared" si="2"/>
        <v>7.8</v>
      </c>
      <c r="Y219" s="85">
        <f t="shared" si="3"/>
        <v>0.24</v>
      </c>
      <c r="Z219" s="85">
        <f t="shared" si="4"/>
        <v>5.7600000000000007</v>
      </c>
    </row>
    <row r="220" spans="2:26" ht="25.5">
      <c r="B220" s="395" t="s">
        <v>627</v>
      </c>
      <c r="C220" s="396" t="s">
        <v>629</v>
      </c>
      <c r="D220" s="397">
        <v>5</v>
      </c>
      <c r="E220" s="397">
        <v>7.8</v>
      </c>
      <c r="F220" s="397">
        <v>10.6</v>
      </c>
      <c r="G220" s="397"/>
      <c r="H220" s="398">
        <v>36</v>
      </c>
      <c r="I220" s="399">
        <v>7.0000000000000007E-2</v>
      </c>
      <c r="J220" s="400">
        <v>0.68</v>
      </c>
      <c r="K220" s="400">
        <v>0.04</v>
      </c>
      <c r="L220" s="400">
        <v>0.2</v>
      </c>
      <c r="M220" s="400"/>
      <c r="N220" s="401">
        <v>0.01</v>
      </c>
      <c r="O220" s="397">
        <v>5.8</v>
      </c>
      <c r="P220" s="402">
        <v>51</v>
      </c>
      <c r="Q220" s="400">
        <v>0.06</v>
      </c>
      <c r="R220" s="400">
        <v>1</v>
      </c>
      <c r="S220" s="401">
        <v>0.06</v>
      </c>
      <c r="T220" s="400">
        <v>0.35</v>
      </c>
      <c r="U220" s="398">
        <v>3.1</v>
      </c>
      <c r="V220" s="110">
        <f t="shared" si="1"/>
        <v>36</v>
      </c>
      <c r="W220" s="85">
        <f t="shared" si="5"/>
        <v>10.133333333333333</v>
      </c>
      <c r="X220" s="110">
        <f t="shared" si="2"/>
        <v>5</v>
      </c>
      <c r="Y220" s="85">
        <f t="shared" si="3"/>
        <v>0.24</v>
      </c>
      <c r="Z220" s="85">
        <f t="shared" si="4"/>
        <v>5.7600000000000007</v>
      </c>
    </row>
    <row r="221" spans="2:26">
      <c r="B221" s="395" t="s">
        <v>627</v>
      </c>
      <c r="C221" s="396" t="s">
        <v>630</v>
      </c>
      <c r="D221" s="397">
        <v>1.4</v>
      </c>
      <c r="E221" s="397">
        <v>4.9000000000000004</v>
      </c>
      <c r="F221" s="397">
        <v>7.8</v>
      </c>
      <c r="G221" s="397"/>
      <c r="H221" s="398">
        <v>12</v>
      </c>
      <c r="I221" s="399">
        <v>7.0000000000000007E-2</v>
      </c>
      <c r="J221" s="400">
        <v>0.02</v>
      </c>
      <c r="K221" s="400">
        <v>0.56999999999999995</v>
      </c>
      <c r="L221" s="400">
        <v>0.33</v>
      </c>
      <c r="M221" s="400"/>
      <c r="N221" s="401">
        <v>0.01</v>
      </c>
      <c r="O221" s="397">
        <v>5.4</v>
      </c>
      <c r="P221" s="402">
        <v>47</v>
      </c>
      <c r="Q221" s="400">
        <v>0.43</v>
      </c>
      <c r="R221" s="400">
        <v>1</v>
      </c>
      <c r="S221" s="401">
        <v>0.43</v>
      </c>
      <c r="T221" s="400">
        <v>2.3199999999999998</v>
      </c>
      <c r="U221" s="398">
        <v>20.3</v>
      </c>
      <c r="V221" s="110">
        <f t="shared" si="1"/>
        <v>12</v>
      </c>
      <c r="W221" s="85">
        <f t="shared" si="5"/>
        <v>5.9633333333333338</v>
      </c>
      <c r="X221" s="110">
        <f t="shared" si="2"/>
        <v>1.4</v>
      </c>
      <c r="Y221" s="85">
        <f t="shared" si="3"/>
        <v>0.24</v>
      </c>
      <c r="Z221" s="85">
        <f t="shared" si="4"/>
        <v>21.599999999999998</v>
      </c>
    </row>
    <row r="222" spans="2:26">
      <c r="B222" s="395" t="s">
        <v>627</v>
      </c>
      <c r="C222" s="396" t="s">
        <v>631</v>
      </c>
      <c r="D222" s="397">
        <v>10</v>
      </c>
      <c r="E222" s="397">
        <v>3.5</v>
      </c>
      <c r="F222" s="397">
        <v>8</v>
      </c>
      <c r="G222" s="397"/>
      <c r="H222" s="398">
        <v>110</v>
      </c>
      <c r="I222" s="399">
        <v>7.0000000000000007E-2</v>
      </c>
      <c r="J222" s="400">
        <v>0.13</v>
      </c>
      <c r="K222" s="400">
        <v>0.57999999999999996</v>
      </c>
      <c r="L222" s="400">
        <v>0.21</v>
      </c>
      <c r="M222" s="400"/>
      <c r="N222" s="401">
        <v>0.01</v>
      </c>
      <c r="O222" s="397">
        <v>5</v>
      </c>
      <c r="P222" s="402">
        <v>44</v>
      </c>
      <c r="Q222" s="400">
        <v>7.0000000000000007E-2</v>
      </c>
      <c r="R222" s="400">
        <v>0.95</v>
      </c>
      <c r="S222" s="401">
        <v>7.0000000000000007E-2</v>
      </c>
      <c r="T222" s="400">
        <v>0.34</v>
      </c>
      <c r="U222" s="398">
        <v>3</v>
      </c>
      <c r="V222" s="110">
        <f t="shared" si="1"/>
        <v>110</v>
      </c>
      <c r="W222" s="85">
        <f t="shared" si="5"/>
        <v>4.6962025316455698</v>
      </c>
      <c r="X222" s="110">
        <f t="shared" si="2"/>
        <v>10</v>
      </c>
      <c r="Y222" s="85">
        <f t="shared" si="3"/>
        <v>0.24</v>
      </c>
      <c r="Z222" s="85">
        <f t="shared" si="4"/>
        <v>18.959999999999997</v>
      </c>
    </row>
    <row r="223" spans="2:26">
      <c r="B223" s="395" t="s">
        <v>627</v>
      </c>
      <c r="C223" s="396" t="s">
        <v>632</v>
      </c>
      <c r="D223" s="397">
        <v>1.4</v>
      </c>
      <c r="E223" s="397">
        <v>3.5</v>
      </c>
      <c r="F223" s="397">
        <v>7.2</v>
      </c>
      <c r="G223" s="397"/>
      <c r="H223" s="398">
        <v>13.4</v>
      </c>
      <c r="I223" s="399"/>
      <c r="J223" s="400">
        <v>0.99</v>
      </c>
      <c r="K223" s="400"/>
      <c r="L223" s="400"/>
      <c r="M223" s="400"/>
      <c r="N223" s="401">
        <v>0.01</v>
      </c>
      <c r="O223" s="397">
        <v>1.4</v>
      </c>
      <c r="P223" s="402">
        <v>12</v>
      </c>
      <c r="Q223" s="400">
        <v>0.18</v>
      </c>
      <c r="R223" s="400">
        <v>1</v>
      </c>
      <c r="S223" s="401">
        <v>0.18</v>
      </c>
      <c r="T223" s="400">
        <v>0.25</v>
      </c>
      <c r="U223" s="398">
        <v>2.2000000000000002</v>
      </c>
      <c r="V223" s="110">
        <f t="shared" si="1"/>
        <v>13.4</v>
      </c>
      <c r="W223" s="85">
        <f t="shared" si="5"/>
        <v>0</v>
      </c>
      <c r="X223" s="110">
        <f t="shared" si="2"/>
        <v>1.4</v>
      </c>
      <c r="Y223" s="85">
        <f t="shared" si="3"/>
        <v>0.24</v>
      </c>
      <c r="Z223" s="85">
        <f t="shared" ref="Z223:Z244" si="6">SUM($K223:$M223)*24</f>
        <v>0</v>
      </c>
    </row>
    <row r="224" spans="2:26">
      <c r="B224" s="395" t="s">
        <v>627</v>
      </c>
      <c r="C224" s="396" t="s">
        <v>633</v>
      </c>
      <c r="D224" s="397">
        <v>3</v>
      </c>
      <c r="E224" s="397">
        <v>4</v>
      </c>
      <c r="F224" s="397">
        <v>9</v>
      </c>
      <c r="G224" s="397"/>
      <c r="H224" s="398">
        <v>36</v>
      </c>
      <c r="I224" s="399">
        <v>7.0000000000000007E-2</v>
      </c>
      <c r="J224" s="400">
        <v>0.57999999999999996</v>
      </c>
      <c r="K224" s="400">
        <v>0.25</v>
      </c>
      <c r="L224" s="400">
        <v>0.09</v>
      </c>
      <c r="M224" s="400"/>
      <c r="N224" s="401">
        <v>0.01</v>
      </c>
      <c r="O224" s="397">
        <v>3.5</v>
      </c>
      <c r="P224" s="402">
        <v>31</v>
      </c>
      <c r="Q224" s="400">
        <v>0.15</v>
      </c>
      <c r="R224" s="400">
        <v>1</v>
      </c>
      <c r="S224" s="401">
        <v>0.15</v>
      </c>
      <c r="T224" s="400">
        <v>0.53</v>
      </c>
      <c r="U224" s="398">
        <v>4.7</v>
      </c>
      <c r="V224" s="110">
        <f t="shared" si="1"/>
        <v>36</v>
      </c>
      <c r="W224" s="85">
        <f t="shared" ref="W224:W244" si="7">IFERROR(SUMPRODUCT(E224:G224,K224:M224)/SUM(K224:M224),0)</f>
        <v>5.3235294117647065</v>
      </c>
      <c r="X224" s="110">
        <f t="shared" si="2"/>
        <v>3</v>
      </c>
      <c r="Y224" s="85">
        <f t="shared" si="3"/>
        <v>0.24</v>
      </c>
      <c r="Z224" s="85">
        <f t="shared" si="6"/>
        <v>8.16</v>
      </c>
    </row>
    <row r="225" spans="2:26" ht="25.5">
      <c r="B225" s="395" t="s">
        <v>634</v>
      </c>
      <c r="C225" s="396" t="s">
        <v>635</v>
      </c>
      <c r="D225" s="397">
        <v>1.5</v>
      </c>
      <c r="E225" s="397">
        <v>1.7</v>
      </c>
      <c r="F225" s="397">
        <v>4.0999999999999996</v>
      </c>
      <c r="G225" s="397"/>
      <c r="H225" s="398">
        <v>7</v>
      </c>
      <c r="I225" s="399">
        <v>0.1</v>
      </c>
      <c r="J225" s="400">
        <v>0</v>
      </c>
      <c r="K225" s="400">
        <v>0.45</v>
      </c>
      <c r="L225" s="400">
        <v>0.45</v>
      </c>
      <c r="M225" s="400"/>
      <c r="N225" s="401"/>
      <c r="O225" s="397">
        <v>2.6</v>
      </c>
      <c r="P225" s="402">
        <v>23</v>
      </c>
      <c r="Q225" s="400">
        <v>0.63</v>
      </c>
      <c r="R225" s="400">
        <v>1</v>
      </c>
      <c r="S225" s="401">
        <v>0.63</v>
      </c>
      <c r="T225" s="400">
        <v>1.64</v>
      </c>
      <c r="U225" s="398">
        <v>14.4</v>
      </c>
      <c r="V225" s="110">
        <f t="shared" si="1"/>
        <v>7</v>
      </c>
      <c r="W225" s="85">
        <f t="shared" si="7"/>
        <v>2.9</v>
      </c>
      <c r="X225" s="110">
        <f t="shared" si="2"/>
        <v>1.5</v>
      </c>
      <c r="Y225" s="85">
        <f t="shared" si="3"/>
        <v>0</v>
      </c>
      <c r="Z225" s="85">
        <f t="shared" si="6"/>
        <v>21.6</v>
      </c>
    </row>
    <row r="226" spans="2:26">
      <c r="B226" s="395" t="s">
        <v>634</v>
      </c>
      <c r="C226" s="396" t="s">
        <v>636</v>
      </c>
      <c r="D226" s="397">
        <v>1.1000000000000001</v>
      </c>
      <c r="E226" s="397">
        <v>2</v>
      </c>
      <c r="F226" s="397"/>
      <c r="G226" s="397"/>
      <c r="H226" s="398">
        <v>5</v>
      </c>
      <c r="I226" s="399">
        <v>0.05</v>
      </c>
      <c r="J226" s="400">
        <v>0.6</v>
      </c>
      <c r="K226" s="400">
        <v>0.35</v>
      </c>
      <c r="L226" s="400"/>
      <c r="M226" s="400"/>
      <c r="N226" s="401"/>
      <c r="O226" s="397">
        <v>1.4</v>
      </c>
      <c r="P226" s="402">
        <v>12</v>
      </c>
      <c r="Q226" s="400">
        <v>0.13</v>
      </c>
      <c r="R226" s="400">
        <v>1</v>
      </c>
      <c r="S226" s="401">
        <v>0.13</v>
      </c>
      <c r="T226" s="400">
        <v>0.18</v>
      </c>
      <c r="U226" s="398">
        <v>1.5</v>
      </c>
      <c r="V226" s="110">
        <f t="shared" si="1"/>
        <v>5</v>
      </c>
      <c r="W226" s="85">
        <f t="shared" si="7"/>
        <v>2</v>
      </c>
      <c r="X226" s="110">
        <f t="shared" si="2"/>
        <v>1.1000000000000001</v>
      </c>
      <c r="Y226" s="85">
        <f t="shared" si="3"/>
        <v>0</v>
      </c>
      <c r="Z226" s="85">
        <f t="shared" si="6"/>
        <v>8.3999999999999986</v>
      </c>
    </row>
    <row r="227" spans="2:26">
      <c r="B227" s="395" t="s">
        <v>634</v>
      </c>
      <c r="C227" s="396" t="s">
        <v>637</v>
      </c>
      <c r="D227" s="397">
        <v>1</v>
      </c>
      <c r="E227" s="397"/>
      <c r="F227" s="397"/>
      <c r="G227" s="397"/>
      <c r="H227" s="398">
        <v>12</v>
      </c>
      <c r="I227" s="399"/>
      <c r="J227" s="400">
        <v>0.99</v>
      </c>
      <c r="K227" s="400"/>
      <c r="L227" s="400"/>
      <c r="M227" s="400"/>
      <c r="N227" s="401">
        <v>0.01</v>
      </c>
      <c r="O227" s="397">
        <v>1</v>
      </c>
      <c r="P227" s="402">
        <v>9</v>
      </c>
      <c r="Q227" s="400">
        <v>0</v>
      </c>
      <c r="R227" s="400">
        <v>1</v>
      </c>
      <c r="S227" s="401">
        <v>0</v>
      </c>
      <c r="T227" s="400">
        <v>0</v>
      </c>
      <c r="U227" s="398">
        <v>0</v>
      </c>
      <c r="V227" s="110">
        <f t="shared" si="1"/>
        <v>12</v>
      </c>
      <c r="W227" s="85">
        <f t="shared" si="7"/>
        <v>0</v>
      </c>
      <c r="X227" s="110">
        <f t="shared" si="2"/>
        <v>1</v>
      </c>
      <c r="Y227" s="85">
        <f t="shared" si="3"/>
        <v>0.24</v>
      </c>
      <c r="Z227" s="85">
        <f t="shared" si="6"/>
        <v>0</v>
      </c>
    </row>
    <row r="228" spans="2:26">
      <c r="B228" s="395" t="s">
        <v>634</v>
      </c>
      <c r="C228" s="396" t="s">
        <v>638</v>
      </c>
      <c r="D228" s="397">
        <v>1.3</v>
      </c>
      <c r="E228" s="397"/>
      <c r="F228" s="397"/>
      <c r="G228" s="397"/>
      <c r="H228" s="398">
        <v>12</v>
      </c>
      <c r="I228" s="399">
        <v>0.15</v>
      </c>
      <c r="J228" s="400">
        <v>0.8</v>
      </c>
      <c r="K228" s="400"/>
      <c r="L228" s="400"/>
      <c r="M228" s="400"/>
      <c r="N228" s="401">
        <v>0.05</v>
      </c>
      <c r="O228" s="397">
        <v>1</v>
      </c>
      <c r="P228" s="402">
        <v>9</v>
      </c>
      <c r="Q228" s="400">
        <v>0.08</v>
      </c>
      <c r="R228" s="400">
        <v>0.8</v>
      </c>
      <c r="S228" s="401">
        <v>0.06</v>
      </c>
      <c r="T228" s="400">
        <v>7.0000000000000007E-2</v>
      </c>
      <c r="U228" s="398">
        <v>0.6</v>
      </c>
      <c r="V228" s="110">
        <f t="shared" si="1"/>
        <v>12</v>
      </c>
      <c r="W228" s="85">
        <f t="shared" si="7"/>
        <v>0</v>
      </c>
      <c r="X228" s="110">
        <f t="shared" si="2"/>
        <v>1.3</v>
      </c>
      <c r="Y228" s="85">
        <f t="shared" si="3"/>
        <v>1.2000000000000002</v>
      </c>
      <c r="Z228" s="85">
        <f t="shared" si="6"/>
        <v>0</v>
      </c>
    </row>
    <row r="229" spans="2:26" ht="25.5">
      <c r="B229" s="395" t="s">
        <v>639</v>
      </c>
      <c r="C229" s="396" t="s">
        <v>640</v>
      </c>
      <c r="D229" s="397">
        <v>10.3</v>
      </c>
      <c r="E229" s="397">
        <v>11.3</v>
      </c>
      <c r="F229" s="407"/>
      <c r="G229" s="407"/>
      <c r="H229" s="398">
        <v>11.5</v>
      </c>
      <c r="I229" s="399"/>
      <c r="J229" s="408">
        <v>0</v>
      </c>
      <c r="K229" s="408">
        <v>0.77</v>
      </c>
      <c r="L229" s="408"/>
      <c r="M229" s="409"/>
      <c r="N229" s="408">
        <v>0.23</v>
      </c>
      <c r="O229" s="410">
        <v>8.6999999999999993</v>
      </c>
      <c r="P229" s="402">
        <v>76</v>
      </c>
      <c r="Q229" s="411">
        <v>0.1</v>
      </c>
      <c r="R229" s="408">
        <v>1</v>
      </c>
      <c r="S229" s="401">
        <v>0.1</v>
      </c>
      <c r="T229" s="411">
        <v>0.87</v>
      </c>
      <c r="U229" s="398">
        <v>7.6</v>
      </c>
      <c r="V229" s="110">
        <f t="shared" si="1"/>
        <v>11.5</v>
      </c>
      <c r="W229" s="85">
        <f t="shared" si="7"/>
        <v>11.3</v>
      </c>
      <c r="X229" s="110">
        <f t="shared" si="2"/>
        <v>10.3</v>
      </c>
      <c r="Y229" s="85">
        <f t="shared" si="3"/>
        <v>5.5200000000000005</v>
      </c>
      <c r="Z229" s="85">
        <f t="shared" si="6"/>
        <v>18.48</v>
      </c>
    </row>
    <row r="230" spans="2:26" ht="25.5">
      <c r="B230" s="395" t="s">
        <v>639</v>
      </c>
      <c r="C230" s="396" t="s">
        <v>641</v>
      </c>
      <c r="D230" s="397">
        <v>17.8</v>
      </c>
      <c r="E230" s="397">
        <v>25</v>
      </c>
      <c r="F230" s="397"/>
      <c r="G230" s="397"/>
      <c r="H230" s="398">
        <v>30</v>
      </c>
      <c r="I230" s="399"/>
      <c r="J230" s="400">
        <v>0</v>
      </c>
      <c r="K230" s="400">
        <v>0.77</v>
      </c>
      <c r="L230" s="400"/>
      <c r="M230" s="409"/>
      <c r="N230" s="401">
        <v>0.23</v>
      </c>
      <c r="O230" s="397">
        <v>19.2</v>
      </c>
      <c r="P230" s="402">
        <v>168</v>
      </c>
      <c r="Q230" s="400">
        <v>0.3</v>
      </c>
      <c r="R230" s="400">
        <v>1</v>
      </c>
      <c r="S230" s="401">
        <v>0.3</v>
      </c>
      <c r="T230" s="400">
        <v>5.76</v>
      </c>
      <c r="U230" s="398">
        <v>50.5</v>
      </c>
      <c r="V230" s="110">
        <f t="shared" si="1"/>
        <v>30</v>
      </c>
      <c r="W230" s="85">
        <f t="shared" si="7"/>
        <v>25</v>
      </c>
      <c r="X230" s="110">
        <f t="shared" si="2"/>
        <v>17.8</v>
      </c>
      <c r="Y230" s="85">
        <f t="shared" si="3"/>
        <v>5.5200000000000005</v>
      </c>
      <c r="Z230" s="85">
        <f t="shared" si="6"/>
        <v>18.48</v>
      </c>
    </row>
    <row r="231" spans="2:26" ht="25.5">
      <c r="B231" s="395" t="s">
        <v>639</v>
      </c>
      <c r="C231" s="396" t="s">
        <v>642</v>
      </c>
      <c r="D231" s="397">
        <v>43</v>
      </c>
      <c r="E231" s="397">
        <v>44.6</v>
      </c>
      <c r="F231" s="397"/>
      <c r="G231" s="397"/>
      <c r="H231" s="398">
        <v>46.6</v>
      </c>
      <c r="I231" s="399"/>
      <c r="J231" s="400">
        <v>0</v>
      </c>
      <c r="K231" s="400">
        <v>0.77</v>
      </c>
      <c r="L231" s="400"/>
      <c r="M231" s="409"/>
      <c r="N231" s="401">
        <v>0.23</v>
      </c>
      <c r="O231" s="397">
        <v>34.299999999999997</v>
      </c>
      <c r="P231" s="402">
        <v>301</v>
      </c>
      <c r="Q231" s="400">
        <v>0.05</v>
      </c>
      <c r="R231" s="400">
        <v>1</v>
      </c>
      <c r="S231" s="401">
        <v>0.05</v>
      </c>
      <c r="T231" s="400">
        <v>1.72</v>
      </c>
      <c r="U231" s="398">
        <v>15</v>
      </c>
      <c r="V231" s="110">
        <f t="shared" si="1"/>
        <v>46.6</v>
      </c>
      <c r="W231" s="85">
        <f t="shared" si="7"/>
        <v>44.599999999999994</v>
      </c>
      <c r="X231" s="110">
        <f t="shared" si="2"/>
        <v>43</v>
      </c>
      <c r="Y231" s="85">
        <f t="shared" si="3"/>
        <v>5.5200000000000005</v>
      </c>
      <c r="Z231" s="85">
        <f t="shared" si="6"/>
        <v>18.48</v>
      </c>
    </row>
    <row r="232" spans="2:26" ht="51">
      <c r="B232" s="395" t="s">
        <v>639</v>
      </c>
      <c r="C232" s="396" t="s">
        <v>643</v>
      </c>
      <c r="D232" s="397">
        <v>8</v>
      </c>
      <c r="E232" s="397"/>
      <c r="F232" s="397"/>
      <c r="G232" s="397"/>
      <c r="H232" s="398">
        <v>50</v>
      </c>
      <c r="I232" s="399"/>
      <c r="J232" s="400">
        <v>0.92</v>
      </c>
      <c r="K232" s="400"/>
      <c r="L232" s="400"/>
      <c r="M232" s="409"/>
      <c r="N232" s="401">
        <v>0.08</v>
      </c>
      <c r="O232" s="397">
        <v>7.4</v>
      </c>
      <c r="P232" s="402">
        <v>64</v>
      </c>
      <c r="Q232" s="400">
        <v>0.04</v>
      </c>
      <c r="R232" s="400">
        <v>1</v>
      </c>
      <c r="S232" s="401">
        <v>0.04</v>
      </c>
      <c r="T232" s="400">
        <v>0.28999999999999998</v>
      </c>
      <c r="U232" s="398">
        <v>2.6</v>
      </c>
      <c r="V232" s="110">
        <f t="shared" si="1"/>
        <v>50</v>
      </c>
      <c r="W232" s="85">
        <f t="shared" si="7"/>
        <v>0</v>
      </c>
      <c r="X232" s="110">
        <f t="shared" si="2"/>
        <v>8</v>
      </c>
      <c r="Y232" s="85">
        <f t="shared" si="3"/>
        <v>1.92</v>
      </c>
      <c r="Z232" s="85">
        <f t="shared" si="6"/>
        <v>0</v>
      </c>
    </row>
    <row r="233" spans="2:26" ht="25.5">
      <c r="B233" s="395" t="s">
        <v>639</v>
      </c>
      <c r="C233" s="396" t="s">
        <v>644</v>
      </c>
      <c r="D233" s="397">
        <v>15.7</v>
      </c>
      <c r="E233" s="397">
        <v>15.9</v>
      </c>
      <c r="F233" s="397"/>
      <c r="G233" s="397"/>
      <c r="H233" s="398">
        <v>16</v>
      </c>
      <c r="I233" s="399"/>
      <c r="J233" s="400">
        <v>0.5</v>
      </c>
      <c r="K233" s="400">
        <v>0.37</v>
      </c>
      <c r="L233" s="400"/>
      <c r="M233" s="409"/>
      <c r="N233" s="401">
        <v>0.13</v>
      </c>
      <c r="O233" s="397">
        <v>13.7</v>
      </c>
      <c r="P233" s="402">
        <v>120</v>
      </c>
      <c r="Q233" s="400">
        <v>0.48</v>
      </c>
      <c r="R233" s="400">
        <v>1</v>
      </c>
      <c r="S233" s="401">
        <v>0.48</v>
      </c>
      <c r="T233" s="400">
        <v>6.59</v>
      </c>
      <c r="U233" s="398">
        <v>57.7</v>
      </c>
      <c r="V233" s="110">
        <f t="shared" si="1"/>
        <v>16</v>
      </c>
      <c r="W233" s="85">
        <f t="shared" si="7"/>
        <v>15.9</v>
      </c>
      <c r="X233" s="110">
        <f t="shared" si="2"/>
        <v>15.7</v>
      </c>
      <c r="Y233" s="85">
        <f t="shared" si="3"/>
        <v>3.12</v>
      </c>
      <c r="Z233" s="85">
        <f t="shared" si="6"/>
        <v>8.879999999999999</v>
      </c>
    </row>
    <row r="234" spans="2:26" ht="25.5">
      <c r="B234" s="395" t="s">
        <v>639</v>
      </c>
      <c r="C234" s="396" t="s">
        <v>645</v>
      </c>
      <c r="D234" s="397">
        <v>25</v>
      </c>
      <c r="E234" s="397">
        <v>27</v>
      </c>
      <c r="F234" s="397"/>
      <c r="G234" s="397"/>
      <c r="H234" s="398">
        <v>27.6</v>
      </c>
      <c r="I234" s="399"/>
      <c r="J234" s="400">
        <v>0</v>
      </c>
      <c r="K234" s="400">
        <v>0.77</v>
      </c>
      <c r="L234" s="400"/>
      <c r="M234" s="409"/>
      <c r="N234" s="401">
        <v>0.23</v>
      </c>
      <c r="O234" s="397">
        <v>20.8</v>
      </c>
      <c r="P234" s="402">
        <v>182</v>
      </c>
      <c r="Q234" s="400">
        <v>0.04</v>
      </c>
      <c r="R234" s="400">
        <v>1</v>
      </c>
      <c r="S234" s="401">
        <v>0.04</v>
      </c>
      <c r="T234" s="400">
        <v>0.83</v>
      </c>
      <c r="U234" s="398">
        <v>7.3</v>
      </c>
      <c r="V234" s="110">
        <f t="shared" si="1"/>
        <v>27.6</v>
      </c>
      <c r="W234" s="85">
        <f t="shared" si="7"/>
        <v>27</v>
      </c>
      <c r="X234" s="110">
        <f t="shared" si="2"/>
        <v>25</v>
      </c>
      <c r="Y234" s="85">
        <f t="shared" si="3"/>
        <v>5.5200000000000005</v>
      </c>
      <c r="Z234" s="85">
        <f t="shared" si="6"/>
        <v>18.48</v>
      </c>
    </row>
    <row r="235" spans="2:26" ht="25.5">
      <c r="B235" s="395" t="s">
        <v>639</v>
      </c>
      <c r="C235" s="396" t="s">
        <v>646</v>
      </c>
      <c r="D235" s="397">
        <v>12.2</v>
      </c>
      <c r="E235" s="397">
        <v>15.4</v>
      </c>
      <c r="F235" s="397"/>
      <c r="G235" s="397"/>
      <c r="H235" s="398">
        <v>15.4</v>
      </c>
      <c r="I235" s="399"/>
      <c r="J235" s="400">
        <v>0</v>
      </c>
      <c r="K235" s="400">
        <v>0.7</v>
      </c>
      <c r="L235" s="400"/>
      <c r="M235" s="409"/>
      <c r="N235" s="401">
        <v>0.3</v>
      </c>
      <c r="O235" s="397">
        <v>10.8</v>
      </c>
      <c r="P235" s="402">
        <v>94</v>
      </c>
      <c r="Q235" s="400">
        <v>0.06</v>
      </c>
      <c r="R235" s="400">
        <v>1</v>
      </c>
      <c r="S235" s="401">
        <v>0.06</v>
      </c>
      <c r="T235" s="400">
        <v>0.65</v>
      </c>
      <c r="U235" s="398">
        <v>5.7</v>
      </c>
      <c r="V235" s="110">
        <f t="shared" si="1"/>
        <v>15.4</v>
      </c>
      <c r="W235" s="85">
        <f t="shared" si="7"/>
        <v>15.4</v>
      </c>
      <c r="X235" s="110">
        <f t="shared" si="2"/>
        <v>12.2</v>
      </c>
      <c r="Y235" s="85">
        <f t="shared" si="3"/>
        <v>7.1999999999999993</v>
      </c>
      <c r="Z235" s="85">
        <f t="shared" si="6"/>
        <v>16.799999999999997</v>
      </c>
    </row>
    <row r="236" spans="2:26">
      <c r="B236" s="395" t="s">
        <v>647</v>
      </c>
      <c r="C236" s="396" t="s">
        <v>211</v>
      </c>
      <c r="D236" s="397">
        <v>2.5</v>
      </c>
      <c r="E236" s="397">
        <v>7.5</v>
      </c>
      <c r="F236" s="397"/>
      <c r="G236" s="397"/>
      <c r="H236" s="398">
        <v>13</v>
      </c>
      <c r="I236" s="399">
        <v>0</v>
      </c>
      <c r="J236" s="400">
        <v>0.71</v>
      </c>
      <c r="K236" s="400">
        <v>0.21</v>
      </c>
      <c r="L236" s="400"/>
      <c r="M236" s="409"/>
      <c r="N236" s="401">
        <v>0.08</v>
      </c>
      <c r="O236" s="397">
        <v>3.4</v>
      </c>
      <c r="P236" s="402">
        <v>29</v>
      </c>
      <c r="Q236" s="400">
        <v>0.76</v>
      </c>
      <c r="R236" s="400">
        <v>1</v>
      </c>
      <c r="S236" s="401">
        <v>0.76</v>
      </c>
      <c r="T236" s="400">
        <v>2.5499999999999998</v>
      </c>
      <c r="U236" s="398">
        <v>22.3</v>
      </c>
      <c r="V236" s="110">
        <f t="shared" si="1"/>
        <v>13</v>
      </c>
      <c r="W236" s="85">
        <f t="shared" si="7"/>
        <v>7.5</v>
      </c>
      <c r="X236" s="110">
        <f t="shared" si="2"/>
        <v>2.5</v>
      </c>
      <c r="Y236" s="85">
        <f t="shared" si="3"/>
        <v>1.92</v>
      </c>
      <c r="Z236" s="85">
        <f t="shared" si="6"/>
        <v>5.04</v>
      </c>
    </row>
    <row r="237" spans="2:26">
      <c r="B237" s="395" t="s">
        <v>647</v>
      </c>
      <c r="C237" s="396" t="s">
        <v>648</v>
      </c>
      <c r="D237" s="397">
        <v>2.2999999999999998</v>
      </c>
      <c r="E237" s="397">
        <v>5.0999999999999996</v>
      </c>
      <c r="F237" s="397"/>
      <c r="G237" s="397"/>
      <c r="H237" s="398">
        <v>13</v>
      </c>
      <c r="I237" s="399">
        <v>0</v>
      </c>
      <c r="J237" s="400">
        <v>0.64</v>
      </c>
      <c r="K237" s="400">
        <v>0.21</v>
      </c>
      <c r="L237" s="400"/>
      <c r="M237" s="409"/>
      <c r="N237" s="401">
        <v>0.15</v>
      </c>
      <c r="O237" s="397">
        <v>2.5</v>
      </c>
      <c r="P237" s="402">
        <v>22</v>
      </c>
      <c r="Q237" s="400">
        <v>0.31</v>
      </c>
      <c r="R237" s="400">
        <v>1</v>
      </c>
      <c r="S237" s="401">
        <v>0.31</v>
      </c>
      <c r="T237" s="400">
        <v>0.79</v>
      </c>
      <c r="U237" s="398">
        <v>6.9</v>
      </c>
      <c r="V237" s="110">
        <f t="shared" si="1"/>
        <v>13</v>
      </c>
      <c r="W237" s="85">
        <f t="shared" si="7"/>
        <v>5.0999999999999996</v>
      </c>
      <c r="X237" s="110">
        <f t="shared" si="2"/>
        <v>2.2999999999999998</v>
      </c>
      <c r="Y237" s="85">
        <f t="shared" si="3"/>
        <v>3.5999999999999996</v>
      </c>
      <c r="Z237" s="85">
        <f t="shared" si="6"/>
        <v>5.04</v>
      </c>
    </row>
    <row r="238" spans="2:26">
      <c r="B238" s="395" t="s">
        <v>647</v>
      </c>
      <c r="C238" s="396" t="s">
        <v>649</v>
      </c>
      <c r="D238" s="397">
        <v>1.2</v>
      </c>
      <c r="E238" s="397">
        <v>6</v>
      </c>
      <c r="F238" s="397"/>
      <c r="G238" s="397"/>
      <c r="H238" s="398">
        <v>10</v>
      </c>
      <c r="I238" s="399">
        <v>0</v>
      </c>
      <c r="J238" s="400">
        <v>0.77</v>
      </c>
      <c r="K238" s="400">
        <v>0.21</v>
      </c>
      <c r="L238" s="400"/>
      <c r="M238" s="409"/>
      <c r="N238" s="401">
        <v>0.02</v>
      </c>
      <c r="O238" s="397">
        <v>2.2000000000000002</v>
      </c>
      <c r="P238" s="402">
        <v>19</v>
      </c>
      <c r="Q238" s="400">
        <v>1</v>
      </c>
      <c r="R238" s="400">
        <v>1</v>
      </c>
      <c r="S238" s="401">
        <v>1</v>
      </c>
      <c r="T238" s="400">
        <v>2.1800000000000002</v>
      </c>
      <c r="U238" s="398">
        <v>19.100000000000001</v>
      </c>
      <c r="V238" s="110">
        <f t="shared" si="1"/>
        <v>10</v>
      </c>
      <c r="W238" s="85">
        <f t="shared" si="7"/>
        <v>6</v>
      </c>
      <c r="X238" s="110">
        <f t="shared" si="2"/>
        <v>1.2</v>
      </c>
      <c r="Y238" s="85">
        <f t="shared" si="3"/>
        <v>0.48</v>
      </c>
      <c r="Z238" s="85">
        <f t="shared" si="6"/>
        <v>5.04</v>
      </c>
    </row>
    <row r="239" spans="2:26">
      <c r="B239" s="395" t="s">
        <v>647</v>
      </c>
      <c r="C239" s="396" t="s">
        <v>650</v>
      </c>
      <c r="D239" s="397">
        <v>0.8</v>
      </c>
      <c r="E239" s="397"/>
      <c r="F239" s="397"/>
      <c r="G239" s="397"/>
      <c r="H239" s="398">
        <v>18.3</v>
      </c>
      <c r="I239" s="399"/>
      <c r="J239" s="400">
        <v>0.73</v>
      </c>
      <c r="K239" s="400"/>
      <c r="L239" s="400"/>
      <c r="M239" s="409"/>
      <c r="N239" s="401">
        <v>0.27</v>
      </c>
      <c r="O239" s="397">
        <v>0.6</v>
      </c>
      <c r="P239" s="402">
        <v>5</v>
      </c>
      <c r="Q239" s="400">
        <v>0</v>
      </c>
      <c r="R239" s="400">
        <v>1</v>
      </c>
      <c r="S239" s="401">
        <v>0</v>
      </c>
      <c r="T239" s="400">
        <v>0</v>
      </c>
      <c r="U239" s="398">
        <v>0</v>
      </c>
      <c r="V239" s="110">
        <f t="shared" si="1"/>
        <v>18.3</v>
      </c>
      <c r="W239" s="85">
        <f t="shared" si="7"/>
        <v>0</v>
      </c>
      <c r="X239" s="110">
        <f t="shared" si="2"/>
        <v>0.8</v>
      </c>
      <c r="Y239" s="85">
        <f t="shared" si="3"/>
        <v>6.48</v>
      </c>
      <c r="Z239" s="85">
        <f t="shared" si="6"/>
        <v>0</v>
      </c>
    </row>
    <row r="240" spans="2:26">
      <c r="B240" s="395" t="s">
        <v>647</v>
      </c>
      <c r="C240" s="396" t="s">
        <v>651</v>
      </c>
      <c r="D240" s="397">
        <v>1</v>
      </c>
      <c r="E240" s="397">
        <v>23</v>
      </c>
      <c r="F240" s="397"/>
      <c r="G240" s="397"/>
      <c r="H240" s="398">
        <v>24</v>
      </c>
      <c r="I240" s="399"/>
      <c r="J240" s="400">
        <v>0.77</v>
      </c>
      <c r="K240" s="400">
        <v>0.12</v>
      </c>
      <c r="L240" s="400"/>
      <c r="M240" s="409"/>
      <c r="N240" s="401">
        <v>0.11</v>
      </c>
      <c r="O240" s="397">
        <v>3.5</v>
      </c>
      <c r="P240" s="402">
        <v>31</v>
      </c>
      <c r="Q240" s="400">
        <v>0.28999999999999998</v>
      </c>
      <c r="R240" s="400">
        <v>1</v>
      </c>
      <c r="S240" s="401">
        <v>0.28999999999999998</v>
      </c>
      <c r="T240" s="400">
        <v>1.02</v>
      </c>
      <c r="U240" s="398">
        <v>9</v>
      </c>
      <c r="V240" s="110">
        <f t="shared" si="1"/>
        <v>24</v>
      </c>
      <c r="W240" s="85">
        <f t="shared" si="7"/>
        <v>23</v>
      </c>
      <c r="X240" s="110">
        <f t="shared" si="2"/>
        <v>1</v>
      </c>
      <c r="Y240" s="85">
        <f t="shared" si="3"/>
        <v>2.64</v>
      </c>
      <c r="Z240" s="85">
        <f t="shared" si="6"/>
        <v>2.88</v>
      </c>
    </row>
    <row r="241" spans="1:26" ht="25.5">
      <c r="B241" s="395" t="s">
        <v>647</v>
      </c>
      <c r="C241" s="396" t="s">
        <v>652</v>
      </c>
      <c r="D241" s="397">
        <v>37</v>
      </c>
      <c r="E241" s="397">
        <v>38</v>
      </c>
      <c r="F241" s="397"/>
      <c r="G241" s="397"/>
      <c r="H241" s="398">
        <v>38</v>
      </c>
      <c r="I241" s="399">
        <v>0</v>
      </c>
      <c r="J241" s="400">
        <v>0</v>
      </c>
      <c r="K241" s="400">
        <v>0.6</v>
      </c>
      <c r="L241" s="400"/>
      <c r="M241" s="409"/>
      <c r="N241" s="401">
        <v>0.4</v>
      </c>
      <c r="O241" s="397">
        <v>22.8</v>
      </c>
      <c r="P241" s="402">
        <v>200</v>
      </c>
      <c r="Q241" s="400">
        <v>0.19</v>
      </c>
      <c r="R241" s="400">
        <v>1</v>
      </c>
      <c r="S241" s="401">
        <v>0.19</v>
      </c>
      <c r="T241" s="400">
        <v>4.33</v>
      </c>
      <c r="U241" s="398">
        <v>37.9</v>
      </c>
      <c r="V241" s="110">
        <f t="shared" si="1"/>
        <v>38</v>
      </c>
      <c r="W241" s="85">
        <f t="shared" si="7"/>
        <v>38</v>
      </c>
      <c r="X241" s="110">
        <f t="shared" si="2"/>
        <v>37</v>
      </c>
      <c r="Y241" s="85">
        <f t="shared" si="3"/>
        <v>9.6000000000000014</v>
      </c>
      <c r="Z241" s="85">
        <f t="shared" si="6"/>
        <v>14.399999999999999</v>
      </c>
    </row>
    <row r="242" spans="1:26" ht="25.5">
      <c r="B242" s="395" t="s">
        <v>647</v>
      </c>
      <c r="C242" s="396" t="s">
        <v>653</v>
      </c>
      <c r="D242" s="397">
        <v>1.1000000000000001</v>
      </c>
      <c r="E242" s="397"/>
      <c r="F242" s="397"/>
      <c r="G242" s="397"/>
      <c r="H242" s="398">
        <v>5</v>
      </c>
      <c r="I242" s="399">
        <v>0.21</v>
      </c>
      <c r="J242" s="400">
        <v>0.78</v>
      </c>
      <c r="K242" s="400"/>
      <c r="L242" s="400"/>
      <c r="M242" s="409"/>
      <c r="N242" s="401">
        <v>0.01</v>
      </c>
      <c r="O242" s="397">
        <v>0.9</v>
      </c>
      <c r="P242" s="402">
        <v>8</v>
      </c>
      <c r="Q242" s="400">
        <v>0.13</v>
      </c>
      <c r="R242" s="400">
        <v>1</v>
      </c>
      <c r="S242" s="401">
        <v>0.13</v>
      </c>
      <c r="T242" s="400">
        <v>0.11</v>
      </c>
      <c r="U242" s="398">
        <v>1</v>
      </c>
      <c r="V242" s="110">
        <f t="shared" si="1"/>
        <v>5</v>
      </c>
      <c r="W242" s="85">
        <f t="shared" si="7"/>
        <v>0</v>
      </c>
      <c r="X242" s="110">
        <f t="shared" si="2"/>
        <v>1.1000000000000001</v>
      </c>
      <c r="Y242" s="85">
        <f t="shared" si="3"/>
        <v>0.24</v>
      </c>
      <c r="Z242" s="85">
        <f t="shared" si="6"/>
        <v>0</v>
      </c>
    </row>
    <row r="243" spans="1:26" ht="25.5">
      <c r="B243" s="395" t="s">
        <v>654</v>
      </c>
      <c r="C243" s="396" t="s">
        <v>655</v>
      </c>
      <c r="D243" s="397">
        <v>0.3</v>
      </c>
      <c r="E243" s="397">
        <v>0.4</v>
      </c>
      <c r="F243" s="407"/>
      <c r="G243" s="407"/>
      <c r="H243" s="398">
        <v>500</v>
      </c>
      <c r="I243" s="399">
        <v>0.75</v>
      </c>
      <c r="J243" s="400">
        <v>0.22</v>
      </c>
      <c r="K243" s="408"/>
      <c r="L243" s="408"/>
      <c r="M243" s="409"/>
      <c r="N243" s="401">
        <v>0.03</v>
      </c>
      <c r="O243" s="397">
        <v>0.1</v>
      </c>
      <c r="P243" s="402">
        <v>1</v>
      </c>
      <c r="Q243" s="400">
        <v>0.8</v>
      </c>
      <c r="R243" s="400">
        <v>0.02</v>
      </c>
      <c r="S243" s="401">
        <v>0.02</v>
      </c>
      <c r="T243" s="400">
        <v>0</v>
      </c>
      <c r="U243" s="398">
        <v>0</v>
      </c>
      <c r="V243" s="110">
        <f t="shared" si="1"/>
        <v>500</v>
      </c>
      <c r="W243" s="85">
        <f t="shared" si="7"/>
        <v>0</v>
      </c>
      <c r="X243" s="110">
        <f t="shared" si="2"/>
        <v>0.3</v>
      </c>
      <c r="Y243" s="85">
        <f t="shared" si="3"/>
        <v>0.72</v>
      </c>
      <c r="Z243" s="85">
        <f t="shared" si="6"/>
        <v>0</v>
      </c>
    </row>
    <row r="244" spans="1:26" ht="26.25" thickBot="1">
      <c r="B244" s="412" t="s">
        <v>656</v>
      </c>
      <c r="C244" s="413" t="s">
        <v>657</v>
      </c>
      <c r="D244" s="414">
        <v>6</v>
      </c>
      <c r="E244" s="415"/>
      <c r="F244" s="415"/>
      <c r="G244" s="414"/>
      <c r="H244" s="416">
        <v>80</v>
      </c>
      <c r="I244" s="417"/>
      <c r="J244" s="418">
        <v>0.92</v>
      </c>
      <c r="K244" s="418"/>
      <c r="L244" s="418"/>
      <c r="M244" s="418"/>
      <c r="N244" s="419">
        <v>0.08</v>
      </c>
      <c r="O244" s="414">
        <v>5.5</v>
      </c>
      <c r="P244" s="420">
        <v>48</v>
      </c>
      <c r="Q244" s="418">
        <v>0.01</v>
      </c>
      <c r="R244" s="418">
        <v>0.95</v>
      </c>
      <c r="S244" s="419">
        <v>0.01</v>
      </c>
      <c r="T244" s="418">
        <v>7.0000000000000007E-2</v>
      </c>
      <c r="U244" s="416">
        <v>0.6</v>
      </c>
      <c r="V244" s="110">
        <f t="shared" si="1"/>
        <v>80</v>
      </c>
      <c r="W244" s="85">
        <f t="shared" si="7"/>
        <v>0</v>
      </c>
      <c r="X244" s="110">
        <f t="shared" si="2"/>
        <v>6</v>
      </c>
      <c r="Y244" s="85">
        <f t="shared" si="3"/>
        <v>1.92</v>
      </c>
      <c r="Z244" s="85">
        <f t="shared" si="6"/>
        <v>0</v>
      </c>
    </row>
    <row r="246" spans="1:26">
      <c r="A246" s="130" t="s">
        <v>658</v>
      </c>
    </row>
    <row r="247" spans="1:26">
      <c r="B247" s="421" t="s">
        <v>659</v>
      </c>
      <c r="C247" s="421" t="s">
        <v>660</v>
      </c>
      <c r="D247" s="421" t="s">
        <v>661</v>
      </c>
      <c r="E247" s="421" t="s">
        <v>662</v>
      </c>
      <c r="F247" s="421" t="s">
        <v>663</v>
      </c>
    </row>
    <row r="248" spans="1:26" ht="12.75" customHeight="1">
      <c r="B248" s="602" t="s">
        <v>664</v>
      </c>
      <c r="C248" s="602"/>
      <c r="D248" s="602"/>
      <c r="E248" s="602"/>
      <c r="F248" s="602"/>
      <c r="G248" s="85" t="s">
        <v>665</v>
      </c>
      <c r="H248" s="85" t="s">
        <v>666</v>
      </c>
    </row>
    <row r="249" spans="1:26">
      <c r="B249" s="355" t="s">
        <v>303</v>
      </c>
      <c r="C249" s="355">
        <v>0.8</v>
      </c>
      <c r="D249" s="355">
        <v>0</v>
      </c>
      <c r="E249" s="355">
        <v>2.99</v>
      </c>
      <c r="F249" s="355">
        <v>21</v>
      </c>
      <c r="G249" s="400">
        <v>0.53</v>
      </c>
      <c r="H249" s="237">
        <f>(C249*G249+C253*G253)/SUM(G249,G253)</f>
        <v>0.9419354838709677</v>
      </c>
    </row>
    <row r="250" spans="1:26">
      <c r="B250" s="355" t="s">
        <v>667</v>
      </c>
      <c r="C250" s="355">
        <v>65.099999999999994</v>
      </c>
      <c r="D250" s="355">
        <v>34.54</v>
      </c>
      <c r="E250" s="355">
        <v>124.78</v>
      </c>
      <c r="F250" s="355">
        <v>21</v>
      </c>
      <c r="G250" s="400">
        <v>0.53</v>
      </c>
      <c r="H250" s="237">
        <f>(C250*G250+C254*G254)/SUM(G250,G254)</f>
        <v>48.975268817204295</v>
      </c>
    </row>
    <row r="251" spans="1:26">
      <c r="B251" s="355" t="s">
        <v>473</v>
      </c>
      <c r="C251" s="355">
        <v>12.14</v>
      </c>
      <c r="D251" s="355">
        <v>1.6</v>
      </c>
      <c r="E251" s="355">
        <v>74.5</v>
      </c>
      <c r="F251" s="355">
        <v>14</v>
      </c>
      <c r="G251" s="400">
        <v>0.53</v>
      </c>
      <c r="H251" s="237">
        <f>(C251*G251+C255*G255)/SUM(G251,G255)</f>
        <v>7.5120430107526879</v>
      </c>
    </row>
    <row r="252" spans="1:26" ht="12.75" customHeight="1">
      <c r="B252" s="602" t="s">
        <v>668</v>
      </c>
      <c r="C252" s="602"/>
      <c r="D252" s="602"/>
      <c r="E252" s="602"/>
      <c r="F252" s="602"/>
    </row>
    <row r="253" spans="1:26">
      <c r="B253" s="355" t="s">
        <v>303</v>
      </c>
      <c r="C253" s="355">
        <v>1.1299999999999999</v>
      </c>
      <c r="D253" s="355">
        <v>0.31</v>
      </c>
      <c r="E253" s="355">
        <v>3.5</v>
      </c>
      <c r="F253" s="355">
        <v>32</v>
      </c>
      <c r="G253" s="400">
        <v>0.4</v>
      </c>
    </row>
    <row r="254" spans="1:26">
      <c r="B254" s="355" t="s">
        <v>667</v>
      </c>
      <c r="C254" s="355">
        <v>27.61</v>
      </c>
      <c r="D254" s="355">
        <v>1.9</v>
      </c>
      <c r="E254" s="355">
        <v>55.48</v>
      </c>
      <c r="F254" s="355">
        <v>31</v>
      </c>
      <c r="G254" s="400">
        <v>0.4</v>
      </c>
    </row>
    <row r="255" spans="1:26">
      <c r="B255" s="355" t="s">
        <v>473</v>
      </c>
      <c r="C255" s="355">
        <v>1.38</v>
      </c>
      <c r="D255" s="355">
        <v>0.37</v>
      </c>
      <c r="E255" s="355">
        <v>7.8</v>
      </c>
      <c r="F255" s="355">
        <v>30</v>
      </c>
      <c r="G255" s="400">
        <v>0.4</v>
      </c>
    </row>
    <row r="256" spans="1:26" ht="12.75" customHeight="1">
      <c r="B256" s="602" t="s">
        <v>614</v>
      </c>
      <c r="C256" s="602"/>
      <c r="D256" s="602"/>
      <c r="E256" s="602"/>
      <c r="F256" s="602"/>
    </row>
    <row r="257" spans="2:6">
      <c r="B257" s="355" t="s">
        <v>669</v>
      </c>
      <c r="C257" s="355">
        <v>73.97</v>
      </c>
      <c r="D257" s="355">
        <v>27.5</v>
      </c>
      <c r="E257" s="355">
        <v>180.83</v>
      </c>
      <c r="F257" s="355">
        <v>63</v>
      </c>
    </row>
    <row r="258" spans="2:6">
      <c r="B258" s="355" t="s">
        <v>303</v>
      </c>
      <c r="C258" s="355">
        <v>2.84</v>
      </c>
      <c r="D258" s="355">
        <v>0</v>
      </c>
      <c r="E258" s="355">
        <v>9.2100000000000009</v>
      </c>
      <c r="F258" s="355">
        <v>64</v>
      </c>
    </row>
    <row r="259" spans="2:6">
      <c r="B259" s="355" t="s">
        <v>473</v>
      </c>
      <c r="C259" s="355">
        <v>21.13</v>
      </c>
      <c r="D259" s="355">
        <v>1.1000000000000001</v>
      </c>
      <c r="E259" s="355">
        <v>83.3</v>
      </c>
      <c r="F259" s="355">
        <v>52</v>
      </c>
    </row>
    <row r="260" spans="2:6" ht="12.75" customHeight="1">
      <c r="B260" s="602" t="s">
        <v>616</v>
      </c>
      <c r="C260" s="602"/>
      <c r="D260" s="602"/>
      <c r="E260" s="602"/>
      <c r="F260" s="602"/>
    </row>
    <row r="261" spans="2:6">
      <c r="B261" s="355" t="s">
        <v>670</v>
      </c>
      <c r="C261" s="355">
        <v>29.48</v>
      </c>
      <c r="D261" s="355">
        <v>14.95</v>
      </c>
      <c r="E261" s="355">
        <v>73.099999999999994</v>
      </c>
      <c r="F261" s="355">
        <v>13</v>
      </c>
    </row>
    <row r="262" spans="2:6">
      <c r="B262" s="355" t="s">
        <v>671</v>
      </c>
      <c r="C262" s="355">
        <v>44.28</v>
      </c>
      <c r="D262" s="355">
        <v>27.38</v>
      </c>
      <c r="E262" s="355">
        <v>66.900000000000006</v>
      </c>
      <c r="F262" s="355">
        <v>8</v>
      </c>
    </row>
    <row r="263" spans="2:6">
      <c r="B263" s="355" t="s">
        <v>303</v>
      </c>
      <c r="C263" s="355">
        <v>8.9</v>
      </c>
      <c r="D263" s="355">
        <v>0.47</v>
      </c>
      <c r="E263" s="355">
        <v>50</v>
      </c>
      <c r="F263" s="355">
        <v>19</v>
      </c>
    </row>
    <row r="264" spans="2:6" ht="25.5">
      <c r="B264" s="355" t="s">
        <v>672</v>
      </c>
      <c r="C264" s="355">
        <v>4.42</v>
      </c>
      <c r="D264" s="355">
        <v>0.15</v>
      </c>
      <c r="E264" s="355">
        <v>26.4</v>
      </c>
      <c r="F264" s="355">
        <v>19</v>
      </c>
    </row>
    <row r="265" spans="2:6">
      <c r="B265" s="355" t="s">
        <v>473</v>
      </c>
      <c r="C265" s="355">
        <v>15.77</v>
      </c>
      <c r="D265" s="355">
        <v>0.82</v>
      </c>
      <c r="E265" s="355">
        <v>54.8</v>
      </c>
      <c r="F265" s="355">
        <v>16</v>
      </c>
    </row>
    <row r="266" spans="2:6" ht="12.75" customHeight="1">
      <c r="B266" s="602" t="s">
        <v>673</v>
      </c>
      <c r="C266" s="602"/>
      <c r="D266" s="602"/>
      <c r="E266" s="602"/>
      <c r="F266" s="602"/>
    </row>
    <row r="267" spans="2:6">
      <c r="B267" s="355" t="s">
        <v>303</v>
      </c>
      <c r="C267" s="355">
        <v>5.26</v>
      </c>
      <c r="D267" s="355">
        <v>0</v>
      </c>
      <c r="E267" s="355">
        <v>10.029999999999999</v>
      </c>
      <c r="F267" s="355">
        <v>23</v>
      </c>
    </row>
    <row r="268" spans="2:6">
      <c r="B268" s="355" t="s">
        <v>667</v>
      </c>
      <c r="C268" s="355">
        <v>9.16</v>
      </c>
      <c r="D268" s="355">
        <v>3.9</v>
      </c>
      <c r="E268" s="355">
        <v>17.7</v>
      </c>
      <c r="F268" s="355">
        <v>24</v>
      </c>
    </row>
    <row r="269" spans="2:6" ht="12.75" customHeight="1">
      <c r="B269" s="602" t="s">
        <v>674</v>
      </c>
      <c r="C269" s="602"/>
      <c r="D269" s="602"/>
      <c r="E269" s="602"/>
      <c r="F269" s="602"/>
    </row>
    <row r="270" spans="2:6">
      <c r="B270" s="355" t="s">
        <v>303</v>
      </c>
      <c r="C270" s="355">
        <v>3.12</v>
      </c>
      <c r="D270" s="355">
        <v>0</v>
      </c>
      <c r="E270" s="355">
        <v>4.7</v>
      </c>
      <c r="F270" s="355">
        <v>3</v>
      </c>
    </row>
    <row r="271" spans="2:6">
      <c r="B271" s="355" t="s">
        <v>667</v>
      </c>
      <c r="C271" s="355">
        <v>49.68</v>
      </c>
      <c r="D271" s="355">
        <v>5</v>
      </c>
      <c r="E271" s="355">
        <v>175</v>
      </c>
      <c r="F271" s="355">
        <v>4</v>
      </c>
    </row>
    <row r="272" spans="2:6" ht="12.75" customHeight="1">
      <c r="B272" s="602" t="s">
        <v>630</v>
      </c>
      <c r="C272" s="602"/>
      <c r="D272" s="602"/>
      <c r="E272" s="602"/>
      <c r="F272" s="602"/>
    </row>
    <row r="273" spans="2:8">
      <c r="B273" s="355" t="s">
        <v>303</v>
      </c>
      <c r="C273" s="355">
        <v>1.26</v>
      </c>
      <c r="D273" s="355">
        <v>0</v>
      </c>
      <c r="E273" s="355">
        <v>4</v>
      </c>
      <c r="F273" s="355">
        <v>25</v>
      </c>
      <c r="G273" s="400">
        <v>0.43</v>
      </c>
      <c r="H273" s="229">
        <f>(C273*G273+C276*G276)/SUM(G273,G276)</f>
        <v>1.3048</v>
      </c>
    </row>
    <row r="274" spans="2:8">
      <c r="B274" s="355" t="s">
        <v>667</v>
      </c>
      <c r="C274" s="355">
        <v>4.93</v>
      </c>
      <c r="D274" s="355">
        <v>1.81</v>
      </c>
      <c r="E274" s="355">
        <v>22</v>
      </c>
      <c r="F274" s="355">
        <v>25</v>
      </c>
      <c r="G274" s="400">
        <v>0.43</v>
      </c>
      <c r="H274" s="229">
        <f>(C274*G274+C277*G277)/SUM(G274,G277)</f>
        <v>22.589600000000001</v>
      </c>
    </row>
    <row r="275" spans="2:8" ht="12.75" customHeight="1">
      <c r="B275" s="602" t="s">
        <v>631</v>
      </c>
      <c r="C275" s="602"/>
      <c r="D275" s="602"/>
      <c r="E275" s="602"/>
      <c r="F275" s="602"/>
    </row>
    <row r="276" spans="2:8">
      <c r="B276" s="355" t="s">
        <v>303</v>
      </c>
      <c r="C276" s="355">
        <v>1.58</v>
      </c>
      <c r="D276" s="355">
        <v>0</v>
      </c>
      <c r="E276" s="355">
        <v>4.5</v>
      </c>
      <c r="F276" s="355">
        <v>7</v>
      </c>
      <c r="G276" s="400">
        <v>7.0000000000000007E-2</v>
      </c>
    </row>
    <row r="277" spans="2:8">
      <c r="B277" s="355" t="s">
        <v>667</v>
      </c>
      <c r="C277" s="355">
        <v>131.07</v>
      </c>
      <c r="D277" s="355">
        <v>1.7</v>
      </c>
      <c r="E277" s="355">
        <v>481.9</v>
      </c>
      <c r="F277" s="355">
        <v>5</v>
      </c>
      <c r="G277" s="400">
        <v>7.0000000000000007E-2</v>
      </c>
    </row>
    <row r="278" spans="2:8" ht="12.75" customHeight="1">
      <c r="B278" s="602" t="s">
        <v>633</v>
      </c>
      <c r="C278" s="602"/>
      <c r="D278" s="602"/>
      <c r="E278" s="602"/>
      <c r="F278" s="602"/>
    </row>
    <row r="279" spans="2:8">
      <c r="B279" s="355" t="s">
        <v>303</v>
      </c>
      <c r="C279" s="422">
        <v>2.48</v>
      </c>
      <c r="D279" s="355">
        <v>0.27</v>
      </c>
      <c r="E279" s="355">
        <v>8.1999999999999993</v>
      </c>
      <c r="F279" s="355">
        <v>6</v>
      </c>
    </row>
    <row r="280" spans="2:8">
      <c r="B280" s="355" t="s">
        <v>667</v>
      </c>
      <c r="C280" s="422">
        <v>9.6</v>
      </c>
      <c r="D280" s="355">
        <v>1.71</v>
      </c>
      <c r="E280" s="355">
        <v>15.6</v>
      </c>
      <c r="F280" s="355">
        <v>10</v>
      </c>
    </row>
    <row r="281" spans="2:8" ht="12.75" customHeight="1">
      <c r="B281" s="602" t="s">
        <v>635</v>
      </c>
      <c r="C281" s="602"/>
      <c r="D281" s="602"/>
      <c r="E281" s="602"/>
      <c r="F281" s="602"/>
    </row>
    <row r="282" spans="2:8">
      <c r="B282" s="355" t="s">
        <v>675</v>
      </c>
      <c r="C282" s="355">
        <v>4.12</v>
      </c>
      <c r="D282" s="355">
        <v>0.69</v>
      </c>
      <c r="E282" s="355">
        <v>9.84</v>
      </c>
      <c r="F282" s="355">
        <v>21</v>
      </c>
    </row>
    <row r="283" spans="2:8">
      <c r="B283" s="355" t="s">
        <v>303</v>
      </c>
      <c r="C283" s="355">
        <v>1.79</v>
      </c>
      <c r="D283" s="355">
        <v>0</v>
      </c>
      <c r="E283" s="355">
        <v>5.6</v>
      </c>
      <c r="F283" s="355">
        <v>19</v>
      </c>
    </row>
    <row r="284" spans="2:8" ht="12.75" customHeight="1">
      <c r="B284" s="602" t="s">
        <v>622</v>
      </c>
      <c r="C284" s="602"/>
      <c r="D284" s="602"/>
      <c r="E284" s="602"/>
      <c r="F284" s="602"/>
    </row>
    <row r="285" spans="2:8">
      <c r="B285" s="355" t="s">
        <v>676</v>
      </c>
      <c r="C285" s="355">
        <v>3.06</v>
      </c>
      <c r="D285" s="355">
        <v>0.3</v>
      </c>
      <c r="E285" s="355">
        <v>10.34</v>
      </c>
      <c r="F285" s="355">
        <v>38</v>
      </c>
    </row>
    <row r="286" spans="2:8">
      <c r="B286" s="355" t="s">
        <v>677</v>
      </c>
      <c r="C286" s="355">
        <v>2.88</v>
      </c>
      <c r="D286" s="355">
        <v>0</v>
      </c>
      <c r="E286" s="355">
        <v>16.100000000000001</v>
      </c>
      <c r="F286" s="355">
        <v>58</v>
      </c>
    </row>
    <row r="287" spans="2:8" ht="12.75" customHeight="1">
      <c r="B287" s="602" t="s">
        <v>625</v>
      </c>
      <c r="C287" s="602"/>
      <c r="D287" s="602"/>
      <c r="E287" s="602"/>
      <c r="F287" s="602"/>
    </row>
    <row r="288" spans="2:8">
      <c r="B288" s="355" t="s">
        <v>667</v>
      </c>
      <c r="C288" s="355">
        <v>186.09</v>
      </c>
      <c r="D288" s="355">
        <v>186.09</v>
      </c>
      <c r="E288" s="355">
        <v>186.09</v>
      </c>
      <c r="F288" s="355">
        <v>1</v>
      </c>
    </row>
    <row r="289" spans="2:6">
      <c r="B289" s="355" t="s">
        <v>676</v>
      </c>
      <c r="C289" s="355">
        <v>6.97</v>
      </c>
      <c r="D289" s="355">
        <v>0.2</v>
      </c>
      <c r="E289" s="355">
        <v>48.5</v>
      </c>
      <c r="F289" s="355">
        <v>16</v>
      </c>
    </row>
    <row r="290" spans="2:6">
      <c r="B290" s="355" t="s">
        <v>677</v>
      </c>
      <c r="C290" s="355">
        <v>6.6</v>
      </c>
      <c r="D290" s="355">
        <v>0.2</v>
      </c>
      <c r="E290" s="355">
        <v>48.5</v>
      </c>
      <c r="F290" s="355">
        <v>15</v>
      </c>
    </row>
    <row r="291" spans="2:6" ht="12.75" customHeight="1">
      <c r="B291" s="602" t="s">
        <v>678</v>
      </c>
      <c r="C291" s="602"/>
      <c r="D291" s="602"/>
      <c r="E291" s="602"/>
      <c r="F291" s="602"/>
    </row>
    <row r="292" spans="2:6">
      <c r="B292" s="355" t="s">
        <v>679</v>
      </c>
      <c r="C292" s="355">
        <v>9.48</v>
      </c>
      <c r="D292" s="355">
        <v>5.08</v>
      </c>
      <c r="E292" s="355">
        <v>16.399999999999999</v>
      </c>
      <c r="F292" s="355">
        <v>3</v>
      </c>
    </row>
    <row r="293" spans="2:6">
      <c r="B293" s="355" t="s">
        <v>680</v>
      </c>
      <c r="C293" s="355">
        <v>9.92</v>
      </c>
      <c r="D293" s="355">
        <v>5.07</v>
      </c>
      <c r="E293" s="355">
        <v>17.7</v>
      </c>
      <c r="F293" s="355">
        <v>3</v>
      </c>
    </row>
    <row r="294" spans="2:6">
      <c r="B294" s="355" t="s">
        <v>303</v>
      </c>
      <c r="C294" s="355">
        <v>1.1200000000000001</v>
      </c>
      <c r="D294" s="355">
        <v>0</v>
      </c>
      <c r="E294" s="355">
        <v>3.37</v>
      </c>
      <c r="F294" s="355">
        <v>3</v>
      </c>
    </row>
    <row r="295" spans="2:6" ht="12.75" customHeight="1">
      <c r="B295" s="602" t="s">
        <v>593</v>
      </c>
      <c r="C295" s="602"/>
      <c r="D295" s="602"/>
      <c r="E295" s="602"/>
      <c r="F295" s="602"/>
    </row>
    <row r="296" spans="2:6">
      <c r="B296" s="355" t="s">
        <v>679</v>
      </c>
      <c r="C296" s="355">
        <v>33.99</v>
      </c>
      <c r="D296" s="355">
        <v>21.4</v>
      </c>
      <c r="E296" s="355">
        <v>70.930000000000007</v>
      </c>
      <c r="F296" s="355">
        <v>6</v>
      </c>
    </row>
    <row r="297" spans="2:6">
      <c r="B297" s="355" t="s">
        <v>680</v>
      </c>
      <c r="C297" s="355">
        <v>39.159999999999997</v>
      </c>
      <c r="D297" s="355">
        <v>21.11</v>
      </c>
      <c r="E297" s="355">
        <v>69.3</v>
      </c>
      <c r="F297" s="355">
        <v>6</v>
      </c>
    </row>
    <row r="298" spans="2:6">
      <c r="B298" s="355" t="s">
        <v>303</v>
      </c>
      <c r="C298" s="355">
        <v>0.27</v>
      </c>
      <c r="D298" s="355">
        <v>0</v>
      </c>
      <c r="E298" s="355">
        <v>1.8</v>
      </c>
      <c r="F298" s="355">
        <v>7</v>
      </c>
    </row>
    <row r="299" spans="2:6" ht="12.75" customHeight="1">
      <c r="B299" s="602" t="s">
        <v>681</v>
      </c>
      <c r="C299" s="602"/>
      <c r="D299" s="602"/>
      <c r="E299" s="602"/>
      <c r="F299" s="602"/>
    </row>
    <row r="300" spans="2:6">
      <c r="B300" s="355" t="s">
        <v>679</v>
      </c>
      <c r="C300" s="355">
        <v>8.6199999999999992</v>
      </c>
      <c r="D300" s="355">
        <v>4</v>
      </c>
      <c r="E300" s="355">
        <v>25.7</v>
      </c>
      <c r="F300" s="355">
        <v>7</v>
      </c>
    </row>
    <row r="301" spans="2:6">
      <c r="B301" s="355" t="s">
        <v>680</v>
      </c>
      <c r="C301" s="355">
        <v>9.91</v>
      </c>
      <c r="D301" s="355">
        <v>5.8</v>
      </c>
      <c r="E301" s="355">
        <v>25.6</v>
      </c>
      <c r="F301" s="355">
        <v>7</v>
      </c>
    </row>
    <row r="302" spans="2:6">
      <c r="B302" s="355" t="s">
        <v>303</v>
      </c>
      <c r="C302" s="355">
        <v>5.04</v>
      </c>
      <c r="D302" s="355">
        <v>2</v>
      </c>
      <c r="E302" s="355">
        <v>18.399999999999999</v>
      </c>
      <c r="F302" s="355">
        <v>7</v>
      </c>
    </row>
    <row r="303" spans="2:6" ht="12.75" customHeight="1">
      <c r="B303" s="602" t="s">
        <v>405</v>
      </c>
      <c r="C303" s="602"/>
      <c r="D303" s="602"/>
      <c r="E303" s="602"/>
      <c r="F303" s="602"/>
    </row>
    <row r="304" spans="2:6">
      <c r="B304" s="355" t="s">
        <v>303</v>
      </c>
      <c r="C304" s="355">
        <v>1.49</v>
      </c>
      <c r="D304" s="355">
        <v>0</v>
      </c>
      <c r="E304" s="355">
        <v>2.97</v>
      </c>
      <c r="F304" s="355">
        <v>2</v>
      </c>
    </row>
    <row r="305" spans="2:6">
      <c r="B305" s="355" t="s">
        <v>667</v>
      </c>
      <c r="C305" s="355">
        <v>9.6300000000000008</v>
      </c>
      <c r="D305" s="355">
        <v>3.6</v>
      </c>
      <c r="E305" s="355">
        <v>14</v>
      </c>
      <c r="F305" s="355">
        <v>3</v>
      </c>
    </row>
    <row r="306" spans="2:6" ht="12.75" customHeight="1">
      <c r="B306" s="602" t="s">
        <v>682</v>
      </c>
      <c r="C306" s="602"/>
      <c r="D306" s="602"/>
      <c r="E306" s="602"/>
      <c r="F306" s="602"/>
    </row>
    <row r="307" spans="2:6">
      <c r="B307" s="355" t="s">
        <v>303</v>
      </c>
      <c r="C307" s="355">
        <v>0.75</v>
      </c>
      <c r="D307" s="355">
        <v>0</v>
      </c>
      <c r="E307" s="355">
        <v>1.5</v>
      </c>
      <c r="F307" s="355">
        <v>2</v>
      </c>
    </row>
    <row r="308" spans="2:6" ht="12.75" customHeight="1">
      <c r="B308" s="602" t="s">
        <v>213</v>
      </c>
      <c r="C308" s="602"/>
      <c r="D308" s="602"/>
      <c r="E308" s="602"/>
      <c r="F308" s="602"/>
    </row>
    <row r="309" spans="2:6">
      <c r="B309" s="355" t="s">
        <v>679</v>
      </c>
      <c r="C309" s="422">
        <v>7.54</v>
      </c>
      <c r="D309" s="355">
        <v>0.24</v>
      </c>
      <c r="E309" s="355">
        <v>12.7</v>
      </c>
      <c r="F309" s="355">
        <v>33</v>
      </c>
    </row>
    <row r="310" spans="2:6">
      <c r="B310" s="355" t="s">
        <v>680</v>
      </c>
      <c r="C310" s="422">
        <v>9.91</v>
      </c>
      <c r="D310" s="355">
        <v>5.28</v>
      </c>
      <c r="E310" s="355">
        <v>17.170000000000002</v>
      </c>
      <c r="F310" s="355">
        <v>33</v>
      </c>
    </row>
    <row r="311" spans="2:6">
      <c r="B311" s="355" t="s">
        <v>303</v>
      </c>
      <c r="C311" s="422">
        <v>1.55</v>
      </c>
      <c r="D311" s="355">
        <v>0</v>
      </c>
      <c r="E311" s="355">
        <v>10.58</v>
      </c>
      <c r="F311" s="355">
        <v>33</v>
      </c>
    </row>
    <row r="312" spans="2:6" ht="12.75" customHeight="1">
      <c r="B312" s="602" t="s">
        <v>343</v>
      </c>
      <c r="C312" s="602"/>
      <c r="D312" s="602"/>
      <c r="E312" s="602"/>
      <c r="F312" s="602"/>
    </row>
    <row r="313" spans="2:6">
      <c r="B313" s="355" t="s">
        <v>679</v>
      </c>
      <c r="C313" s="423">
        <v>13.51</v>
      </c>
      <c r="D313" s="355">
        <v>8.48</v>
      </c>
      <c r="E313" s="355">
        <v>20.5</v>
      </c>
      <c r="F313" s="355">
        <v>21</v>
      </c>
    </row>
    <row r="314" spans="2:6">
      <c r="B314" s="355" t="s">
        <v>680</v>
      </c>
      <c r="C314" s="423">
        <v>15.33</v>
      </c>
      <c r="D314" s="355">
        <v>9.43</v>
      </c>
      <c r="E314" s="355">
        <v>22.37</v>
      </c>
      <c r="F314" s="355">
        <v>19</v>
      </c>
    </row>
    <row r="315" spans="2:6">
      <c r="B315" s="355" t="s">
        <v>303</v>
      </c>
      <c r="C315" s="423">
        <v>5.04</v>
      </c>
      <c r="D315" s="355">
        <v>0.09</v>
      </c>
      <c r="E315" s="355">
        <v>12.7</v>
      </c>
      <c r="F315" s="355">
        <v>21</v>
      </c>
    </row>
    <row r="316" spans="2:6" ht="12.75" customHeight="1">
      <c r="B316" s="602" t="s">
        <v>683</v>
      </c>
      <c r="C316" s="602"/>
      <c r="D316" s="602"/>
      <c r="E316" s="602"/>
      <c r="F316" s="602"/>
    </row>
    <row r="317" spans="2:6">
      <c r="B317" s="355" t="s">
        <v>233</v>
      </c>
      <c r="C317" s="422">
        <v>26.98</v>
      </c>
      <c r="D317" s="355">
        <v>5.4</v>
      </c>
      <c r="E317" s="355">
        <v>67.680000000000007</v>
      </c>
      <c r="F317" s="355">
        <v>24</v>
      </c>
    </row>
    <row r="318" spans="2:6">
      <c r="B318" s="355" t="s">
        <v>303</v>
      </c>
      <c r="C318" s="422">
        <v>1.01</v>
      </c>
      <c r="D318" s="355">
        <v>0</v>
      </c>
      <c r="E318" s="355">
        <v>2.13</v>
      </c>
      <c r="F318" s="355">
        <v>26</v>
      </c>
    </row>
    <row r="319" spans="2:6">
      <c r="B319" s="355" t="s">
        <v>232</v>
      </c>
      <c r="C319" s="422">
        <v>23.34</v>
      </c>
      <c r="D319" s="355">
        <v>2.12</v>
      </c>
      <c r="E319" s="355">
        <v>63.74</v>
      </c>
      <c r="F319" s="355">
        <v>24</v>
      </c>
    </row>
    <row r="320" spans="2:6" ht="12.75" customHeight="1">
      <c r="B320" s="602" t="s">
        <v>602</v>
      </c>
      <c r="C320" s="602"/>
      <c r="D320" s="602"/>
      <c r="E320" s="602"/>
      <c r="F320" s="602"/>
    </row>
    <row r="321" spans="1:9">
      <c r="B321" s="355" t="s">
        <v>679</v>
      </c>
      <c r="C321" s="355">
        <v>37.61</v>
      </c>
      <c r="D321" s="355">
        <v>17.100000000000001</v>
      </c>
      <c r="E321" s="355">
        <v>65.2</v>
      </c>
      <c r="F321" s="355">
        <v>18</v>
      </c>
    </row>
    <row r="322" spans="1:9">
      <c r="B322" s="355" t="s">
        <v>303</v>
      </c>
      <c r="C322" s="355">
        <v>2.92</v>
      </c>
      <c r="D322" s="355">
        <v>0</v>
      </c>
      <c r="E322" s="355">
        <v>19.7</v>
      </c>
      <c r="F322" s="355">
        <v>18</v>
      </c>
    </row>
    <row r="323" spans="1:9" ht="12.75" customHeight="1">
      <c r="B323" s="602" t="s">
        <v>684</v>
      </c>
      <c r="C323" s="602"/>
      <c r="D323" s="602"/>
      <c r="E323" s="602"/>
      <c r="F323" s="602"/>
    </row>
    <row r="324" spans="1:9">
      <c r="B324" s="355" t="s">
        <v>679</v>
      </c>
      <c r="C324" s="355">
        <v>10.7</v>
      </c>
      <c r="D324" s="355">
        <v>5.8</v>
      </c>
      <c r="E324" s="355">
        <v>20.6</v>
      </c>
      <c r="F324" s="355">
        <v>7</v>
      </c>
    </row>
    <row r="325" spans="1:9">
      <c r="B325" s="355" t="s">
        <v>680</v>
      </c>
      <c r="C325" s="355">
        <v>12.42</v>
      </c>
      <c r="D325" s="355">
        <v>5.9</v>
      </c>
      <c r="E325" s="355">
        <v>20.6</v>
      </c>
      <c r="F325" s="355">
        <v>6</v>
      </c>
    </row>
    <row r="326" spans="1:9" ht="12.75" customHeight="1">
      <c r="B326" s="602" t="s">
        <v>626</v>
      </c>
      <c r="C326" s="602"/>
      <c r="D326" s="602"/>
      <c r="E326" s="602"/>
      <c r="F326" s="602"/>
    </row>
    <row r="327" spans="1:9">
      <c r="B327" s="355" t="s">
        <v>676</v>
      </c>
      <c r="C327" s="355">
        <v>5.15</v>
      </c>
      <c r="D327" s="355">
        <v>2.15</v>
      </c>
      <c r="E327" s="355">
        <v>13.3</v>
      </c>
      <c r="F327" s="355">
        <v>6</v>
      </c>
    </row>
    <row r="328" spans="1:9">
      <c r="B328" s="355" t="s">
        <v>677</v>
      </c>
      <c r="C328" s="355">
        <v>5.99</v>
      </c>
      <c r="D328" s="355">
        <v>2.15</v>
      </c>
      <c r="E328" s="355">
        <v>13.11</v>
      </c>
      <c r="F328" s="355">
        <v>7</v>
      </c>
    </row>
    <row r="329" spans="1:9" ht="12.75" customHeight="1">
      <c r="B329" s="602" t="s">
        <v>211</v>
      </c>
      <c r="C329" s="602"/>
      <c r="D329" s="602"/>
      <c r="E329" s="602"/>
      <c r="F329" s="602"/>
    </row>
    <row r="330" spans="1:9">
      <c r="B330" s="355" t="s">
        <v>679</v>
      </c>
      <c r="C330" s="422">
        <v>7.77</v>
      </c>
      <c r="D330" s="355">
        <v>3.8</v>
      </c>
      <c r="E330" s="355">
        <v>11.62</v>
      </c>
      <c r="F330" s="355">
        <v>14</v>
      </c>
    </row>
    <row r="331" spans="1:9">
      <c r="B331" s="355" t="s">
        <v>303</v>
      </c>
      <c r="C331" s="422">
        <v>4.6807100000000004</v>
      </c>
      <c r="D331" s="355">
        <v>1.2</v>
      </c>
      <c r="E331" s="355">
        <v>9.9</v>
      </c>
      <c r="F331" s="355">
        <v>14</v>
      </c>
    </row>
    <row r="333" spans="1:9">
      <c r="A333" s="130" t="s">
        <v>685</v>
      </c>
    </row>
    <row r="334" spans="1:9">
      <c r="B334" s="85" t="s">
        <v>686</v>
      </c>
    </row>
    <row r="335" spans="1:9">
      <c r="B335" s="85" t="s">
        <v>687</v>
      </c>
    </row>
    <row r="336" spans="1:9" ht="15">
      <c r="B336" s="603" t="s">
        <v>688</v>
      </c>
      <c r="C336" s="603"/>
      <c r="D336" s="603"/>
      <c r="E336" s="603"/>
      <c r="F336" s="603"/>
      <c r="G336" s="603"/>
      <c r="H336" s="603"/>
      <c r="I336" s="603"/>
    </row>
    <row r="337" spans="2:17" ht="15">
      <c r="B337" s="601" t="s">
        <v>689</v>
      </c>
      <c r="C337" s="601"/>
      <c r="D337" s="601"/>
      <c r="E337" s="601"/>
      <c r="F337" s="601"/>
      <c r="G337" s="601"/>
      <c r="H337" s="601"/>
      <c r="I337" s="601"/>
    </row>
    <row r="338" spans="2:17" ht="48">
      <c r="B338" s="424" t="s">
        <v>154</v>
      </c>
      <c r="C338" s="425" t="s">
        <v>690</v>
      </c>
      <c r="D338" s="426" t="s">
        <v>691</v>
      </c>
      <c r="E338" s="426" t="s">
        <v>692</v>
      </c>
      <c r="F338" s="426" t="s">
        <v>693</v>
      </c>
      <c r="G338" s="426" t="s">
        <v>694</v>
      </c>
      <c r="H338" s="426" t="s">
        <v>695</v>
      </c>
      <c r="I338" s="426" t="s">
        <v>696</v>
      </c>
      <c r="K338" s="393"/>
      <c r="L338" s="394" t="s">
        <v>208</v>
      </c>
      <c r="M338" s="394" t="s">
        <v>209</v>
      </c>
      <c r="N338" s="394" t="s">
        <v>403</v>
      </c>
      <c r="O338" s="394" t="s">
        <v>339</v>
      </c>
      <c r="P338" s="394" t="s">
        <v>340</v>
      </c>
      <c r="Q338" s="427" t="s">
        <v>663</v>
      </c>
    </row>
    <row r="339" spans="2:17">
      <c r="B339" s="428" t="s">
        <v>697</v>
      </c>
      <c r="C339" s="429" t="s">
        <v>698</v>
      </c>
      <c r="D339" s="430">
        <v>78</v>
      </c>
      <c r="E339" s="431"/>
      <c r="F339" s="432">
        <v>0.84</v>
      </c>
      <c r="G339" s="432">
        <v>0.01</v>
      </c>
      <c r="H339" s="431">
        <v>0.15</v>
      </c>
      <c r="I339" s="432"/>
      <c r="K339" s="404" t="s">
        <v>211</v>
      </c>
      <c r="L339" s="433">
        <f>H437</f>
        <v>13.2</v>
      </c>
      <c r="M339" s="433">
        <f>G437</f>
        <v>7.4</v>
      </c>
      <c r="N339" s="433">
        <f>F437</f>
        <v>2.4</v>
      </c>
      <c r="O339" s="433">
        <f>H354*24</f>
        <v>3.3600000000000003</v>
      </c>
      <c r="P339" s="433">
        <f>G354*24</f>
        <v>2.64</v>
      </c>
      <c r="Q339" s="434">
        <f>D354</f>
        <v>16</v>
      </c>
    </row>
    <row r="340" spans="2:17">
      <c r="B340" s="428" t="s">
        <v>699</v>
      </c>
      <c r="C340" s="429" t="s">
        <v>698</v>
      </c>
      <c r="D340" s="430">
        <v>4</v>
      </c>
      <c r="E340" s="431"/>
      <c r="F340" s="432">
        <v>0.87</v>
      </c>
      <c r="G340" s="431"/>
      <c r="H340" s="432">
        <v>0.13</v>
      </c>
      <c r="I340" s="431"/>
      <c r="K340" s="404" t="s">
        <v>213</v>
      </c>
      <c r="L340" s="433">
        <f>(H438*$E$438+$E$440*$H$440)/SUM($E$438,$E$440)</f>
        <v>10.933333333333332</v>
      </c>
      <c r="M340" s="433">
        <f>(G438*$E$438+$E$440*G$440)/SUM($E$438,$E$440)</f>
        <v>5.1000000000000005</v>
      </c>
      <c r="N340" s="433">
        <f>(F438*$E$438+$E$440*F$440)/SUM($E$438,$E$440)</f>
        <v>1.4333333333333333</v>
      </c>
      <c r="O340" s="433">
        <f>24*(H356*D356+H359*D359)/SUM(D356,D359)</f>
        <v>2.1</v>
      </c>
      <c r="P340" s="433">
        <f>24*(G356*D356+G359*D359)/SUM(D356,D359)</f>
        <v>0.53999999999999992</v>
      </c>
      <c r="Q340" s="434">
        <f>SUM(D356,D359)</f>
        <v>40</v>
      </c>
    </row>
    <row r="341" spans="2:17" ht="25.5">
      <c r="B341" s="428" t="s">
        <v>700</v>
      </c>
      <c r="C341" s="429" t="s">
        <v>698</v>
      </c>
      <c r="D341" s="430">
        <v>2</v>
      </c>
      <c r="E341" s="431"/>
      <c r="F341" s="432">
        <v>0.71</v>
      </c>
      <c r="G341" s="431"/>
      <c r="H341" s="432">
        <v>0.28999999999999998</v>
      </c>
      <c r="I341" s="431"/>
      <c r="K341" s="404" t="s">
        <v>216</v>
      </c>
      <c r="L341" s="433">
        <f>H441</f>
        <v>24.2</v>
      </c>
      <c r="M341" s="433"/>
      <c r="N341" s="433">
        <f>F441</f>
        <v>1</v>
      </c>
      <c r="O341" s="433">
        <f>24*H361</f>
        <v>0.72</v>
      </c>
      <c r="P341" s="433"/>
      <c r="Q341" s="434">
        <f>D361</f>
        <v>8</v>
      </c>
    </row>
    <row r="342" spans="2:17" ht="24">
      <c r="B342" s="428" t="s">
        <v>701</v>
      </c>
      <c r="C342" s="429" t="s">
        <v>698</v>
      </c>
      <c r="D342" s="430">
        <v>11</v>
      </c>
      <c r="E342" s="431"/>
      <c r="F342" s="432">
        <v>0.63</v>
      </c>
      <c r="G342" s="432">
        <v>7.0000000000000007E-2</v>
      </c>
      <c r="H342" s="431">
        <v>0.3</v>
      </c>
      <c r="I342" s="432"/>
      <c r="K342" s="404" t="s">
        <v>214</v>
      </c>
      <c r="L342" s="433">
        <f>(H409*$E$409+H410*$E$410)/SUM($E$409,$E$410)</f>
        <v>46.371052631578948</v>
      </c>
      <c r="M342" s="433">
        <f>(G409*$E$409+G410*$E$410)/SUM($E$409,$E$410)</f>
        <v>2.0578947368421048</v>
      </c>
      <c r="N342" s="433">
        <f>(F409*$E$409+F410*$E$410)/SUM($E$409,$E$410)</f>
        <v>1.4131578947368422</v>
      </c>
      <c r="O342" s="433">
        <f>24*(H380*D380+H381*D381)/SUM(D380:D381)</f>
        <v>4.8064864864864862</v>
      </c>
      <c r="P342" s="433">
        <f>24*(G380*D380+G381*D381)/SUM(D380:D381)</f>
        <v>0.68108108108108112</v>
      </c>
      <c r="Q342" s="434">
        <f>SUM(D380:D381)</f>
        <v>37</v>
      </c>
    </row>
    <row r="343" spans="2:17">
      <c r="B343" s="428" t="s">
        <v>702</v>
      </c>
      <c r="C343" s="429" t="s">
        <v>698</v>
      </c>
      <c r="D343" s="430">
        <v>1</v>
      </c>
      <c r="E343" s="431"/>
      <c r="F343" s="432">
        <v>0.72</v>
      </c>
      <c r="G343" s="431"/>
      <c r="H343" s="432">
        <v>0.28000000000000003</v>
      </c>
      <c r="I343" s="431"/>
      <c r="K343" s="404" t="s">
        <v>212</v>
      </c>
      <c r="L343" s="433">
        <f>(H416*E$416+H417*$E$417)/SUM($E$416,$E$417)</f>
        <v>14.372727272727275</v>
      </c>
      <c r="M343" s="433">
        <f>(G416*$E$416+G417*$E$417)/SUM($E$416,$E$417)</f>
        <v>4.3636363636363633</v>
      </c>
      <c r="N343" s="433">
        <f>(F416*$E$416+F417*$E$417)/SUM($E$416,$E$417)</f>
        <v>1.6272727272727272</v>
      </c>
      <c r="O343" s="433">
        <f>24*(H389*D389+H391*D391)/SUM(D389,D391)</f>
        <v>0.24</v>
      </c>
      <c r="P343" s="433">
        <f>24*(G389*D389+G391*D391)/SUM(D389,D391)</f>
        <v>8.4705882352941173E-2</v>
      </c>
      <c r="Q343" s="434">
        <f>SUM(D389,D391)</f>
        <v>17</v>
      </c>
    </row>
    <row r="344" spans="2:17" ht="24">
      <c r="B344" s="428" t="s">
        <v>703</v>
      </c>
      <c r="C344" s="429" t="s">
        <v>698</v>
      </c>
      <c r="D344" s="430">
        <v>4</v>
      </c>
      <c r="E344" s="431"/>
      <c r="F344" s="432">
        <v>0.66</v>
      </c>
      <c r="G344" s="431"/>
      <c r="H344" s="432">
        <v>0.34</v>
      </c>
      <c r="I344" s="431"/>
      <c r="K344" s="404" t="s">
        <v>217</v>
      </c>
      <c r="L344" s="433">
        <f>H418</f>
        <v>12.2</v>
      </c>
      <c r="M344" s="433">
        <f>G418</f>
        <v>0</v>
      </c>
      <c r="N344" s="433">
        <f>F418</f>
        <v>5.7</v>
      </c>
      <c r="O344" s="433">
        <v>0</v>
      </c>
      <c r="P344" s="433">
        <v>0</v>
      </c>
      <c r="Q344" s="434">
        <f>D393</f>
        <v>1</v>
      </c>
    </row>
    <row r="345" spans="2:17">
      <c r="B345" s="428" t="s">
        <v>704</v>
      </c>
      <c r="C345" s="429" t="s">
        <v>698</v>
      </c>
      <c r="D345" s="430">
        <v>7</v>
      </c>
      <c r="E345" s="431"/>
      <c r="F345" s="432">
        <v>0.78</v>
      </c>
      <c r="G345" s="431"/>
      <c r="H345" s="431">
        <v>0.22</v>
      </c>
      <c r="I345" s="432"/>
      <c r="K345" s="393" t="s">
        <v>600</v>
      </c>
      <c r="L345" s="433">
        <f>$H$447</f>
        <v>8.6</v>
      </c>
      <c r="M345" s="433">
        <f>$G$447</f>
        <v>0</v>
      </c>
      <c r="N345" s="433">
        <f>$F$447</f>
        <v>5.5</v>
      </c>
      <c r="O345" s="433">
        <f>F370*24</f>
        <v>15.120000000000001</v>
      </c>
      <c r="P345" s="433">
        <f>G370*24</f>
        <v>0</v>
      </c>
      <c r="Q345" s="433">
        <f>H370*24</f>
        <v>8.879999999999999</v>
      </c>
    </row>
    <row r="346" spans="2:17" ht="24">
      <c r="B346" s="428" t="s">
        <v>705</v>
      </c>
      <c r="C346" s="435" t="s">
        <v>706</v>
      </c>
      <c r="D346" s="436">
        <v>1</v>
      </c>
      <c r="E346" s="437"/>
      <c r="F346" s="437"/>
      <c r="G346" s="437"/>
      <c r="H346" s="437"/>
      <c r="I346" s="438">
        <v>1</v>
      </c>
      <c r="K346" s="393"/>
      <c r="L346" s="433"/>
      <c r="M346" s="433"/>
      <c r="N346" s="433"/>
      <c r="O346" s="433"/>
      <c r="P346" s="433"/>
      <c r="Q346" s="229"/>
    </row>
    <row r="347" spans="2:17" ht="24">
      <c r="B347" s="428" t="s">
        <v>707</v>
      </c>
      <c r="C347" s="435" t="s">
        <v>706</v>
      </c>
      <c r="D347" s="436">
        <v>11</v>
      </c>
      <c r="E347" s="437"/>
      <c r="F347" s="437"/>
      <c r="G347" s="437"/>
      <c r="H347" s="437"/>
      <c r="I347" s="438">
        <v>1</v>
      </c>
      <c r="K347" s="404" t="s">
        <v>202</v>
      </c>
      <c r="L347" s="433"/>
      <c r="M347" s="433"/>
      <c r="N347" s="433"/>
      <c r="O347" s="433">
        <f>24*SUMPRODUCT(H339:H345,D339:D345)/SUM(D339:D345)</f>
        <v>4.3244859813084107</v>
      </c>
      <c r="P347" s="433"/>
      <c r="Q347" s="434">
        <f>SUM(D339:D345)</f>
        <v>107</v>
      </c>
    </row>
    <row r="348" spans="2:17" ht="24">
      <c r="B348" s="428" t="s">
        <v>708</v>
      </c>
      <c r="C348" s="435" t="s">
        <v>706</v>
      </c>
      <c r="D348" s="436">
        <v>1</v>
      </c>
      <c r="E348" s="437"/>
      <c r="F348" s="437"/>
      <c r="G348" s="437"/>
      <c r="H348" s="437"/>
      <c r="I348" s="438">
        <v>1</v>
      </c>
      <c r="K348" s="404" t="s">
        <v>515</v>
      </c>
      <c r="L348" s="433"/>
      <c r="M348" s="433"/>
      <c r="N348" s="433"/>
      <c r="O348" s="433">
        <f>24*H377</f>
        <v>8.3999999999999986</v>
      </c>
      <c r="P348" s="433">
        <f>24*G377</f>
        <v>1.44</v>
      </c>
      <c r="Q348" s="434">
        <f>D377</f>
        <v>39</v>
      </c>
    </row>
    <row r="349" spans="2:17">
      <c r="B349" s="428" t="s">
        <v>709</v>
      </c>
      <c r="C349" s="435" t="s">
        <v>706</v>
      </c>
      <c r="D349" s="436">
        <v>3</v>
      </c>
      <c r="E349" s="437"/>
      <c r="F349" s="437"/>
      <c r="G349" s="437"/>
      <c r="H349" s="437"/>
      <c r="I349" s="438">
        <v>1</v>
      </c>
      <c r="K349" s="439" t="s">
        <v>218</v>
      </c>
    </row>
    <row r="350" spans="2:17">
      <c r="B350" s="599" t="s">
        <v>710</v>
      </c>
      <c r="C350" s="429" t="s">
        <v>698</v>
      </c>
      <c r="D350" s="430">
        <v>6</v>
      </c>
      <c r="E350" s="431"/>
      <c r="F350" s="432">
        <v>0.33</v>
      </c>
      <c r="G350" s="432">
        <v>0.27</v>
      </c>
      <c r="H350" s="432">
        <v>0.4</v>
      </c>
      <c r="I350" s="431"/>
      <c r="L350" s="85" t="s">
        <v>711</v>
      </c>
    </row>
    <row r="351" spans="2:17">
      <c r="B351" s="599"/>
      <c r="C351" s="435" t="s">
        <v>706</v>
      </c>
      <c r="D351" s="436">
        <v>5</v>
      </c>
      <c r="E351" s="437"/>
      <c r="F351" s="437"/>
      <c r="G351" s="437"/>
      <c r="H351" s="437"/>
      <c r="I351" s="438">
        <v>1</v>
      </c>
      <c r="L351" s="85" t="s">
        <v>712</v>
      </c>
    </row>
    <row r="352" spans="2:17">
      <c r="B352" s="599" t="s">
        <v>713</v>
      </c>
      <c r="C352" s="429" t="s">
        <v>698</v>
      </c>
      <c r="D352" s="430">
        <v>2</v>
      </c>
      <c r="E352" s="431"/>
      <c r="F352" s="432">
        <v>0.21</v>
      </c>
      <c r="G352" s="431"/>
      <c r="H352" s="432">
        <v>0.78</v>
      </c>
      <c r="I352" s="431"/>
      <c r="L352" s="85" t="s">
        <v>714</v>
      </c>
    </row>
    <row r="353" spans="2:12">
      <c r="B353" s="599"/>
      <c r="C353" s="435" t="s">
        <v>706</v>
      </c>
      <c r="D353" s="436">
        <v>1</v>
      </c>
      <c r="E353" s="437"/>
      <c r="F353" s="437"/>
      <c r="G353" s="437"/>
      <c r="H353" s="437"/>
      <c r="I353" s="438">
        <v>1</v>
      </c>
      <c r="L353" s="85" t="s">
        <v>715</v>
      </c>
    </row>
    <row r="354" spans="2:12">
      <c r="B354" s="599" t="s">
        <v>211</v>
      </c>
      <c r="C354" s="429" t="s">
        <v>698</v>
      </c>
      <c r="D354" s="430">
        <v>16</v>
      </c>
      <c r="E354" s="431"/>
      <c r="F354" s="432">
        <v>0.75</v>
      </c>
      <c r="G354" s="432">
        <v>0.11</v>
      </c>
      <c r="H354" s="432">
        <v>0.14000000000000001</v>
      </c>
      <c r="I354" s="431"/>
      <c r="L354" s="85" t="s">
        <v>610</v>
      </c>
    </row>
    <row r="355" spans="2:12">
      <c r="B355" s="599"/>
      <c r="C355" s="435" t="s">
        <v>706</v>
      </c>
      <c r="D355" s="436">
        <v>11</v>
      </c>
      <c r="E355" s="437"/>
      <c r="F355" s="437"/>
      <c r="G355" s="437"/>
      <c r="H355" s="437"/>
      <c r="I355" s="438">
        <v>1</v>
      </c>
      <c r="L355" s="85" t="s">
        <v>716</v>
      </c>
    </row>
    <row r="356" spans="2:12">
      <c r="B356" s="599" t="s">
        <v>213</v>
      </c>
      <c r="C356" s="429" t="s">
        <v>698</v>
      </c>
      <c r="D356" s="430">
        <v>30</v>
      </c>
      <c r="E356" s="431"/>
      <c r="F356" s="432">
        <v>0.88</v>
      </c>
      <c r="G356" s="432">
        <v>0.01</v>
      </c>
      <c r="H356" s="432">
        <v>0.11</v>
      </c>
      <c r="I356" s="431"/>
    </row>
    <row r="357" spans="2:12">
      <c r="B357" s="599"/>
      <c r="C357" s="435" t="s">
        <v>706</v>
      </c>
      <c r="D357" s="436">
        <v>2</v>
      </c>
      <c r="E357" s="437"/>
      <c r="F357" s="437"/>
      <c r="G357" s="437"/>
      <c r="H357" s="437"/>
      <c r="I357" s="438">
        <v>1</v>
      </c>
    </row>
    <row r="358" spans="2:12">
      <c r="B358" s="428" t="s">
        <v>682</v>
      </c>
      <c r="C358" s="429" t="s">
        <v>698</v>
      </c>
      <c r="D358" s="430">
        <v>1</v>
      </c>
      <c r="E358" s="431"/>
      <c r="F358" s="432">
        <v>0.73</v>
      </c>
      <c r="G358" s="431"/>
      <c r="H358" s="432">
        <v>0.27</v>
      </c>
      <c r="I358" s="431"/>
    </row>
    <row r="359" spans="2:12">
      <c r="B359" s="599" t="s">
        <v>343</v>
      </c>
      <c r="C359" s="429" t="s">
        <v>698</v>
      </c>
      <c r="D359" s="430">
        <v>10</v>
      </c>
      <c r="E359" s="431"/>
      <c r="F359" s="432">
        <v>0.92</v>
      </c>
      <c r="G359" s="432">
        <v>0.06</v>
      </c>
      <c r="H359" s="432">
        <v>0.02</v>
      </c>
      <c r="I359" s="431"/>
    </row>
    <row r="360" spans="2:12">
      <c r="B360" s="599"/>
      <c r="C360" s="435" t="s">
        <v>706</v>
      </c>
      <c r="D360" s="436">
        <v>6</v>
      </c>
      <c r="E360" s="437"/>
      <c r="F360" s="437"/>
      <c r="G360" s="437"/>
      <c r="H360" s="437"/>
      <c r="I360" s="438">
        <v>1</v>
      </c>
    </row>
    <row r="361" spans="2:12">
      <c r="B361" s="599" t="s">
        <v>683</v>
      </c>
      <c r="C361" s="429" t="s">
        <v>698</v>
      </c>
      <c r="D361" s="430">
        <v>8</v>
      </c>
      <c r="E361" s="431"/>
      <c r="F361" s="432">
        <v>0.97</v>
      </c>
      <c r="G361" s="431"/>
      <c r="H361" s="432">
        <v>0.03</v>
      </c>
      <c r="I361" s="431"/>
    </row>
    <row r="362" spans="2:12">
      <c r="B362" s="599"/>
      <c r="C362" s="435" t="s">
        <v>706</v>
      </c>
      <c r="D362" s="436">
        <v>1</v>
      </c>
      <c r="E362" s="437"/>
      <c r="F362" s="437"/>
      <c r="G362" s="437"/>
      <c r="H362" s="437"/>
      <c r="I362" s="438">
        <v>1</v>
      </c>
    </row>
    <row r="363" spans="2:12">
      <c r="B363" s="599" t="s">
        <v>593</v>
      </c>
      <c r="C363" s="429" t="s">
        <v>698</v>
      </c>
      <c r="D363" s="430">
        <v>2</v>
      </c>
      <c r="E363" s="431"/>
      <c r="F363" s="432">
        <v>0.96</v>
      </c>
      <c r="G363" s="431"/>
      <c r="H363" s="432">
        <v>0.04</v>
      </c>
      <c r="I363" s="431"/>
    </row>
    <row r="364" spans="2:12">
      <c r="B364" s="599"/>
      <c r="C364" s="435" t="s">
        <v>706</v>
      </c>
      <c r="D364" s="436">
        <v>1</v>
      </c>
      <c r="E364" s="437"/>
      <c r="F364" s="437"/>
      <c r="G364" s="437"/>
      <c r="H364" s="437"/>
      <c r="I364" s="438">
        <v>1</v>
      </c>
    </row>
    <row r="365" spans="2:12">
      <c r="B365" s="599" t="s">
        <v>717</v>
      </c>
      <c r="C365" s="429" t="s">
        <v>698</v>
      </c>
      <c r="D365" s="430">
        <v>3</v>
      </c>
      <c r="E365" s="432">
        <v>0.67</v>
      </c>
      <c r="F365" s="432">
        <v>0.33</v>
      </c>
      <c r="G365" s="431"/>
      <c r="H365" s="431"/>
      <c r="I365" s="431"/>
    </row>
    <row r="366" spans="2:12">
      <c r="B366" s="599"/>
      <c r="C366" s="435" t="s">
        <v>706</v>
      </c>
      <c r="D366" s="436">
        <v>1</v>
      </c>
      <c r="E366" s="437"/>
      <c r="F366" s="437"/>
      <c r="G366" s="437"/>
      <c r="H366" s="437"/>
      <c r="I366" s="438">
        <v>1</v>
      </c>
    </row>
    <row r="367" spans="2:12">
      <c r="B367" s="428" t="s">
        <v>681</v>
      </c>
      <c r="C367" s="429" t="s">
        <v>698</v>
      </c>
      <c r="D367" s="430">
        <v>8</v>
      </c>
      <c r="E367" s="431"/>
      <c r="F367" s="432">
        <v>0.99</v>
      </c>
      <c r="G367" s="431"/>
      <c r="H367" s="432">
        <v>0.01</v>
      </c>
      <c r="I367" s="431"/>
    </row>
    <row r="368" spans="2:12">
      <c r="B368" s="428" t="s">
        <v>718</v>
      </c>
      <c r="C368" s="429" t="s">
        <v>698</v>
      </c>
      <c r="D368" s="430">
        <v>1</v>
      </c>
      <c r="E368" s="431"/>
      <c r="F368" s="432">
        <v>0.99</v>
      </c>
      <c r="G368" s="431"/>
      <c r="H368" s="432">
        <v>0.01</v>
      </c>
      <c r="I368" s="431"/>
    </row>
    <row r="369" spans="2:9">
      <c r="B369" s="428" t="s">
        <v>602</v>
      </c>
      <c r="C369" s="429" t="s">
        <v>698</v>
      </c>
      <c r="D369" s="430">
        <v>18</v>
      </c>
      <c r="E369" s="431"/>
      <c r="F369" s="432">
        <v>0.75</v>
      </c>
      <c r="G369" s="431"/>
      <c r="H369" s="432">
        <v>0.25</v>
      </c>
      <c r="I369" s="431"/>
    </row>
    <row r="370" spans="2:9" ht="24">
      <c r="B370" s="428" t="s">
        <v>719</v>
      </c>
      <c r="C370" s="429" t="s">
        <v>698</v>
      </c>
      <c r="D370" s="430">
        <v>3</v>
      </c>
      <c r="E370" s="431"/>
      <c r="F370" s="432">
        <v>0.63</v>
      </c>
      <c r="G370" s="431"/>
      <c r="H370" s="432">
        <v>0.37</v>
      </c>
      <c r="I370" s="431"/>
    </row>
    <row r="371" spans="2:9">
      <c r="B371" s="428" t="s">
        <v>684</v>
      </c>
      <c r="C371" s="429" t="s">
        <v>698</v>
      </c>
      <c r="D371" s="430">
        <v>3</v>
      </c>
      <c r="E371" s="431"/>
      <c r="F371" s="432">
        <v>0.94</v>
      </c>
      <c r="G371" s="431"/>
      <c r="H371" s="432">
        <v>0.06</v>
      </c>
      <c r="I371" s="431"/>
    </row>
    <row r="372" spans="2:9">
      <c r="B372" s="428" t="s">
        <v>720</v>
      </c>
      <c r="C372" s="429" t="s">
        <v>698</v>
      </c>
      <c r="D372" s="430">
        <v>1</v>
      </c>
      <c r="E372" s="431"/>
      <c r="F372" s="432">
        <v>0.97</v>
      </c>
      <c r="G372" s="431"/>
      <c r="H372" s="432">
        <v>0.03</v>
      </c>
      <c r="I372" s="431"/>
    </row>
    <row r="373" spans="2:9">
      <c r="B373" s="428" t="s">
        <v>613</v>
      </c>
      <c r="C373" s="429" t="s">
        <v>698</v>
      </c>
      <c r="D373" s="430">
        <v>2</v>
      </c>
      <c r="E373" s="431"/>
      <c r="F373" s="432">
        <v>0.98</v>
      </c>
      <c r="G373" s="431"/>
      <c r="H373" s="432">
        <v>0.02</v>
      </c>
      <c r="I373" s="431"/>
    </row>
    <row r="375" spans="2:9" ht="15">
      <c r="B375" s="600" t="s">
        <v>721</v>
      </c>
      <c r="C375" s="600"/>
      <c r="D375" s="600"/>
      <c r="E375" s="600"/>
      <c r="F375" s="600"/>
      <c r="G375" s="600"/>
      <c r="H375" s="600"/>
      <c r="I375" s="600"/>
    </row>
    <row r="376" spans="2:9" ht="48">
      <c r="B376" s="425" t="s">
        <v>154</v>
      </c>
      <c r="C376" s="425" t="s">
        <v>690</v>
      </c>
      <c r="D376" s="424" t="s">
        <v>691</v>
      </c>
      <c r="E376" s="426" t="s">
        <v>692</v>
      </c>
      <c r="F376" s="426" t="s">
        <v>693</v>
      </c>
      <c r="G376" s="426" t="s">
        <v>694</v>
      </c>
      <c r="H376" s="426" t="s">
        <v>695</v>
      </c>
      <c r="I376" s="426" t="s">
        <v>696</v>
      </c>
    </row>
    <row r="377" spans="2:9">
      <c r="B377" s="599" t="s">
        <v>722</v>
      </c>
      <c r="C377" s="440" t="s">
        <v>698</v>
      </c>
      <c r="D377" s="441">
        <v>39</v>
      </c>
      <c r="E377" s="442"/>
      <c r="F377" s="443">
        <v>0.59</v>
      </c>
      <c r="G377" s="443">
        <v>0.06</v>
      </c>
      <c r="H377" s="443">
        <v>0.35</v>
      </c>
      <c r="I377" s="442"/>
    </row>
    <row r="378" spans="2:9" ht="24">
      <c r="B378" s="599"/>
      <c r="C378" s="444" t="s">
        <v>706</v>
      </c>
      <c r="D378" s="445">
        <v>4</v>
      </c>
      <c r="E378" s="446"/>
      <c r="F378" s="446"/>
      <c r="G378" s="446"/>
      <c r="H378" s="446"/>
      <c r="I378" s="447">
        <v>1</v>
      </c>
    </row>
    <row r="379" spans="2:9">
      <c r="B379" s="428" t="s">
        <v>723</v>
      </c>
      <c r="C379" s="440" t="s">
        <v>698</v>
      </c>
      <c r="D379" s="441">
        <v>7</v>
      </c>
      <c r="E379" s="443">
        <v>0.08</v>
      </c>
      <c r="F379" s="443">
        <v>0.47</v>
      </c>
      <c r="G379" s="443">
        <v>0.11</v>
      </c>
      <c r="H379" s="448">
        <v>0.34</v>
      </c>
      <c r="I379" s="442"/>
    </row>
    <row r="380" spans="2:9" ht="24">
      <c r="B380" s="428" t="s">
        <v>724</v>
      </c>
      <c r="C380" s="440" t="s">
        <v>698</v>
      </c>
      <c r="D380" s="441">
        <v>17</v>
      </c>
      <c r="E380" s="442"/>
      <c r="F380" s="443">
        <v>0.82</v>
      </c>
      <c r="G380" s="443">
        <v>0.05</v>
      </c>
      <c r="H380" s="448">
        <v>0.13</v>
      </c>
      <c r="I380" s="442"/>
    </row>
    <row r="381" spans="2:9">
      <c r="B381" s="599" t="s">
        <v>725</v>
      </c>
      <c r="C381" s="440" t="s">
        <v>698</v>
      </c>
      <c r="D381" s="441">
        <v>20</v>
      </c>
      <c r="E381" s="442"/>
      <c r="F381" s="443">
        <v>0.73</v>
      </c>
      <c r="G381" s="443">
        <v>0.01</v>
      </c>
      <c r="H381" s="443">
        <v>0.26</v>
      </c>
      <c r="I381" s="442"/>
    </row>
    <row r="382" spans="2:9" ht="24">
      <c r="B382" s="599"/>
      <c r="C382" s="444" t="s">
        <v>706</v>
      </c>
      <c r="D382" s="445">
        <v>1</v>
      </c>
      <c r="E382" s="446"/>
      <c r="F382" s="446"/>
      <c r="G382" s="446"/>
      <c r="H382" s="446"/>
      <c r="I382" s="449">
        <v>1</v>
      </c>
    </row>
    <row r="383" spans="2:9">
      <c r="B383" s="428" t="s">
        <v>405</v>
      </c>
      <c r="C383" s="440" t="s">
        <v>698</v>
      </c>
      <c r="D383" s="441">
        <v>1</v>
      </c>
      <c r="E383" s="442"/>
      <c r="F383" s="443">
        <v>1</v>
      </c>
      <c r="G383" s="442"/>
      <c r="H383" s="239"/>
      <c r="I383" s="442"/>
    </row>
    <row r="384" spans="2:9" ht="24">
      <c r="B384" s="428" t="s">
        <v>726</v>
      </c>
      <c r="C384" s="444" t="s">
        <v>706</v>
      </c>
      <c r="D384" s="445">
        <v>3</v>
      </c>
      <c r="E384" s="446"/>
      <c r="F384" s="446"/>
      <c r="G384" s="446"/>
      <c r="H384" s="446"/>
      <c r="I384" s="449">
        <v>1</v>
      </c>
    </row>
    <row r="385" spans="2:9">
      <c r="B385" s="428" t="s">
        <v>727</v>
      </c>
      <c r="C385" s="440" t="s">
        <v>698</v>
      </c>
      <c r="D385" s="441">
        <v>1</v>
      </c>
      <c r="E385" s="443">
        <v>0.44</v>
      </c>
      <c r="F385" s="443">
        <v>0.14000000000000001</v>
      </c>
      <c r="G385" s="443">
        <v>0.4</v>
      </c>
      <c r="H385" s="443">
        <v>0.02</v>
      </c>
      <c r="I385" s="442"/>
    </row>
    <row r="386" spans="2:9">
      <c r="B386" s="599" t="s">
        <v>728</v>
      </c>
      <c r="C386" s="440" t="s">
        <v>698</v>
      </c>
      <c r="D386" s="441">
        <v>12</v>
      </c>
      <c r="E386" s="443">
        <v>7.0000000000000007E-2</v>
      </c>
      <c r="F386" s="443">
        <v>0.83</v>
      </c>
      <c r="G386" s="443">
        <v>7.0000000000000007E-2</v>
      </c>
      <c r="H386" s="443">
        <v>0.03</v>
      </c>
      <c r="I386" s="442"/>
    </row>
    <row r="387" spans="2:9" ht="24">
      <c r="B387" s="599"/>
      <c r="C387" s="444" t="s">
        <v>706</v>
      </c>
      <c r="D387" s="445">
        <v>1</v>
      </c>
      <c r="E387" s="446"/>
      <c r="F387" s="446"/>
      <c r="G387" s="446"/>
      <c r="H387" s="446"/>
      <c r="I387" s="449">
        <v>1</v>
      </c>
    </row>
    <row r="388" spans="2:9" ht="24">
      <c r="B388" s="428" t="s">
        <v>729</v>
      </c>
      <c r="C388" s="440" t="s">
        <v>698</v>
      </c>
      <c r="D388" s="441">
        <v>2</v>
      </c>
      <c r="E388" s="443">
        <v>0.5</v>
      </c>
      <c r="F388" s="443">
        <v>0.48</v>
      </c>
      <c r="G388" s="442"/>
      <c r="H388" s="443">
        <v>0.02</v>
      </c>
      <c r="I388" s="442"/>
    </row>
    <row r="389" spans="2:9">
      <c r="B389" s="599" t="s">
        <v>730</v>
      </c>
      <c r="C389" s="440" t="s">
        <v>698</v>
      </c>
      <c r="D389" s="441">
        <v>14</v>
      </c>
      <c r="E389" s="442"/>
      <c r="F389" s="443">
        <v>0.99</v>
      </c>
      <c r="G389" s="442"/>
      <c r="H389" s="443">
        <v>0.01</v>
      </c>
      <c r="I389" s="442"/>
    </row>
    <row r="390" spans="2:9" ht="24">
      <c r="B390" s="599"/>
      <c r="C390" s="444" t="s">
        <v>706</v>
      </c>
      <c r="D390" s="445">
        <v>4</v>
      </c>
      <c r="E390" s="446"/>
      <c r="F390" s="446"/>
      <c r="G390" s="446"/>
      <c r="H390" s="446"/>
      <c r="I390" s="449">
        <v>1</v>
      </c>
    </row>
    <row r="391" spans="2:9">
      <c r="B391" s="599" t="s">
        <v>731</v>
      </c>
      <c r="C391" s="440" t="s">
        <v>698</v>
      </c>
      <c r="D391" s="441">
        <v>3</v>
      </c>
      <c r="E391" s="442"/>
      <c r="F391" s="443">
        <v>0.97</v>
      </c>
      <c r="G391" s="443">
        <v>0.02</v>
      </c>
      <c r="H391" s="443">
        <v>0.01</v>
      </c>
      <c r="I391" s="285"/>
    </row>
    <row r="392" spans="2:9" ht="24">
      <c r="B392" s="599"/>
      <c r="C392" s="444" t="s">
        <v>706</v>
      </c>
      <c r="D392" s="445">
        <v>1</v>
      </c>
      <c r="E392" s="446"/>
      <c r="F392" s="446"/>
      <c r="G392" s="446"/>
      <c r="H392" s="446"/>
      <c r="I392" s="449">
        <v>1</v>
      </c>
    </row>
    <row r="393" spans="2:9">
      <c r="B393" s="599" t="s">
        <v>732</v>
      </c>
      <c r="C393" s="440" t="s">
        <v>698</v>
      </c>
      <c r="D393" s="441">
        <v>1</v>
      </c>
      <c r="E393" s="442"/>
      <c r="F393" s="443">
        <v>1</v>
      </c>
      <c r="G393" s="442"/>
      <c r="H393" s="442"/>
      <c r="I393" s="442"/>
    </row>
    <row r="394" spans="2:9" ht="24">
      <c r="B394" s="599"/>
      <c r="C394" s="444" t="s">
        <v>706</v>
      </c>
      <c r="D394" s="445">
        <v>2</v>
      </c>
      <c r="E394" s="446"/>
      <c r="F394" s="446"/>
      <c r="G394" s="446"/>
      <c r="H394" s="446"/>
      <c r="I394" s="449">
        <v>1</v>
      </c>
    </row>
    <row r="395" spans="2:9">
      <c r="B395" s="599" t="s">
        <v>733</v>
      </c>
      <c r="C395" s="440" t="s">
        <v>698</v>
      </c>
      <c r="D395" s="441">
        <v>1</v>
      </c>
      <c r="E395" s="442"/>
      <c r="F395" s="443">
        <v>0.52</v>
      </c>
      <c r="G395" s="442"/>
      <c r="H395" s="443">
        <v>0.48</v>
      </c>
      <c r="I395" s="442"/>
    </row>
    <row r="396" spans="2:9" ht="24">
      <c r="B396" s="599"/>
      <c r="C396" s="444" t="s">
        <v>706</v>
      </c>
      <c r="D396" s="445">
        <v>1</v>
      </c>
      <c r="E396" s="446"/>
      <c r="F396" s="446"/>
      <c r="G396" s="446"/>
      <c r="H396" s="446"/>
      <c r="I396" s="449">
        <v>1</v>
      </c>
    </row>
    <row r="397" spans="2:9">
      <c r="B397" s="599" t="s">
        <v>734</v>
      </c>
      <c r="C397" s="440" t="s">
        <v>698</v>
      </c>
      <c r="D397" s="441">
        <v>2</v>
      </c>
      <c r="E397" s="442"/>
      <c r="F397" s="443">
        <v>0.5</v>
      </c>
      <c r="G397" s="442"/>
      <c r="H397" s="443">
        <v>0.5</v>
      </c>
      <c r="I397" s="442"/>
    </row>
    <row r="398" spans="2:9" ht="24">
      <c r="B398" s="599"/>
      <c r="C398" s="444" t="s">
        <v>706</v>
      </c>
      <c r="D398" s="445">
        <v>8</v>
      </c>
      <c r="E398" s="446"/>
      <c r="F398" s="446"/>
      <c r="G398" s="446"/>
      <c r="H398" s="446"/>
      <c r="I398" s="449">
        <v>1</v>
      </c>
    </row>
    <row r="399" spans="2:9" ht="24">
      <c r="B399" s="428" t="s">
        <v>735</v>
      </c>
      <c r="C399" s="444" t="s">
        <v>706</v>
      </c>
      <c r="D399" s="445">
        <v>6</v>
      </c>
      <c r="E399" s="446"/>
      <c r="F399" s="446"/>
      <c r="G399" s="446"/>
      <c r="H399" s="446"/>
      <c r="I399" s="449">
        <v>1</v>
      </c>
    </row>
    <row r="400" spans="2:9">
      <c r="B400" s="599" t="s">
        <v>736</v>
      </c>
      <c r="C400" s="440" t="s">
        <v>698</v>
      </c>
      <c r="D400" s="441">
        <v>3</v>
      </c>
      <c r="E400" s="442"/>
      <c r="F400" s="443">
        <v>0.15</v>
      </c>
      <c r="G400" s="442"/>
      <c r="H400" s="443">
        <v>0.85</v>
      </c>
      <c r="I400" s="442"/>
    </row>
    <row r="401" spans="2:9" ht="24">
      <c r="B401" s="599"/>
      <c r="C401" s="444" t="s">
        <v>706</v>
      </c>
      <c r="D401" s="445">
        <v>4</v>
      </c>
      <c r="E401" s="446"/>
      <c r="F401" s="446"/>
      <c r="G401" s="446"/>
      <c r="H401" s="446"/>
      <c r="I401" s="449">
        <v>1</v>
      </c>
    </row>
    <row r="402" spans="2:9">
      <c r="B402" s="599" t="s">
        <v>430</v>
      </c>
      <c r="C402" s="440" t="s">
        <v>698</v>
      </c>
      <c r="D402" s="441">
        <v>7</v>
      </c>
      <c r="E402" s="442"/>
      <c r="F402" s="443">
        <v>0.78</v>
      </c>
      <c r="G402" s="442"/>
      <c r="H402" s="443">
        <v>0.22</v>
      </c>
      <c r="I402" s="442"/>
    </row>
    <row r="403" spans="2:9" ht="24">
      <c r="B403" s="599"/>
      <c r="C403" s="444" t="s">
        <v>706</v>
      </c>
      <c r="D403" s="445">
        <v>5</v>
      </c>
      <c r="E403" s="446"/>
      <c r="F403" s="446"/>
      <c r="G403" s="446"/>
      <c r="H403" s="446"/>
      <c r="I403" s="447">
        <v>1</v>
      </c>
    </row>
    <row r="405" spans="2:9" ht="15">
      <c r="B405" s="239"/>
      <c r="C405" s="600" t="s">
        <v>737</v>
      </c>
      <c r="D405" s="600"/>
      <c r="E405" s="600"/>
      <c r="F405" s="600"/>
      <c r="G405" s="600"/>
      <c r="H405" s="600"/>
      <c r="I405" s="600"/>
    </row>
    <row r="406" spans="2:9" ht="36">
      <c r="B406" s="450"/>
      <c r="C406" s="451" t="s">
        <v>154</v>
      </c>
      <c r="D406" s="452" t="s">
        <v>335</v>
      </c>
      <c r="E406" s="453" t="s">
        <v>738</v>
      </c>
      <c r="F406" s="453" t="s">
        <v>739</v>
      </c>
      <c r="G406" s="453" t="s">
        <v>740</v>
      </c>
      <c r="H406" s="453" t="s">
        <v>741</v>
      </c>
      <c r="I406" s="453" t="s">
        <v>742</v>
      </c>
    </row>
    <row r="407" spans="2:9">
      <c r="B407" s="454"/>
      <c r="C407" s="594" t="s">
        <v>743</v>
      </c>
      <c r="D407" s="455" t="s">
        <v>394</v>
      </c>
      <c r="E407" s="456">
        <v>43</v>
      </c>
      <c r="F407" s="457">
        <v>4.4000000000000004</v>
      </c>
      <c r="G407" s="457">
        <v>17.2</v>
      </c>
      <c r="H407" s="457">
        <v>69.7</v>
      </c>
      <c r="I407" s="457">
        <v>20.3</v>
      </c>
    </row>
    <row r="408" spans="2:9">
      <c r="B408" s="458"/>
      <c r="C408" s="595"/>
      <c r="D408" s="455" t="s">
        <v>395</v>
      </c>
      <c r="E408" s="456">
        <v>7</v>
      </c>
      <c r="F408" s="457">
        <v>1</v>
      </c>
      <c r="G408" s="457">
        <v>3.1</v>
      </c>
      <c r="H408" s="457">
        <v>21.9</v>
      </c>
      <c r="I408" s="446"/>
    </row>
    <row r="409" spans="2:9">
      <c r="B409" s="458"/>
      <c r="C409" s="594" t="s">
        <v>744</v>
      </c>
      <c r="D409" s="455" t="s">
        <v>313</v>
      </c>
      <c r="E409" s="456">
        <v>17</v>
      </c>
      <c r="F409" s="457">
        <v>1.8</v>
      </c>
      <c r="G409" s="457">
        <v>2.5</v>
      </c>
      <c r="H409" s="457">
        <v>70.3</v>
      </c>
      <c r="I409" s="446"/>
    </row>
    <row r="410" spans="2:9">
      <c r="B410" s="458"/>
      <c r="C410" s="595"/>
      <c r="D410" s="455" t="s">
        <v>314</v>
      </c>
      <c r="E410" s="456">
        <v>21</v>
      </c>
      <c r="F410" s="457">
        <v>1.1000000000000001</v>
      </c>
      <c r="G410" s="457">
        <v>1.7</v>
      </c>
      <c r="H410" s="459">
        <v>27</v>
      </c>
      <c r="I410" s="457">
        <v>5.6</v>
      </c>
    </row>
    <row r="411" spans="2:9">
      <c r="B411" s="458"/>
      <c r="C411" s="455" t="s">
        <v>745</v>
      </c>
      <c r="D411" s="460"/>
      <c r="E411" s="456">
        <v>1</v>
      </c>
      <c r="F411" s="457">
        <v>1.2</v>
      </c>
      <c r="G411" s="446"/>
      <c r="H411" s="457">
        <v>18.399999999999999</v>
      </c>
      <c r="I411" s="446"/>
    </row>
    <row r="412" spans="2:9">
      <c r="B412" s="458"/>
      <c r="C412" s="594" t="s">
        <v>746</v>
      </c>
      <c r="D412" s="455" t="s">
        <v>747</v>
      </c>
      <c r="E412" s="456">
        <v>3</v>
      </c>
      <c r="F412" s="446"/>
      <c r="G412" s="446"/>
      <c r="H412" s="446"/>
      <c r="I412" s="457">
        <v>4.0999999999999996</v>
      </c>
    </row>
    <row r="413" spans="2:9">
      <c r="B413" s="458"/>
      <c r="C413" s="595"/>
      <c r="D413" s="455" t="s">
        <v>748</v>
      </c>
      <c r="E413" s="456">
        <v>1</v>
      </c>
      <c r="F413" s="457">
        <v>2.2000000000000002</v>
      </c>
      <c r="G413" s="457">
        <v>5.3</v>
      </c>
      <c r="H413" s="457">
        <v>28.4</v>
      </c>
      <c r="I413" s="446"/>
    </row>
    <row r="414" spans="2:9">
      <c r="B414" s="458"/>
      <c r="C414" s="594" t="s">
        <v>749</v>
      </c>
      <c r="D414" s="455" t="s">
        <v>747</v>
      </c>
      <c r="E414" s="456">
        <v>13</v>
      </c>
      <c r="F414" s="457">
        <v>6.2</v>
      </c>
      <c r="G414" s="457">
        <v>9.1</v>
      </c>
      <c r="H414" s="457">
        <v>15.2</v>
      </c>
      <c r="I414" s="457">
        <v>5.3</v>
      </c>
    </row>
    <row r="415" spans="2:9">
      <c r="B415" s="458"/>
      <c r="C415" s="595"/>
      <c r="D415" s="455" t="s">
        <v>748</v>
      </c>
      <c r="E415" s="456">
        <v>2</v>
      </c>
      <c r="F415" s="457">
        <v>5.2</v>
      </c>
      <c r="G415" s="446"/>
      <c r="H415" s="446"/>
      <c r="I415" s="446"/>
    </row>
    <row r="416" spans="2:9">
      <c r="B416" s="458"/>
      <c r="C416" s="594" t="s">
        <v>750</v>
      </c>
      <c r="D416" s="455" t="s">
        <v>747</v>
      </c>
      <c r="E416" s="456">
        <v>18</v>
      </c>
      <c r="F416" s="457">
        <v>1.7</v>
      </c>
      <c r="G416" s="457">
        <v>3.2</v>
      </c>
      <c r="H416" s="457">
        <v>8.9</v>
      </c>
      <c r="I416" s="457">
        <v>1.9</v>
      </c>
    </row>
    <row r="417" spans="2:9">
      <c r="B417" s="458"/>
      <c r="C417" s="595"/>
      <c r="D417" s="455" t="s">
        <v>748</v>
      </c>
      <c r="E417" s="456">
        <v>4</v>
      </c>
      <c r="F417" s="457">
        <v>1.3</v>
      </c>
      <c r="G417" s="457">
        <v>9.6</v>
      </c>
      <c r="H417" s="459">
        <v>39</v>
      </c>
      <c r="I417" s="457">
        <v>4.3</v>
      </c>
    </row>
    <row r="418" spans="2:9">
      <c r="B418" s="458"/>
      <c r="C418" s="455" t="s">
        <v>751</v>
      </c>
      <c r="D418" s="455" t="s">
        <v>752</v>
      </c>
      <c r="E418" s="456">
        <v>3</v>
      </c>
      <c r="F418" s="457">
        <v>5.7</v>
      </c>
      <c r="G418" s="446"/>
      <c r="H418" s="457">
        <v>12.2</v>
      </c>
      <c r="I418" s="457">
        <v>1</v>
      </c>
    </row>
    <row r="419" spans="2:9">
      <c r="B419" s="458"/>
      <c r="C419" s="455" t="s">
        <v>753</v>
      </c>
      <c r="D419" s="455" t="s">
        <v>754</v>
      </c>
      <c r="E419" s="456">
        <v>2</v>
      </c>
      <c r="F419" s="457">
        <v>1.4</v>
      </c>
      <c r="G419" s="446"/>
      <c r="H419" s="457">
        <v>2.8</v>
      </c>
      <c r="I419" s="457">
        <v>1.5</v>
      </c>
    </row>
    <row r="420" spans="2:9">
      <c r="B420" s="458"/>
      <c r="C420" s="594" t="s">
        <v>755</v>
      </c>
      <c r="D420" s="455" t="s">
        <v>756</v>
      </c>
      <c r="E420" s="456">
        <v>10</v>
      </c>
      <c r="F420" s="457">
        <v>4.5</v>
      </c>
      <c r="G420" s="446"/>
      <c r="H420" s="457">
        <v>6.4</v>
      </c>
      <c r="I420" s="457">
        <v>6</v>
      </c>
    </row>
    <row r="421" spans="2:9">
      <c r="B421" s="458"/>
      <c r="C421" s="595"/>
      <c r="D421" s="460" t="s">
        <v>757</v>
      </c>
      <c r="E421" s="446">
        <v>6</v>
      </c>
      <c r="F421" s="446"/>
      <c r="G421" s="446"/>
      <c r="H421" s="446"/>
      <c r="I421" s="446">
        <v>5.6</v>
      </c>
    </row>
    <row r="422" spans="2:9">
      <c r="B422" s="458"/>
      <c r="C422" s="461" t="s">
        <v>758</v>
      </c>
      <c r="D422" s="461" t="s">
        <v>759</v>
      </c>
      <c r="E422" s="462">
        <v>7</v>
      </c>
      <c r="F422" s="462">
        <v>1.7</v>
      </c>
      <c r="G422" s="463"/>
      <c r="H422" s="462">
        <v>6.2</v>
      </c>
      <c r="I422" s="462">
        <v>4.7</v>
      </c>
    </row>
    <row r="423" spans="2:9">
      <c r="B423" s="458"/>
      <c r="C423" s="464" t="s">
        <v>760</v>
      </c>
      <c r="D423" s="461" t="s">
        <v>203</v>
      </c>
      <c r="E423" s="462">
        <v>12</v>
      </c>
      <c r="F423" s="462">
        <v>2.2999999999999998</v>
      </c>
      <c r="G423" s="463"/>
      <c r="H423" s="462">
        <v>7.2</v>
      </c>
      <c r="I423" s="462">
        <v>1.1000000000000001</v>
      </c>
    </row>
    <row r="424" spans="2:9">
      <c r="B424" s="465"/>
      <c r="C424" s="465"/>
      <c r="D424" s="466" t="s">
        <v>313</v>
      </c>
      <c r="E424" s="467">
        <v>78</v>
      </c>
      <c r="F424" s="467">
        <v>3.2</v>
      </c>
      <c r="G424" s="468">
        <v>33.1</v>
      </c>
      <c r="H424" s="469">
        <v>73</v>
      </c>
      <c r="I424" s="467"/>
    </row>
    <row r="425" spans="2:9">
      <c r="B425" s="470"/>
      <c r="C425" s="465" t="s">
        <v>761</v>
      </c>
      <c r="D425" s="428" t="s">
        <v>314</v>
      </c>
      <c r="E425" s="234">
        <v>4</v>
      </c>
      <c r="F425" s="212">
        <v>2.2000000000000002</v>
      </c>
      <c r="G425" s="442"/>
      <c r="H425" s="212">
        <v>69.900000000000006</v>
      </c>
      <c r="I425" s="442"/>
    </row>
    <row r="426" spans="2:9">
      <c r="B426" s="470"/>
      <c r="C426" s="465"/>
      <c r="D426" s="428" t="s">
        <v>315</v>
      </c>
      <c r="E426" s="234">
        <v>2</v>
      </c>
      <c r="F426" s="212">
        <v>0.9</v>
      </c>
      <c r="G426" s="442"/>
      <c r="H426" s="212">
        <v>245.9</v>
      </c>
      <c r="I426" s="442"/>
    </row>
    <row r="427" spans="2:9" ht="24">
      <c r="B427" s="470"/>
      <c r="C427" s="283"/>
      <c r="D427" s="428" t="s">
        <v>762</v>
      </c>
      <c r="E427" s="234">
        <v>11</v>
      </c>
      <c r="F427" s="212">
        <v>3.2</v>
      </c>
      <c r="G427" s="212">
        <v>45.7</v>
      </c>
      <c r="H427" s="442">
        <v>159.9</v>
      </c>
      <c r="I427" s="212"/>
    </row>
    <row r="428" spans="2:9">
      <c r="B428" s="470"/>
      <c r="C428" s="428" t="s">
        <v>763</v>
      </c>
      <c r="D428" s="471"/>
      <c r="E428" s="234">
        <v>1</v>
      </c>
      <c r="F428" s="212">
        <v>3</v>
      </c>
      <c r="G428" s="442"/>
      <c r="H428" s="212">
        <v>36.5</v>
      </c>
      <c r="I428" s="442"/>
    </row>
    <row r="429" spans="2:9" ht="24">
      <c r="B429" s="470"/>
      <c r="C429" s="428" t="s">
        <v>764</v>
      </c>
      <c r="D429" s="471"/>
      <c r="E429" s="234">
        <v>4</v>
      </c>
      <c r="F429" s="212">
        <v>2.5</v>
      </c>
      <c r="G429" s="442"/>
      <c r="H429" s="219">
        <v>65</v>
      </c>
      <c r="I429" s="442"/>
    </row>
    <row r="430" spans="2:9">
      <c r="B430" s="470"/>
      <c r="C430" s="428" t="s">
        <v>765</v>
      </c>
      <c r="D430" s="471"/>
      <c r="E430" s="234">
        <v>7</v>
      </c>
      <c r="F430" s="212">
        <v>3.7</v>
      </c>
      <c r="G430" s="442"/>
      <c r="H430" s="212">
        <v>54.8</v>
      </c>
      <c r="I430" s="442"/>
    </row>
    <row r="431" spans="2:9">
      <c r="B431" s="470"/>
      <c r="C431" s="596" t="s">
        <v>766</v>
      </c>
      <c r="D431" s="428" t="s">
        <v>767</v>
      </c>
      <c r="E431" s="234">
        <v>1</v>
      </c>
      <c r="F431" s="442"/>
      <c r="G431" s="442"/>
      <c r="H431" s="442"/>
      <c r="I431" s="212">
        <v>10.199999999999999</v>
      </c>
    </row>
    <row r="432" spans="2:9">
      <c r="B432" s="470"/>
      <c r="C432" s="597"/>
      <c r="D432" s="428" t="s">
        <v>768</v>
      </c>
      <c r="E432" s="234">
        <v>11</v>
      </c>
      <c r="F432" s="442"/>
      <c r="G432" s="442"/>
      <c r="H432" s="442"/>
      <c r="I432" s="212">
        <v>26.4</v>
      </c>
    </row>
    <row r="433" spans="2:9" ht="24">
      <c r="B433" s="470"/>
      <c r="C433" s="597"/>
      <c r="D433" s="428" t="s">
        <v>769</v>
      </c>
      <c r="E433" s="234">
        <v>1</v>
      </c>
      <c r="F433" s="442"/>
      <c r="G433" s="442"/>
      <c r="H433" s="442"/>
      <c r="I433" s="219">
        <v>43</v>
      </c>
    </row>
    <row r="434" spans="2:9">
      <c r="B434" s="470"/>
      <c r="C434" s="597"/>
      <c r="D434" s="428" t="s">
        <v>770</v>
      </c>
      <c r="E434" s="234">
        <v>3</v>
      </c>
      <c r="F434" s="442"/>
      <c r="G434" s="442"/>
      <c r="H434" s="442"/>
      <c r="I434" s="212">
        <v>36.700000000000003</v>
      </c>
    </row>
    <row r="435" spans="2:9">
      <c r="B435" s="470"/>
      <c r="C435" s="597"/>
      <c r="D435" s="428" t="s">
        <v>771</v>
      </c>
      <c r="E435" s="234">
        <v>11</v>
      </c>
      <c r="F435" s="212">
        <v>12.3</v>
      </c>
      <c r="G435" s="212">
        <v>11.1</v>
      </c>
      <c r="H435" s="219">
        <v>16</v>
      </c>
      <c r="I435" s="212">
        <v>17.2</v>
      </c>
    </row>
    <row r="436" spans="2:9" ht="24">
      <c r="B436" s="470"/>
      <c r="C436" s="598"/>
      <c r="D436" s="428" t="s">
        <v>772</v>
      </c>
      <c r="E436" s="234">
        <v>3</v>
      </c>
      <c r="F436" s="212">
        <v>24.8</v>
      </c>
      <c r="G436" s="442"/>
      <c r="H436" s="212">
        <v>27.6</v>
      </c>
      <c r="I436" s="212">
        <v>33.6</v>
      </c>
    </row>
    <row r="437" spans="2:9">
      <c r="B437" s="470"/>
      <c r="C437" s="428" t="s">
        <v>211</v>
      </c>
      <c r="D437" s="471"/>
      <c r="E437" s="234">
        <v>27</v>
      </c>
      <c r="F437" s="212">
        <v>2.4</v>
      </c>
      <c r="G437" s="212">
        <v>7.4</v>
      </c>
      <c r="H437" s="212">
        <v>13.2</v>
      </c>
      <c r="I437" s="212">
        <v>4.5</v>
      </c>
    </row>
    <row r="438" spans="2:9">
      <c r="B438" s="470"/>
      <c r="C438" s="428" t="s">
        <v>773</v>
      </c>
      <c r="D438" s="471"/>
      <c r="E438" s="234">
        <v>32</v>
      </c>
      <c r="F438" s="212">
        <v>1</v>
      </c>
      <c r="G438" s="212">
        <v>5</v>
      </c>
      <c r="H438" s="212">
        <v>10.8</v>
      </c>
      <c r="I438" s="212">
        <v>3.3</v>
      </c>
    </row>
    <row r="439" spans="2:9">
      <c r="B439" s="470"/>
      <c r="C439" s="428" t="s">
        <v>774</v>
      </c>
      <c r="D439" s="471"/>
      <c r="E439" s="234">
        <v>1</v>
      </c>
      <c r="F439" s="212">
        <v>1.2</v>
      </c>
      <c r="G439" s="442"/>
      <c r="H439" s="212">
        <v>18.600000000000001</v>
      </c>
      <c r="I439" s="442"/>
    </row>
    <row r="440" spans="2:9">
      <c r="B440" s="470"/>
      <c r="C440" s="428" t="s">
        <v>343</v>
      </c>
      <c r="D440" s="471"/>
      <c r="E440" s="234">
        <v>16</v>
      </c>
      <c r="F440" s="212">
        <v>2.2999999999999998</v>
      </c>
      <c r="G440" s="212">
        <v>5.3</v>
      </c>
      <c r="H440" s="212">
        <v>11.2</v>
      </c>
      <c r="I440" s="212">
        <v>4.8</v>
      </c>
    </row>
    <row r="441" spans="2:9">
      <c r="B441" s="470"/>
      <c r="C441" s="428" t="s">
        <v>775</v>
      </c>
      <c r="D441" s="471"/>
      <c r="E441" s="234">
        <v>9</v>
      </c>
      <c r="F441" s="212">
        <v>1</v>
      </c>
      <c r="G441" s="442"/>
      <c r="H441" s="212">
        <v>24.2</v>
      </c>
      <c r="I441" s="212">
        <v>2.7</v>
      </c>
    </row>
    <row r="442" spans="2:9">
      <c r="B442" s="470"/>
      <c r="C442" s="428" t="s">
        <v>776</v>
      </c>
      <c r="D442" s="471"/>
      <c r="E442" s="234">
        <v>3</v>
      </c>
      <c r="F442" s="212">
        <v>0</v>
      </c>
      <c r="G442" s="442"/>
      <c r="H442" s="212">
        <v>39.9</v>
      </c>
      <c r="I442" s="212">
        <v>70.900000000000006</v>
      </c>
    </row>
    <row r="443" spans="2:9">
      <c r="B443" s="470"/>
      <c r="C443" s="428" t="s">
        <v>777</v>
      </c>
      <c r="D443" s="471"/>
      <c r="E443" s="234">
        <v>4</v>
      </c>
      <c r="F443" s="212">
        <v>0.9</v>
      </c>
      <c r="G443" s="442"/>
      <c r="H443" s="442"/>
      <c r="I443" s="212">
        <v>1.3</v>
      </c>
    </row>
    <row r="444" spans="2:9">
      <c r="B444" s="470"/>
      <c r="C444" s="428" t="s">
        <v>778</v>
      </c>
      <c r="D444" s="471"/>
      <c r="E444" s="234">
        <v>8</v>
      </c>
      <c r="F444" s="212">
        <v>1.3</v>
      </c>
      <c r="G444" s="442"/>
      <c r="H444" s="212">
        <v>6.7</v>
      </c>
      <c r="I444" s="442"/>
    </row>
    <row r="445" spans="2:9">
      <c r="B445" s="470"/>
      <c r="C445" s="428" t="s">
        <v>779</v>
      </c>
      <c r="D445" s="471"/>
      <c r="E445" s="234">
        <v>1</v>
      </c>
      <c r="F445" s="212">
        <v>0</v>
      </c>
      <c r="G445" s="442"/>
      <c r="H445" s="212">
        <v>11.7</v>
      </c>
      <c r="I445" s="442"/>
    </row>
    <row r="446" spans="2:9">
      <c r="B446" s="470"/>
      <c r="C446" s="428" t="s">
        <v>780</v>
      </c>
      <c r="D446" s="471"/>
      <c r="E446" s="234">
        <v>18</v>
      </c>
      <c r="F446" s="212">
        <v>3.3</v>
      </c>
      <c r="G446" s="442"/>
      <c r="H446" s="212">
        <v>50.1</v>
      </c>
      <c r="I446" s="442"/>
    </row>
    <row r="447" spans="2:9">
      <c r="B447" s="470"/>
      <c r="C447" s="428" t="s">
        <v>781</v>
      </c>
      <c r="D447" s="471"/>
      <c r="E447" s="234">
        <v>3</v>
      </c>
      <c r="F447" s="212">
        <v>5.5</v>
      </c>
      <c r="G447" s="442"/>
      <c r="H447" s="212">
        <v>8.6</v>
      </c>
      <c r="I447" s="442"/>
    </row>
    <row r="448" spans="2:9">
      <c r="B448" s="470"/>
      <c r="C448" s="428" t="s">
        <v>782</v>
      </c>
      <c r="D448" s="471"/>
      <c r="E448" s="234">
        <v>3</v>
      </c>
      <c r="F448" s="212">
        <v>6.9</v>
      </c>
      <c r="G448" s="442"/>
      <c r="H448" s="212">
        <v>9.1</v>
      </c>
      <c r="I448" s="442"/>
    </row>
    <row r="449" spans="2:9">
      <c r="B449" s="470"/>
      <c r="C449" s="428" t="s">
        <v>783</v>
      </c>
      <c r="D449" s="428" t="s">
        <v>784</v>
      </c>
      <c r="E449" s="234">
        <v>1</v>
      </c>
      <c r="F449" s="212">
        <v>3.2</v>
      </c>
      <c r="G449" s="442"/>
      <c r="H449" s="212">
        <v>4.7</v>
      </c>
      <c r="I449" s="442"/>
    </row>
    <row r="450" spans="2:9">
      <c r="B450" s="470"/>
      <c r="C450" s="428" t="s">
        <v>785</v>
      </c>
      <c r="D450" s="471"/>
      <c r="E450" s="234">
        <v>2</v>
      </c>
      <c r="F450" s="212">
        <v>0.3</v>
      </c>
      <c r="G450" s="442"/>
      <c r="H450" s="212">
        <v>15.4</v>
      </c>
      <c r="I450" s="442"/>
    </row>
    <row r="451" spans="2:9">
      <c r="B451" s="470"/>
      <c r="C451" s="428" t="s">
        <v>786</v>
      </c>
      <c r="D451" s="471"/>
      <c r="E451" s="234">
        <v>22</v>
      </c>
      <c r="F451" s="212">
        <v>6.2</v>
      </c>
      <c r="G451" s="442"/>
      <c r="H451" s="212">
        <v>13.6</v>
      </c>
      <c r="I451" s="212">
        <v>16.3</v>
      </c>
    </row>
    <row r="452" spans="2:9">
      <c r="B452" s="470"/>
      <c r="C452" s="428" t="s">
        <v>787</v>
      </c>
      <c r="D452" s="471"/>
      <c r="E452" s="234">
        <v>4</v>
      </c>
      <c r="F452" s="212">
        <v>1.5</v>
      </c>
      <c r="G452" s="212">
        <v>2.2000000000000002</v>
      </c>
      <c r="H452" s="212">
        <v>11.6</v>
      </c>
      <c r="I452" s="212">
        <v>1</v>
      </c>
    </row>
    <row r="453" spans="2:9" ht="24">
      <c r="B453" s="472"/>
      <c r="C453" s="428" t="s">
        <v>788</v>
      </c>
      <c r="D453" s="471"/>
      <c r="E453" s="234">
        <v>14</v>
      </c>
      <c r="F453" s="212">
        <v>1.6</v>
      </c>
      <c r="G453" s="212">
        <v>6.3</v>
      </c>
      <c r="H453" s="212">
        <v>8.1999999999999993</v>
      </c>
      <c r="I453" s="212">
        <v>2.1</v>
      </c>
    </row>
  </sheetData>
  <mergeCells count="107">
    <mergeCell ref="D15:D16"/>
    <mergeCell ref="E15:F15"/>
    <mergeCell ref="G15:G16"/>
    <mergeCell ref="C17:G17"/>
    <mergeCell ref="R18:V18"/>
    <mergeCell ref="C25:L25"/>
    <mergeCell ref="J37:J38"/>
    <mergeCell ref="K37:K38"/>
    <mergeCell ref="L37:L38"/>
    <mergeCell ref="T37:Y37"/>
    <mergeCell ref="Z37:AB37"/>
    <mergeCell ref="S39:AB39"/>
    <mergeCell ref="D26:I26"/>
    <mergeCell ref="J26:L26"/>
    <mergeCell ref="C34:C35"/>
    <mergeCell ref="J34:J35"/>
    <mergeCell ref="K34:K35"/>
    <mergeCell ref="L34:L35"/>
    <mergeCell ref="C61:L61"/>
    <mergeCell ref="C109:G109"/>
    <mergeCell ref="J109:M109"/>
    <mergeCell ref="O109:S109"/>
    <mergeCell ref="D120:E120"/>
    <mergeCell ref="P120:R120"/>
    <mergeCell ref="D48:F48"/>
    <mergeCell ref="G48:I48"/>
    <mergeCell ref="C50:I50"/>
    <mergeCell ref="C58:L58"/>
    <mergeCell ref="D59:I59"/>
    <mergeCell ref="J59:L59"/>
    <mergeCell ref="B152:B153"/>
    <mergeCell ref="C152:E152"/>
    <mergeCell ref="B161:B162"/>
    <mergeCell ref="C161:E161"/>
    <mergeCell ref="B170:B171"/>
    <mergeCell ref="C170:E170"/>
    <mergeCell ref="D123:E123"/>
    <mergeCell ref="B127:F127"/>
    <mergeCell ref="B128:F128"/>
    <mergeCell ref="B134:B135"/>
    <mergeCell ref="C134:E134"/>
    <mergeCell ref="B143:B144"/>
    <mergeCell ref="C143:E143"/>
    <mergeCell ref="B252:F252"/>
    <mergeCell ref="B256:F256"/>
    <mergeCell ref="B260:F260"/>
    <mergeCell ref="B266:F266"/>
    <mergeCell ref="B269:F269"/>
    <mergeCell ref="B272:F272"/>
    <mergeCell ref="O188:P188"/>
    <mergeCell ref="Q188:S189"/>
    <mergeCell ref="T188:U189"/>
    <mergeCell ref="I189:N189"/>
    <mergeCell ref="O189:P189"/>
    <mergeCell ref="B248:F248"/>
    <mergeCell ref="B188:B189"/>
    <mergeCell ref="C188:C189"/>
    <mergeCell ref="D188:D189"/>
    <mergeCell ref="E188:G189"/>
    <mergeCell ref="H188:H189"/>
    <mergeCell ref="I188:N188"/>
    <mergeCell ref="B295:F295"/>
    <mergeCell ref="B299:F299"/>
    <mergeCell ref="B303:F303"/>
    <mergeCell ref="B306:F306"/>
    <mergeCell ref="B308:F308"/>
    <mergeCell ref="B312:F312"/>
    <mergeCell ref="B275:F275"/>
    <mergeCell ref="B278:F278"/>
    <mergeCell ref="B281:F281"/>
    <mergeCell ref="B284:F284"/>
    <mergeCell ref="B287:F287"/>
    <mergeCell ref="B291:F291"/>
    <mergeCell ref="B337:I337"/>
    <mergeCell ref="B350:B351"/>
    <mergeCell ref="B352:B353"/>
    <mergeCell ref="B354:B355"/>
    <mergeCell ref="B356:B357"/>
    <mergeCell ref="B359:B360"/>
    <mergeCell ref="B316:F316"/>
    <mergeCell ref="B320:F320"/>
    <mergeCell ref="B323:F323"/>
    <mergeCell ref="B326:F326"/>
    <mergeCell ref="B329:F329"/>
    <mergeCell ref="B336:I336"/>
    <mergeCell ref="B386:B387"/>
    <mergeCell ref="B389:B390"/>
    <mergeCell ref="B391:B392"/>
    <mergeCell ref="B393:B394"/>
    <mergeCell ref="B395:B396"/>
    <mergeCell ref="B397:B398"/>
    <mergeCell ref="B361:B362"/>
    <mergeCell ref="B363:B364"/>
    <mergeCell ref="B365:B366"/>
    <mergeCell ref="B375:I375"/>
    <mergeCell ref="B377:B378"/>
    <mergeCell ref="B381:B382"/>
    <mergeCell ref="C414:C415"/>
    <mergeCell ref="C416:C417"/>
    <mergeCell ref="C420:C421"/>
    <mergeCell ref="C431:C436"/>
    <mergeCell ref="B400:B401"/>
    <mergeCell ref="B402:B403"/>
    <mergeCell ref="C405:I405"/>
    <mergeCell ref="C407:C408"/>
    <mergeCell ref="C409:C410"/>
    <mergeCell ref="C412:C41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AG69"/>
  <sheetViews>
    <sheetView workbookViewId="0">
      <selection activeCell="M2" sqref="M2"/>
    </sheetView>
  </sheetViews>
  <sheetFormatPr defaultRowHeight="12.75"/>
  <cols>
    <col min="1" max="26" width="9.140625" style="85"/>
    <col min="27" max="27" width="43.28515625" style="85" customWidth="1"/>
    <col min="28" max="16384" width="9.140625" style="85"/>
  </cols>
  <sheetData>
    <row r="1" spans="1:33">
      <c r="A1" s="85" t="s">
        <v>817</v>
      </c>
      <c r="H1" s="85" t="s">
        <v>258</v>
      </c>
      <c r="I1" s="85" t="s">
        <v>818</v>
      </c>
      <c r="J1" s="85" t="s">
        <v>819</v>
      </c>
      <c r="K1" s="85" t="s">
        <v>820</v>
      </c>
    </row>
    <row r="2" spans="1:33">
      <c r="B2" s="85" t="s">
        <v>821</v>
      </c>
      <c r="H2" s="492">
        <f>AVERAGE(K31:K32,K34:K43,K48)</f>
        <v>32.481666666666662</v>
      </c>
      <c r="I2" s="492">
        <f>$K$48</f>
        <v>26.95</v>
      </c>
      <c r="J2" s="492">
        <f>K35</f>
        <v>38.729999999999997</v>
      </c>
    </row>
    <row r="3" spans="1:33">
      <c r="B3" s="85" t="s">
        <v>822</v>
      </c>
      <c r="H3" s="493">
        <f>AVERAGE(V31:V35)</f>
        <v>17.059999999999999</v>
      </c>
      <c r="I3" s="493">
        <f>V31</f>
        <v>9.16</v>
      </c>
      <c r="J3" s="493">
        <f>V35</f>
        <v>25</v>
      </c>
    </row>
    <row r="4" spans="1:33">
      <c r="B4" s="85" t="s">
        <v>823</v>
      </c>
      <c r="H4" s="492">
        <f>H2-H3</f>
        <v>15.421666666666663</v>
      </c>
      <c r="I4" s="492">
        <f>I2-I3</f>
        <v>17.79</v>
      </c>
      <c r="J4" s="492">
        <f>J2-J3</f>
        <v>13.729999999999997</v>
      </c>
      <c r="K4" s="86">
        <f>(I4-H4)/H4</f>
        <v>0.15357181454663371</v>
      </c>
    </row>
    <row r="5" spans="1:33">
      <c r="C5" s="85" t="s">
        <v>824</v>
      </c>
      <c r="H5" s="492"/>
    </row>
    <row r="7" spans="1:33">
      <c r="A7" s="85" t="s">
        <v>825</v>
      </c>
      <c r="H7" s="85" t="s">
        <v>258</v>
      </c>
      <c r="I7" s="85" t="s">
        <v>818</v>
      </c>
      <c r="J7" s="85" t="s">
        <v>819</v>
      </c>
      <c r="Z7" s="85" t="s">
        <v>825</v>
      </c>
      <c r="AB7" s="85" t="s">
        <v>258</v>
      </c>
    </row>
    <row r="8" spans="1:33" ht="25.5">
      <c r="B8" s="85" t="s">
        <v>826</v>
      </c>
      <c r="H8" s="492">
        <f>K51</f>
        <v>20.010000000000002</v>
      </c>
      <c r="I8" s="494">
        <v>17.5</v>
      </c>
      <c r="J8" s="494">
        <v>25</v>
      </c>
      <c r="AA8" s="339" t="s">
        <v>826</v>
      </c>
      <c r="AB8" s="494">
        <v>20.010000000000002</v>
      </c>
      <c r="AG8" s="492"/>
    </row>
    <row r="9" spans="1:33">
      <c r="B9" s="85" t="s">
        <v>827</v>
      </c>
      <c r="H9" s="494">
        <f>30/4</f>
        <v>7.5</v>
      </c>
      <c r="I9" s="494">
        <v>5</v>
      </c>
      <c r="J9" s="494">
        <v>10</v>
      </c>
      <c r="AA9" s="339" t="s">
        <v>827</v>
      </c>
      <c r="AB9" s="494">
        <v>7.5</v>
      </c>
      <c r="AG9" s="494"/>
    </row>
    <row r="10" spans="1:33" ht="25.5">
      <c r="B10" s="85" t="s">
        <v>828</v>
      </c>
      <c r="H10" s="495">
        <f>30/4</f>
        <v>7.5</v>
      </c>
      <c r="I10" s="495">
        <v>5</v>
      </c>
      <c r="J10" s="495">
        <v>10</v>
      </c>
      <c r="AA10" s="339" t="s">
        <v>828</v>
      </c>
      <c r="AB10" s="495">
        <v>7.5</v>
      </c>
      <c r="AG10" s="495"/>
    </row>
    <row r="11" spans="1:33">
      <c r="H11" s="496">
        <f>SUM(H8:H10)</f>
        <v>35.010000000000005</v>
      </c>
      <c r="I11" s="496">
        <f>SUM(I8:I10)</f>
        <v>27.5</v>
      </c>
      <c r="J11" s="496">
        <f>SUM(J8:J10)</f>
        <v>45</v>
      </c>
      <c r="K11" s="86">
        <f>(J11-H11)/H11</f>
        <v>0.28534704370179931</v>
      </c>
      <c r="AB11" s="494">
        <v>35.010000000000005</v>
      </c>
      <c r="AG11" s="496"/>
    </row>
    <row r="12" spans="1:33">
      <c r="H12" s="496"/>
      <c r="I12" s="496"/>
      <c r="J12" s="496"/>
      <c r="K12" s="86"/>
      <c r="AB12" s="494"/>
      <c r="AG12" s="496"/>
    </row>
    <row r="13" spans="1:33">
      <c r="B13" s="85" t="s">
        <v>829</v>
      </c>
      <c r="H13" s="497">
        <f>H10+H9+K57</f>
        <v>60</v>
      </c>
      <c r="I13" s="496"/>
      <c r="J13" s="496"/>
      <c r="K13" s="86"/>
      <c r="AB13" s="494"/>
      <c r="AG13" s="496"/>
    </row>
    <row r="15" spans="1:33">
      <c r="B15" s="85" t="s">
        <v>830</v>
      </c>
    </row>
    <row r="16" spans="1:33">
      <c r="C16" s="85" t="s">
        <v>831</v>
      </c>
    </row>
    <row r="17" spans="1:28">
      <c r="C17" s="85" t="s">
        <v>832</v>
      </c>
    </row>
    <row r="18" spans="1:28">
      <c r="C18" s="85" t="s">
        <v>833</v>
      </c>
    </row>
    <row r="19" spans="1:28">
      <c r="D19" s="85" t="s">
        <v>834</v>
      </c>
    </row>
    <row r="20" spans="1:28">
      <c r="D20" s="85" t="s">
        <v>835</v>
      </c>
    </row>
    <row r="21" spans="1:28">
      <c r="D21" s="85" t="s">
        <v>836</v>
      </c>
    </row>
    <row r="22" spans="1:28">
      <c r="D22" s="85" t="s">
        <v>837</v>
      </c>
    </row>
    <row r="23" spans="1:28">
      <c r="C23" s="85" t="s">
        <v>838</v>
      </c>
    </row>
    <row r="24" spans="1:28">
      <c r="B24" s="85" t="s">
        <v>839</v>
      </c>
    </row>
    <row r="25" spans="1:28">
      <c r="C25" s="85" t="s">
        <v>840</v>
      </c>
    </row>
    <row r="26" spans="1:28">
      <c r="C26" s="85" t="s">
        <v>841</v>
      </c>
    </row>
    <row r="29" spans="1:28">
      <c r="A29" s="85" t="s">
        <v>164</v>
      </c>
      <c r="O29" s="85" t="s">
        <v>842</v>
      </c>
      <c r="Z29" s="85" t="s">
        <v>843</v>
      </c>
    </row>
    <row r="30" spans="1:28" ht="25.5">
      <c r="A30" s="85" t="s">
        <v>843</v>
      </c>
      <c r="O30" s="85" t="s">
        <v>843</v>
      </c>
      <c r="AA30" s="339" t="s">
        <v>844</v>
      </c>
      <c r="AB30" s="492">
        <v>33</v>
      </c>
    </row>
    <row r="31" spans="1:28" ht="25.5">
      <c r="B31" s="85" t="s">
        <v>844</v>
      </c>
      <c r="K31" s="492">
        <v>33</v>
      </c>
      <c r="L31" s="85" t="s">
        <v>845</v>
      </c>
      <c r="P31" s="85" t="s">
        <v>846</v>
      </c>
      <c r="V31" s="492">
        <v>9.16</v>
      </c>
      <c r="W31" s="498" t="s">
        <v>847</v>
      </c>
      <c r="AA31" s="339" t="s">
        <v>848</v>
      </c>
      <c r="AB31" s="492">
        <v>29.41</v>
      </c>
    </row>
    <row r="32" spans="1:28" ht="38.25">
      <c r="C32" s="85" t="s">
        <v>849</v>
      </c>
      <c r="P32" s="499" t="s">
        <v>850</v>
      </c>
      <c r="V32" s="492">
        <v>12.99</v>
      </c>
      <c r="W32" s="498" t="s">
        <v>847</v>
      </c>
      <c r="AA32" s="339" t="s">
        <v>851</v>
      </c>
      <c r="AB32" s="492">
        <v>38.729999999999997</v>
      </c>
    </row>
    <row r="33" spans="1:28" ht="25.5">
      <c r="B33" s="85" t="s">
        <v>848</v>
      </c>
      <c r="K33" s="492">
        <v>29.41</v>
      </c>
      <c r="L33" s="85" t="s">
        <v>845</v>
      </c>
      <c r="P33" s="499" t="s">
        <v>852</v>
      </c>
      <c r="V33" s="492">
        <v>19.059999999999999</v>
      </c>
      <c r="AA33" s="339" t="s">
        <v>853</v>
      </c>
      <c r="AB33" s="492">
        <v>30.01</v>
      </c>
    </row>
    <row r="34" spans="1:28">
      <c r="C34" s="85" t="s">
        <v>854</v>
      </c>
      <c r="P34" s="499" t="s">
        <v>855</v>
      </c>
      <c r="V34" s="492">
        <v>19.09</v>
      </c>
      <c r="AA34" s="500" t="s">
        <v>856</v>
      </c>
      <c r="AB34" s="501">
        <v>26.25</v>
      </c>
    </row>
    <row r="35" spans="1:28">
      <c r="B35" s="85" t="s">
        <v>851</v>
      </c>
      <c r="K35" s="492">
        <v>38.729999999999997</v>
      </c>
      <c r="L35" s="85" t="s">
        <v>845</v>
      </c>
      <c r="P35" s="499" t="s">
        <v>857</v>
      </c>
      <c r="V35" s="492">
        <v>25</v>
      </c>
      <c r="AA35" s="502" t="s">
        <v>858</v>
      </c>
      <c r="AB35" s="492">
        <v>39.950000000000003</v>
      </c>
    </row>
    <row r="36" spans="1:28">
      <c r="C36" s="85" t="s">
        <v>854</v>
      </c>
      <c r="AA36" s="502" t="s">
        <v>859</v>
      </c>
      <c r="AB36" s="492">
        <v>29.95</v>
      </c>
    </row>
    <row r="37" spans="1:28" ht="25.5">
      <c r="B37" s="85" t="s">
        <v>853</v>
      </c>
      <c r="K37" s="492">
        <v>30.01</v>
      </c>
      <c r="L37" s="85" t="s">
        <v>845</v>
      </c>
      <c r="AA37" s="503" t="s">
        <v>860</v>
      </c>
      <c r="AB37" s="492">
        <v>49</v>
      </c>
    </row>
    <row r="38" spans="1:28">
      <c r="C38" s="85" t="s">
        <v>861</v>
      </c>
      <c r="Z38" s="85" t="s">
        <v>862</v>
      </c>
      <c r="AA38" s="339"/>
    </row>
    <row r="39" spans="1:28">
      <c r="A39" s="85" t="s">
        <v>862</v>
      </c>
      <c r="AA39" s="502" t="s">
        <v>863</v>
      </c>
      <c r="AB39" s="492">
        <v>26.95</v>
      </c>
    </row>
    <row r="40" spans="1:28">
      <c r="B40" s="360" t="s">
        <v>864</v>
      </c>
      <c r="K40" s="501">
        <v>26.25</v>
      </c>
      <c r="L40" s="85" t="s">
        <v>865</v>
      </c>
      <c r="Z40" s="85" t="s">
        <v>866</v>
      </c>
      <c r="AA40" s="339"/>
    </row>
    <row r="41" spans="1:28" ht="25.5">
      <c r="C41" s="85" t="s">
        <v>861</v>
      </c>
      <c r="AA41" s="339" t="s">
        <v>867</v>
      </c>
      <c r="AB41" s="492">
        <v>20.010000000000002</v>
      </c>
    </row>
    <row r="42" spans="1:28">
      <c r="B42" s="203" t="s">
        <v>858</v>
      </c>
      <c r="K42" s="492">
        <v>39.950000000000003</v>
      </c>
      <c r="L42" s="85" t="s">
        <v>865</v>
      </c>
      <c r="Z42" s="85" t="s">
        <v>868</v>
      </c>
      <c r="AA42" s="339"/>
    </row>
    <row r="43" spans="1:28" ht="25.5">
      <c r="C43" s="85" t="s">
        <v>869</v>
      </c>
      <c r="AA43" s="500" t="s">
        <v>870</v>
      </c>
      <c r="AB43" s="492">
        <v>99.99</v>
      </c>
    </row>
    <row r="44" spans="1:28" ht="25.5">
      <c r="B44" s="203" t="s">
        <v>859</v>
      </c>
      <c r="K44" s="492">
        <v>29.95</v>
      </c>
      <c r="L44" s="85" t="s">
        <v>865</v>
      </c>
      <c r="AA44" s="339" t="s">
        <v>871</v>
      </c>
      <c r="AB44" s="492">
        <v>59</v>
      </c>
    </row>
    <row r="45" spans="1:28">
      <c r="C45" s="85" t="s">
        <v>872</v>
      </c>
    </row>
    <row r="46" spans="1:28">
      <c r="B46" s="499" t="s">
        <v>860</v>
      </c>
      <c r="K46" s="492">
        <v>49</v>
      </c>
      <c r="L46" s="85" t="s">
        <v>865</v>
      </c>
    </row>
    <row r="47" spans="1:28">
      <c r="C47" s="85" t="s">
        <v>873</v>
      </c>
    </row>
    <row r="48" spans="1:28">
      <c r="B48" s="203" t="s">
        <v>863</v>
      </c>
      <c r="K48" s="492">
        <v>26.95</v>
      </c>
      <c r="L48" s="85" t="s">
        <v>865</v>
      </c>
      <c r="Z48" s="85" t="s">
        <v>843</v>
      </c>
    </row>
    <row r="49" spans="1:28" ht="25.5">
      <c r="C49" s="85" t="s">
        <v>874</v>
      </c>
      <c r="AA49" s="339" t="s">
        <v>846</v>
      </c>
      <c r="AB49" s="492">
        <v>9.16</v>
      </c>
    </row>
    <row r="50" spans="1:28">
      <c r="A50" s="85" t="s">
        <v>866</v>
      </c>
      <c r="AA50" s="503" t="s">
        <v>850</v>
      </c>
      <c r="AB50" s="492">
        <v>12.99</v>
      </c>
    </row>
    <row r="51" spans="1:28" ht="25.5">
      <c r="B51" s="85" t="s">
        <v>867</v>
      </c>
      <c r="K51" s="492">
        <v>20.010000000000002</v>
      </c>
      <c r="AA51" s="503" t="s">
        <v>852</v>
      </c>
      <c r="AB51" s="492">
        <v>19.059999999999999</v>
      </c>
    </row>
    <row r="52" spans="1:28">
      <c r="A52" s="85" t="s">
        <v>868</v>
      </c>
      <c r="AA52" s="503" t="s">
        <v>855</v>
      </c>
      <c r="AB52" s="492">
        <v>19.09</v>
      </c>
    </row>
    <row r="53" spans="1:28" ht="38.25">
      <c r="B53" s="85" t="s">
        <v>871</v>
      </c>
      <c r="K53" s="492">
        <v>59</v>
      </c>
      <c r="AA53" s="503" t="s">
        <v>857</v>
      </c>
      <c r="AB53" s="492">
        <v>25</v>
      </c>
    </row>
    <row r="55" spans="1:28">
      <c r="A55" s="85" t="s">
        <v>875</v>
      </c>
    </row>
    <row r="56" spans="1:28">
      <c r="B56" s="360" t="s">
        <v>876</v>
      </c>
      <c r="K56" s="492">
        <v>99.99</v>
      </c>
      <c r="L56" s="85" t="s">
        <v>877</v>
      </c>
    </row>
    <row r="57" spans="1:28">
      <c r="C57" s="85" t="s">
        <v>878</v>
      </c>
      <c r="K57" s="504">
        <v>45</v>
      </c>
    </row>
    <row r="58" spans="1:28">
      <c r="A58" s="85" t="s">
        <v>273</v>
      </c>
    </row>
    <row r="59" spans="1:28">
      <c r="B59" s="360" t="s">
        <v>879</v>
      </c>
      <c r="K59" s="85" t="s">
        <v>880</v>
      </c>
    </row>
    <row r="60" spans="1:28">
      <c r="C60" s="85" t="s">
        <v>881</v>
      </c>
    </row>
    <row r="63" spans="1:28">
      <c r="A63" s="130" t="s">
        <v>808</v>
      </c>
    </row>
    <row r="64" spans="1:28">
      <c r="B64" s="85" t="s">
        <v>283</v>
      </c>
    </row>
    <row r="65" spans="2:5">
      <c r="B65" s="85" t="s">
        <v>284</v>
      </c>
    </row>
    <row r="66" spans="2:5">
      <c r="C66" s="85" t="s">
        <v>882</v>
      </c>
    </row>
    <row r="67" spans="2:5">
      <c r="C67" s="85" t="s">
        <v>883</v>
      </c>
    </row>
    <row r="68" spans="2:5">
      <c r="B68" s="85" t="s">
        <v>884</v>
      </c>
    </row>
    <row r="69" spans="2:5">
      <c r="C69" s="268" t="s">
        <v>885</v>
      </c>
      <c r="D69" s="85">
        <v>10</v>
      </c>
      <c r="E69" s="85" t="s">
        <v>886</v>
      </c>
    </row>
  </sheetData>
  <hyperlinks>
    <hyperlink ref="B42" r:id="rId1" display="http://www.energyfederation.org/consumer/default.php/cPath/39_3042_4559/sort/1a/page/1/action/buy_now/products_id/2628"/>
    <hyperlink ref="B44" r:id="rId2" display="http://www.energyfederation.org/consumer/default.php/cPath/39_3042_4526"/>
    <hyperlink ref="B46" r:id="rId3" display="http://www.energyfederation.org/consumer/default.php/cPath/39_3042_6165/sort/1a/page/1/action/buy_now/products_id/3080"/>
    <hyperlink ref="B48" r:id="rId4" display="http://www.energyfederation.org/consumer/default.php/cPath/39_3042_5225"/>
    <hyperlink ref="P32" r:id="rId5" display="http://www.amazon.com/Belkin-Outlet-Power-Strip-Length/dp/B001E29OT6/ref=lp_10967801_1_16?ie=UTF8&amp;qid=1365704900&amp;sr=1-16"/>
    <hyperlink ref="P33" r:id="rId6" display="http://www.amazon.com/Tripp-Lite-TLP808-Protector-Outlet/dp/B00006B82N/ref=lp_10967801_1_20?ie=UTF8&amp;qid=1365704900&amp;sr=1-20"/>
    <hyperlink ref="P34" r:id="rId7" display="http://www.amazon.com/Fellowes-6-Outlet-15-Foot-Power-99026/dp/B00006HQR8/ref=lp_10967801_1_9?ie=UTF8&amp;qid=1365704900&amp;sr=1-9"/>
    <hyperlink ref="P35" r:id="rId8" display="http://www.amazon.com/VCT-Universal-Protector-Outlets-Capacity/dp/B000784H4K/ref=lp_10967801_1_14?ie=UTF8&amp;qid=1365704900&amp;sr=1-14"/>
    <hyperlink ref="AA35" r:id="rId9" display="http://www.energyfederation.org/consumer/default.php/cPath/39_3042_4559/sort/1a/page/1/action/buy_now/products_id/2628"/>
    <hyperlink ref="AA36" r:id="rId10" display="http://www.energyfederation.org/consumer/default.php/cPath/39_3042_4526"/>
    <hyperlink ref="AA37" r:id="rId11" display="http://www.energyfederation.org/consumer/default.php/cPath/39_3042_6165/sort/1a/page/1/action/buy_now/products_id/3080"/>
    <hyperlink ref="AA39" r:id="rId12" display="http://www.energyfederation.org/consumer/default.php/cPath/39_3042_5225"/>
    <hyperlink ref="AA50" r:id="rId13" display="http://www.amazon.com/Belkin-Outlet-Power-Strip-Length/dp/B001E29OT6/ref=lp_10967801_1_16?ie=UTF8&amp;qid=1365704900&amp;sr=1-16"/>
    <hyperlink ref="AA51" r:id="rId14" display="http://www.amazon.com/Tripp-Lite-TLP808-Protector-Outlet/dp/B00006B82N/ref=lp_10967801_1_20?ie=UTF8&amp;qid=1365704900&amp;sr=1-20"/>
    <hyperlink ref="AA52" r:id="rId15" display="http://www.amazon.com/Fellowes-6-Outlet-15-Foot-Power-99026/dp/B00006HQR8/ref=lp_10967801_1_9?ie=UTF8&amp;qid=1365704900&amp;sr=1-9"/>
    <hyperlink ref="AA53" r:id="rId16" display="http://www.amazon.com/VCT-Universal-Protector-Outlets-Capacity/dp/B000784H4K/ref=lp_10967801_1_14?ie=UTF8&amp;qid=1365704900&amp;sr=1-1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26"/>
  <sheetViews>
    <sheetView workbookViewId="0"/>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545" t="s">
        <v>1124</v>
      </c>
      <c r="B1" s="545" t="s">
        <v>1125</v>
      </c>
      <c r="C1" s="545" t="s">
        <v>1126</v>
      </c>
      <c r="D1" s="545" t="s">
        <v>1127</v>
      </c>
      <c r="E1" s="545" t="s">
        <v>1128</v>
      </c>
      <c r="F1" s="545" t="s">
        <v>1129</v>
      </c>
      <c r="G1" s="545" t="s">
        <v>1130</v>
      </c>
      <c r="H1" s="545" t="s">
        <v>1131</v>
      </c>
      <c r="I1" s="545" t="s">
        <v>67</v>
      </c>
      <c r="J1" s="545" t="s">
        <v>68</v>
      </c>
      <c r="K1" s="65">
        <v>2016</v>
      </c>
      <c r="L1" s="508">
        <v>2017</v>
      </c>
      <c r="M1" s="508">
        <v>2018</v>
      </c>
      <c r="N1" s="508">
        <v>2019</v>
      </c>
      <c r="O1" s="508">
        <v>2020</v>
      </c>
      <c r="P1" s="508">
        <v>2021</v>
      </c>
      <c r="Q1" s="508">
        <v>2022</v>
      </c>
      <c r="R1" s="508">
        <v>2023</v>
      </c>
      <c r="S1" s="508">
        <v>2024</v>
      </c>
      <c r="T1" s="508">
        <v>2025</v>
      </c>
      <c r="U1" s="508">
        <v>2026</v>
      </c>
      <c r="V1" s="508">
        <v>2027</v>
      </c>
      <c r="W1" s="508">
        <v>2028</v>
      </c>
      <c r="X1" s="508">
        <v>2029</v>
      </c>
      <c r="Y1" s="508">
        <v>2030</v>
      </c>
      <c r="Z1" s="508">
        <v>2031</v>
      </c>
      <c r="AA1" s="508">
        <v>2032</v>
      </c>
      <c r="AB1" s="508">
        <v>2033</v>
      </c>
      <c r="AC1" s="508">
        <v>2034</v>
      </c>
      <c r="AD1" s="508">
        <v>2035</v>
      </c>
      <c r="AE1" s="67" t="s">
        <v>61</v>
      </c>
      <c r="AF1" s="44" t="s">
        <v>1119</v>
      </c>
      <c r="AG1" s="45"/>
      <c r="AH1" s="45"/>
      <c r="AI1" s="45"/>
      <c r="AJ1" s="45"/>
      <c r="AK1" s="45"/>
      <c r="AL1" s="45"/>
      <c r="AM1" s="45"/>
      <c r="AN1" s="45"/>
      <c r="AO1" s="45"/>
      <c r="AP1" s="45"/>
      <c r="AQ1" s="40"/>
      <c r="AR1" s="43"/>
      <c r="AS1" s="44" t="s">
        <v>1120</v>
      </c>
      <c r="AT1" s="45"/>
      <c r="AU1" s="45"/>
      <c r="AV1" s="45"/>
      <c r="AW1" s="45"/>
      <c r="AX1" s="45"/>
      <c r="AY1" s="45"/>
      <c r="AZ1" s="45"/>
      <c r="BA1" s="45"/>
      <c r="BB1" s="45"/>
      <c r="BC1" s="45"/>
      <c r="BD1" s="40"/>
    </row>
    <row r="2" spans="1:56" ht="15">
      <c r="A2" s="545"/>
      <c r="B2" s="545"/>
      <c r="C2" s="545"/>
      <c r="D2" s="545"/>
      <c r="E2" s="545"/>
      <c r="F2" s="545" t="s">
        <v>1121</v>
      </c>
      <c r="G2" s="545" t="s">
        <v>46</v>
      </c>
      <c r="H2" s="545" t="s">
        <v>66</v>
      </c>
      <c r="I2" s="545">
        <v>1</v>
      </c>
      <c r="J2" s="545"/>
      <c r="K2" s="68" t="str">
        <f t="shared" ref="K2:AD2" si="0">CONCATENATE("aMW_",K$1)</f>
        <v>aMW_2016</v>
      </c>
      <c r="L2" s="69" t="str">
        <f t="shared" si="0"/>
        <v>aMW_2017</v>
      </c>
      <c r="M2" s="69" t="str">
        <f t="shared" si="0"/>
        <v>aMW_2018</v>
      </c>
      <c r="N2" s="69" t="str">
        <f t="shared" si="0"/>
        <v>aMW_2019</v>
      </c>
      <c r="O2" s="69" t="str">
        <f t="shared" si="0"/>
        <v>aMW_2020</v>
      </c>
      <c r="P2" s="69" t="str">
        <f t="shared" si="0"/>
        <v>aMW_2021</v>
      </c>
      <c r="Q2" s="69" t="str">
        <f t="shared" si="0"/>
        <v>aMW_2022</v>
      </c>
      <c r="R2" s="69" t="str">
        <f t="shared" si="0"/>
        <v>aMW_2023</v>
      </c>
      <c r="S2" s="69" t="str">
        <f t="shared" si="0"/>
        <v>aMW_2024</v>
      </c>
      <c r="T2" s="69" t="str">
        <f t="shared" si="0"/>
        <v>aMW_2025</v>
      </c>
      <c r="U2" s="69" t="str">
        <f t="shared" si="0"/>
        <v>aMW_2026</v>
      </c>
      <c r="V2" s="69" t="str">
        <f t="shared" si="0"/>
        <v>aMW_2027</v>
      </c>
      <c r="W2" s="69" t="str">
        <f t="shared" si="0"/>
        <v>aMW_2028</v>
      </c>
      <c r="X2" s="69" t="str">
        <f t="shared" si="0"/>
        <v>aMW_2029</v>
      </c>
      <c r="Y2" s="69" t="str">
        <f t="shared" si="0"/>
        <v>aMW_2030</v>
      </c>
      <c r="Z2" s="69" t="str">
        <f t="shared" si="0"/>
        <v>aMW_2031</v>
      </c>
      <c r="AA2" s="69" t="str">
        <f t="shared" si="0"/>
        <v>aMW_2032</v>
      </c>
      <c r="AB2" s="69" t="str">
        <f t="shared" si="0"/>
        <v>aMW_2033</v>
      </c>
      <c r="AC2" s="69" t="str">
        <f t="shared" si="0"/>
        <v>aMW_2034</v>
      </c>
      <c r="AD2" s="69" t="str">
        <f t="shared" si="0"/>
        <v>aMW_2035</v>
      </c>
      <c r="AE2" s="70" t="s">
        <v>61</v>
      </c>
      <c r="AF2" s="38" t="s">
        <v>33</v>
      </c>
      <c r="AG2" s="38" t="s">
        <v>34</v>
      </c>
      <c r="AH2" s="38" t="s">
        <v>35</v>
      </c>
      <c r="AI2" s="38" t="s">
        <v>36</v>
      </c>
      <c r="AJ2" s="38" t="s">
        <v>37</v>
      </c>
      <c r="AK2" s="38" t="s">
        <v>38</v>
      </c>
      <c r="AL2" s="38" t="s">
        <v>39</v>
      </c>
      <c r="AM2" s="38" t="s">
        <v>40</v>
      </c>
      <c r="AN2" s="38" t="s">
        <v>41</v>
      </c>
      <c r="AO2" s="38" t="s">
        <v>42</v>
      </c>
      <c r="AP2" s="38" t="s">
        <v>43</v>
      </c>
      <c r="AQ2" s="38" t="s">
        <v>44</v>
      </c>
      <c r="AR2" s="38"/>
      <c r="AS2" s="38" t="s">
        <v>33</v>
      </c>
      <c r="AT2" s="38" t="s">
        <v>34</v>
      </c>
      <c r="AU2" s="38" t="s">
        <v>35</v>
      </c>
      <c r="AV2" s="38" t="s">
        <v>36</v>
      </c>
      <c r="AW2" s="38" t="s">
        <v>37</v>
      </c>
      <c r="AX2" s="38" t="s">
        <v>38</v>
      </c>
      <c r="AY2" s="38" t="s">
        <v>39</v>
      </c>
      <c r="AZ2" s="38" t="s">
        <v>40</v>
      </c>
      <c r="BA2" s="38" t="s">
        <v>41</v>
      </c>
      <c r="BB2" s="38" t="s">
        <v>42</v>
      </c>
      <c r="BC2" s="38" t="s">
        <v>43</v>
      </c>
      <c r="BD2" s="38" t="s">
        <v>44</v>
      </c>
    </row>
    <row r="3" spans="1:56" ht="15">
      <c r="A3" s="546" t="str">
        <f>VLOOKUP(CONCATENATE($C3," - ",$B3),[2]ACHIEV!$B$12:$C$100,2,FALSE)</f>
        <v>LO3Slow</v>
      </c>
      <c r="B3" s="546" t="str">
        <f>'SC-New'!$C$7</f>
        <v>New</v>
      </c>
      <c r="C3" s="546" t="str">
        <f>'SC-New'!$C$8</f>
        <v>Advanced Power Strips</v>
      </c>
      <c r="D3" s="546" t="s">
        <v>1132</v>
      </c>
      <c r="E3" s="546" t="str">
        <f>'SC-New'!$A$9</f>
        <v>Electronics</v>
      </c>
      <c r="F3" s="547">
        <f t="shared" ref="F3:F26" si="1">VLOOKUP($J3,MeasureOutput,14,FALSE)</f>
        <v>6.7339705814560636E-3</v>
      </c>
      <c r="G3" s="64">
        <f>'SC-New'!A60</f>
        <v>42.910133077431247</v>
      </c>
      <c r="H3" s="64">
        <f>'SC-New'!B60</f>
        <v>-8.9100081856585778</v>
      </c>
      <c r="I3" s="9" t="str">
        <f>'SC-New'!C60</f>
        <v>Single Family</v>
      </c>
      <c r="J3" s="9" t="str">
        <f>'SC-New'!D60</f>
        <v>Occupancy sensing advanced power strip</v>
      </c>
      <c r="K3" s="36">
        <f>'SC-New'!E60</f>
        <v>4.61813703717516E-4</v>
      </c>
      <c r="L3" s="36">
        <f>'SC-New'!F60</f>
        <v>1.1252086455153319E-3</v>
      </c>
      <c r="M3" s="36">
        <f>'SC-New'!G60</f>
        <v>2.3471834314498625E-3</v>
      </c>
      <c r="N3" s="36">
        <f>'SC-New'!H60</f>
        <v>4.4129415683087196E-3</v>
      </c>
      <c r="O3" s="36">
        <f>'SC-New'!I60</f>
        <v>7.4957257224587612E-3</v>
      </c>
      <c r="P3" s="36">
        <f>'SC-New'!J60</f>
        <v>1.1365676945873504E-2</v>
      </c>
      <c r="Q3" s="36">
        <f>'SC-New'!K60</f>
        <v>1.6205819475617087E-2</v>
      </c>
      <c r="R3" s="36">
        <f>'SC-New'!L60</f>
        <v>2.2028374453128875E-2</v>
      </c>
      <c r="S3" s="36">
        <f>'SC-New'!M60</f>
        <v>2.7985699125157928E-2</v>
      </c>
      <c r="T3" s="36">
        <f>'SC-New'!N60</f>
        <v>3.4655913833638211E-2</v>
      </c>
      <c r="U3" s="36">
        <f>'SC-New'!O60</f>
        <v>4.0563285925855806E-2</v>
      </c>
      <c r="V3" s="36">
        <f>'SC-New'!P60</f>
        <v>4.4789689849144172E-2</v>
      </c>
      <c r="W3" s="36">
        <f>'SC-New'!Q60</f>
        <v>4.7255877023407986E-2</v>
      </c>
      <c r="X3" s="36">
        <f>'SC-New'!R60</f>
        <v>4.9985037771857421E-2</v>
      </c>
      <c r="Y3" s="36">
        <f>'SC-New'!S60</f>
        <v>5.2389787626131119E-2</v>
      </c>
      <c r="Z3" s="36">
        <f>'SC-New'!T60</f>
        <v>5.3132221547834139E-2</v>
      </c>
      <c r="AA3" s="36">
        <f>'SC-New'!U60</f>
        <v>5.1762730473495153E-2</v>
      </c>
      <c r="AB3" s="36">
        <f>'SC-New'!V60</f>
        <v>5.1672252515099361E-2</v>
      </c>
      <c r="AC3" s="36">
        <f>'SC-New'!W60</f>
        <v>5.153858909932655E-2</v>
      </c>
      <c r="AD3" s="36">
        <f>'SC-New'!X60</f>
        <v>5.2114102246805613E-2</v>
      </c>
      <c r="AE3" s="36">
        <f>'SC-New'!Y60</f>
        <v>0.62328793098382307</v>
      </c>
      <c r="AF3" s="548">
        <f t="shared" ref="AF3:AF26" si="2">VLOOKUP($J3,MeasureOutput,15,FALSE)</f>
        <v>1.248841487453902</v>
      </c>
      <c r="AG3" s="548">
        <f t="shared" ref="AG3:AG26" si="3">VLOOKUP($J3,MeasureOutput,16,FALSE)</f>
        <v>1.1074997156117752</v>
      </c>
      <c r="AH3" s="548">
        <f t="shared" ref="AH3:AH26" si="4">VLOOKUP($J3,MeasureOutput,17,FALSE)</f>
        <v>1.9676886869005692</v>
      </c>
      <c r="AI3" s="548">
        <f t="shared" ref="AI3:AI26" si="5">VLOOKUP($J3,MeasureOutput,18,FALSE)</f>
        <v>2.4817313406299237</v>
      </c>
      <c r="AJ3" s="548">
        <f t="shared" ref="AJ3:AJ26" si="6">VLOOKUP($J3,MeasureOutput,19,FALSE)</f>
        <v>2.6413879760918486</v>
      </c>
      <c r="AK3" s="548">
        <f t="shared" ref="AK3:AK26" si="7">VLOOKUP($J3,MeasureOutput,20,FALSE)</f>
        <v>2.3143741725899498</v>
      </c>
      <c r="AL3" s="548">
        <f t="shared" ref="AL3:AL26" si="8">VLOOKUP($J3,MeasureOutput,21,FALSE)</f>
        <v>2.3248331479556512</v>
      </c>
      <c r="AM3" s="548">
        <f t="shared" ref="AM3:AM26" si="9">VLOOKUP($J3,MeasureOutput,22,FALSE)</f>
        <v>2.317097978671983</v>
      </c>
      <c r="AN3" s="548">
        <f t="shared" ref="AN3:AN26" si="10">VLOOKUP($J3,MeasureOutput,23,FALSE)</f>
        <v>2.1434373846780539</v>
      </c>
      <c r="AO3" s="548">
        <f t="shared" ref="AO3:AO26" si="11">VLOOKUP($J3,MeasureOutput,24,FALSE)</f>
        <v>2.2774562081790668</v>
      </c>
      <c r="AP3" s="548">
        <f t="shared" ref="AP3:AP26" si="12">VLOOKUP($J3,MeasureOutput,25,FALSE)</f>
        <v>2.2740270856434055</v>
      </c>
      <c r="AQ3" s="548">
        <f t="shared" ref="AQ3:AQ26" si="13">VLOOKUP($J3,MeasureOutput,26,FALSE)</f>
        <v>2.534534862760097</v>
      </c>
      <c r="AR3" s="548"/>
      <c r="AS3" s="548">
        <f t="shared" ref="AS3:AS26" si="14">VLOOKUP($J3,MeasureOutput,28,FALSE)</f>
        <v>0.95293642818706803</v>
      </c>
      <c r="AT3" s="548">
        <f t="shared" ref="AT3:AT26" si="15">VLOOKUP($J3,MeasureOutput,29,FALSE)</f>
        <v>0.79875601435294175</v>
      </c>
      <c r="AU3" s="548">
        <f t="shared" ref="AU3:AU26" si="16">VLOOKUP($J3,MeasureOutput,30,FALSE)</f>
        <v>1.1350121859184539</v>
      </c>
      <c r="AV3" s="548">
        <f t="shared" ref="AV3:AV26" si="17">VLOOKUP($J3,MeasureOutput,31,FALSE)</f>
        <v>1.7321388062956955</v>
      </c>
      <c r="AW3" s="548">
        <f t="shared" ref="AW3:AW26" si="18">VLOOKUP($J3,MeasureOutput,32,FALSE)</f>
        <v>1.8805046877615126</v>
      </c>
      <c r="AX3" s="548">
        <f t="shared" ref="AX3:AX26" si="19">VLOOKUP($J3,MeasureOutput,33,FALSE)</f>
        <v>1.5086785618672223</v>
      </c>
      <c r="AY3" s="548">
        <f t="shared" ref="AY3:AY26" si="20">VLOOKUP($J3,MeasureOutput,34,FALSE)</f>
        <v>1.7745882538779192</v>
      </c>
      <c r="AZ3" s="548">
        <f t="shared" ref="AZ3:AZ26" si="21">VLOOKUP($J3,MeasureOutput,35,FALSE)</f>
        <v>1.2596947191295036</v>
      </c>
      <c r="BA3" s="548">
        <f t="shared" ref="BA3:BA26" si="22">VLOOKUP($J3,MeasureOutput,36,FALSE)</f>
        <v>1.5212356878531683</v>
      </c>
      <c r="BB3" s="548">
        <f t="shared" ref="BB3:BB26" si="23">VLOOKUP($J3,MeasureOutput,37,FALSE)</f>
        <v>1.3048665072087162</v>
      </c>
      <c r="BC3" s="548">
        <f t="shared" ref="BC3:BC26" si="24">VLOOKUP($J3,MeasureOutput,38,FALSE)</f>
        <v>1.6401365576097882</v>
      </c>
      <c r="BD3" s="548">
        <f t="shared" ref="BD3:BD26" si="25">VLOOKUP($J3,MeasureOutput,39,FALSE)</f>
        <v>1.7686746202030288</v>
      </c>
    </row>
    <row r="4" spans="1:56" ht="15">
      <c r="A4" s="546" t="str">
        <f>VLOOKUP(CONCATENATE($C4," - ",$B4),[2]ACHIEV!$B$12:$C$100,2,FALSE)</f>
        <v>LO3Slow</v>
      </c>
      <c r="B4" s="546" t="str">
        <f>'SC-New'!$C$7</f>
        <v>New</v>
      </c>
      <c r="C4" s="546" t="str">
        <f>'SC-New'!$C$8</f>
        <v>Advanced Power Strips</v>
      </c>
      <c r="D4" s="546" t="s">
        <v>1132</v>
      </c>
      <c r="E4" s="546" t="str">
        <f>'SC-New'!$A$9</f>
        <v>Electronics</v>
      </c>
      <c r="F4" s="547">
        <f t="shared" si="1"/>
        <v>6.7339705814560636E-3</v>
      </c>
      <c r="G4" s="64">
        <f>'SC-New'!A61</f>
        <v>42.910133077431247</v>
      </c>
      <c r="H4" s="64">
        <f>'SC-New'!B61</f>
        <v>-8.9100081856585778</v>
      </c>
      <c r="I4" s="9" t="str">
        <f>'SC-New'!C61</f>
        <v>Multifamily - Low Rise</v>
      </c>
      <c r="J4" s="9" t="str">
        <f>'SC-New'!D61</f>
        <v>Occupancy sensing advanced power strip</v>
      </c>
      <c r="K4" s="36">
        <f>'SC-New'!E61</f>
        <v>5.8086070411624162E-5</v>
      </c>
      <c r="L4" s="36">
        <f>'SC-New'!F61</f>
        <v>1.4628498843275212E-4</v>
      </c>
      <c r="M4" s="36">
        <f>'SC-New'!G61</f>
        <v>3.1906505740246635E-4</v>
      </c>
      <c r="N4" s="36">
        <f>'SC-New'!H61</f>
        <v>6.003195202221119E-4</v>
      </c>
      <c r="O4" s="36">
        <f>'SC-New'!I61</f>
        <v>9.8768808058250813E-4</v>
      </c>
      <c r="P4" s="36">
        <f>'SC-New'!J61</f>
        <v>1.5153607998266666E-3</v>
      </c>
      <c r="Q4" s="36">
        <f>'SC-New'!K61</f>
        <v>2.2024046709669736E-3</v>
      </c>
      <c r="R4" s="36">
        <f>'SC-New'!L61</f>
        <v>3.0640217959250794E-3</v>
      </c>
      <c r="S4" s="36">
        <f>'SC-New'!M61</f>
        <v>4.0288995446925149E-3</v>
      </c>
      <c r="T4" s="36">
        <f>'SC-New'!N61</f>
        <v>5.0352812293322216E-3</v>
      </c>
      <c r="U4" s="36">
        <f>'SC-New'!O61</f>
        <v>5.8771464771875071E-3</v>
      </c>
      <c r="V4" s="36">
        <f>'SC-New'!P61</f>
        <v>6.5757075504432137E-3</v>
      </c>
      <c r="W4" s="36">
        <f>'SC-New'!Q61</f>
        <v>7.1379696468743953E-3</v>
      </c>
      <c r="X4" s="36">
        <f>'SC-New'!R61</f>
        <v>7.4602823031580607E-3</v>
      </c>
      <c r="Y4" s="36">
        <f>'SC-New'!S61</f>
        <v>7.6358437887897191E-3</v>
      </c>
      <c r="Z4" s="36">
        <f>'SC-New'!T61</f>
        <v>7.6181024239943707E-3</v>
      </c>
      <c r="AA4" s="36">
        <f>'SC-New'!U61</f>
        <v>7.5448024779864202E-3</v>
      </c>
      <c r="AB4" s="36">
        <f>'SC-New'!V61</f>
        <v>7.4488771976485334E-3</v>
      </c>
      <c r="AC4" s="36">
        <f>'SC-New'!W61</f>
        <v>7.2681028841496643E-3</v>
      </c>
      <c r="AD4" s="36">
        <f>'SC-New'!X61</f>
        <v>7.2720910477585892E-3</v>
      </c>
      <c r="AE4" s="36">
        <f>'SC-New'!Y61</f>
        <v>8.979633755578538E-2</v>
      </c>
      <c r="AF4" s="548">
        <f t="shared" si="2"/>
        <v>1.248841487453902</v>
      </c>
      <c r="AG4" s="548">
        <f t="shared" si="3"/>
        <v>1.1074997156117752</v>
      </c>
      <c r="AH4" s="548">
        <f t="shared" si="4"/>
        <v>1.9676886869005692</v>
      </c>
      <c r="AI4" s="548">
        <f t="shared" si="5"/>
        <v>2.4817313406299237</v>
      </c>
      <c r="AJ4" s="548">
        <f t="shared" si="6"/>
        <v>2.6413879760918486</v>
      </c>
      <c r="AK4" s="548">
        <f t="shared" si="7"/>
        <v>2.3143741725899498</v>
      </c>
      <c r="AL4" s="548">
        <f t="shared" si="8"/>
        <v>2.3248331479556512</v>
      </c>
      <c r="AM4" s="548">
        <f t="shared" si="9"/>
        <v>2.317097978671983</v>
      </c>
      <c r="AN4" s="548">
        <f t="shared" si="10"/>
        <v>2.1434373846780539</v>
      </c>
      <c r="AO4" s="548">
        <f t="shared" si="11"/>
        <v>2.2774562081790668</v>
      </c>
      <c r="AP4" s="548">
        <f t="shared" si="12"/>
        <v>2.2740270856434055</v>
      </c>
      <c r="AQ4" s="548">
        <f t="shared" si="13"/>
        <v>2.534534862760097</v>
      </c>
      <c r="AR4" s="548"/>
      <c r="AS4" s="548">
        <f t="shared" si="14"/>
        <v>0.95293642818706803</v>
      </c>
      <c r="AT4" s="548">
        <f t="shared" si="15"/>
        <v>0.79875601435294175</v>
      </c>
      <c r="AU4" s="548">
        <f t="shared" si="16"/>
        <v>1.1350121859184539</v>
      </c>
      <c r="AV4" s="548">
        <f t="shared" si="17"/>
        <v>1.7321388062956955</v>
      </c>
      <c r="AW4" s="548">
        <f t="shared" si="18"/>
        <v>1.8805046877615126</v>
      </c>
      <c r="AX4" s="548">
        <f t="shared" si="19"/>
        <v>1.5086785618672223</v>
      </c>
      <c r="AY4" s="548">
        <f t="shared" si="20"/>
        <v>1.7745882538779192</v>
      </c>
      <c r="AZ4" s="548">
        <f t="shared" si="21"/>
        <v>1.2596947191295036</v>
      </c>
      <c r="BA4" s="548">
        <f t="shared" si="22"/>
        <v>1.5212356878531683</v>
      </c>
      <c r="BB4" s="548">
        <f t="shared" si="23"/>
        <v>1.3048665072087162</v>
      </c>
      <c r="BC4" s="548">
        <f t="shared" si="24"/>
        <v>1.6401365576097882</v>
      </c>
      <c r="BD4" s="548">
        <f t="shared" si="25"/>
        <v>1.7686746202030288</v>
      </c>
    </row>
    <row r="5" spans="1:56" ht="15">
      <c r="A5" s="546" t="str">
        <f>VLOOKUP(CONCATENATE($C5," - ",$B5),[2]ACHIEV!$B$12:$C$100,2,FALSE)</f>
        <v>LO3Slow</v>
      </c>
      <c r="B5" s="546" t="str">
        <f>'SC-New'!$C$7</f>
        <v>New</v>
      </c>
      <c r="C5" s="546" t="str">
        <f>'SC-New'!$C$8</f>
        <v>Advanced Power Strips</v>
      </c>
      <c r="D5" s="546" t="s">
        <v>1132</v>
      </c>
      <c r="E5" s="546" t="str">
        <f>'SC-New'!$A$9</f>
        <v>Electronics</v>
      </c>
      <c r="F5" s="547">
        <f t="shared" si="1"/>
        <v>6.7339705814560636E-3</v>
      </c>
      <c r="G5" s="64">
        <f>'SC-New'!A62</f>
        <v>42.910133077431247</v>
      </c>
      <c r="H5" s="64">
        <f>'SC-New'!B62</f>
        <v>-8.9100081856585778</v>
      </c>
      <c r="I5" s="9" t="str">
        <f>'SC-New'!C62</f>
        <v>Multifamily - High Rise</v>
      </c>
      <c r="J5" s="9" t="str">
        <f>'SC-New'!D62</f>
        <v>Occupancy sensing advanced power strip</v>
      </c>
      <c r="K5" s="36">
        <f>'SC-New'!E62</f>
        <v>1.3039825832105316E-5</v>
      </c>
      <c r="L5" s="36">
        <f>'SC-New'!F62</f>
        <v>3.330201845954213E-5</v>
      </c>
      <c r="M5" s="36">
        <f>'SC-New'!G62</f>
        <v>7.372892093959914E-5</v>
      </c>
      <c r="N5" s="36">
        <f>'SC-New'!H62</f>
        <v>1.3552180363037643E-4</v>
      </c>
      <c r="O5" s="36">
        <f>'SC-New'!I62</f>
        <v>2.1865128942391828E-4</v>
      </c>
      <c r="P5" s="36">
        <f>'SC-New'!J62</f>
        <v>3.4048993151061254E-4</v>
      </c>
      <c r="Q5" s="36">
        <f>'SC-New'!K62</f>
        <v>4.9631605328356214E-4</v>
      </c>
      <c r="R5" s="36">
        <f>'SC-New'!L62</f>
        <v>6.9906620313556829E-4</v>
      </c>
      <c r="S5" s="36">
        <f>'SC-New'!M62</f>
        <v>9.127437779590644E-4</v>
      </c>
      <c r="T5" s="36">
        <f>'SC-New'!N62</f>
        <v>1.140619346109922E-3</v>
      </c>
      <c r="U5" s="36">
        <f>'SC-New'!O62</f>
        <v>1.3152969938097477E-3</v>
      </c>
      <c r="V5" s="36">
        <f>'SC-New'!P62</f>
        <v>1.4687869083107468E-3</v>
      </c>
      <c r="W5" s="36">
        <f>'SC-New'!Q62</f>
        <v>1.5806232021622877E-3</v>
      </c>
      <c r="X5" s="36">
        <f>'SC-New'!R62</f>
        <v>1.6649381644362595E-3</v>
      </c>
      <c r="Y5" s="36">
        <f>'SC-New'!S62</f>
        <v>1.7122369431236198E-3</v>
      </c>
      <c r="Z5" s="36">
        <f>'SC-New'!T62</f>
        <v>1.7070488551780075E-3</v>
      </c>
      <c r="AA5" s="36">
        <f>'SC-New'!U62</f>
        <v>1.6926524056718791E-3</v>
      </c>
      <c r="AB5" s="36">
        <f>'SC-New'!V62</f>
        <v>1.6536063631126499E-3</v>
      </c>
      <c r="AC5" s="36">
        <f>'SC-New'!W62</f>
        <v>1.638871856109327E-3</v>
      </c>
      <c r="AD5" s="36">
        <f>'SC-New'!X62</f>
        <v>1.638499414606925E-3</v>
      </c>
      <c r="AE5" s="36">
        <f>'SC-New'!Y62</f>
        <v>2.0136040276805718E-2</v>
      </c>
      <c r="AF5" s="548">
        <f t="shared" si="2"/>
        <v>1.248841487453902</v>
      </c>
      <c r="AG5" s="548">
        <f t="shared" si="3"/>
        <v>1.1074997156117752</v>
      </c>
      <c r="AH5" s="548">
        <f t="shared" si="4"/>
        <v>1.9676886869005692</v>
      </c>
      <c r="AI5" s="548">
        <f t="shared" si="5"/>
        <v>2.4817313406299237</v>
      </c>
      <c r="AJ5" s="548">
        <f t="shared" si="6"/>
        <v>2.6413879760918486</v>
      </c>
      <c r="AK5" s="548">
        <f t="shared" si="7"/>
        <v>2.3143741725899498</v>
      </c>
      <c r="AL5" s="548">
        <f t="shared" si="8"/>
        <v>2.3248331479556512</v>
      </c>
      <c r="AM5" s="548">
        <f t="shared" si="9"/>
        <v>2.317097978671983</v>
      </c>
      <c r="AN5" s="548">
        <f t="shared" si="10"/>
        <v>2.1434373846780539</v>
      </c>
      <c r="AO5" s="548">
        <f t="shared" si="11"/>
        <v>2.2774562081790668</v>
      </c>
      <c r="AP5" s="548">
        <f t="shared" si="12"/>
        <v>2.2740270856434055</v>
      </c>
      <c r="AQ5" s="548">
        <f t="shared" si="13"/>
        <v>2.534534862760097</v>
      </c>
      <c r="AR5" s="548"/>
      <c r="AS5" s="548">
        <f t="shared" si="14"/>
        <v>0.95293642818706803</v>
      </c>
      <c r="AT5" s="548">
        <f t="shared" si="15"/>
        <v>0.79875601435294175</v>
      </c>
      <c r="AU5" s="548">
        <f t="shared" si="16"/>
        <v>1.1350121859184539</v>
      </c>
      <c r="AV5" s="548">
        <f t="shared" si="17"/>
        <v>1.7321388062956955</v>
      </c>
      <c r="AW5" s="548">
        <f t="shared" si="18"/>
        <v>1.8805046877615126</v>
      </c>
      <c r="AX5" s="548">
        <f t="shared" si="19"/>
        <v>1.5086785618672223</v>
      </c>
      <c r="AY5" s="548">
        <f t="shared" si="20"/>
        <v>1.7745882538779192</v>
      </c>
      <c r="AZ5" s="548">
        <f t="shared" si="21"/>
        <v>1.2596947191295036</v>
      </c>
      <c r="BA5" s="548">
        <f t="shared" si="22"/>
        <v>1.5212356878531683</v>
      </c>
      <c r="BB5" s="548">
        <f t="shared" si="23"/>
        <v>1.3048665072087162</v>
      </c>
      <c r="BC5" s="548">
        <f t="shared" si="24"/>
        <v>1.6401365576097882</v>
      </c>
      <c r="BD5" s="548">
        <f t="shared" si="25"/>
        <v>1.7686746202030288</v>
      </c>
    </row>
    <row r="6" spans="1:56" ht="15">
      <c r="A6" s="546" t="str">
        <f>VLOOKUP(CONCATENATE($C6," - ",$B6),[2]ACHIEV!$B$12:$C$100,2,FALSE)</f>
        <v>LO3Slow</v>
      </c>
      <c r="B6" s="546" t="str">
        <f>'SC-New'!$C$7</f>
        <v>New</v>
      </c>
      <c r="C6" s="546" t="str">
        <f>'SC-New'!$C$8</f>
        <v>Advanced Power Strips</v>
      </c>
      <c r="D6" s="546" t="s">
        <v>1132</v>
      </c>
      <c r="E6" s="546" t="str">
        <f>'SC-New'!$A$9</f>
        <v>Electronics</v>
      </c>
      <c r="F6" s="547">
        <f t="shared" si="1"/>
        <v>6.7339705814560636E-3</v>
      </c>
      <c r="G6" s="64">
        <f>'SC-New'!A63</f>
        <v>42.910133077431247</v>
      </c>
      <c r="H6" s="64">
        <f>'SC-New'!B63</f>
        <v>-8.9100081856585778</v>
      </c>
      <c r="I6" s="9" t="str">
        <f>'SC-New'!C63</f>
        <v>Manufactured</v>
      </c>
      <c r="J6" s="9" t="str">
        <f>'SC-New'!D63</f>
        <v>Occupancy sensing advanced power strip</v>
      </c>
      <c r="K6" s="36">
        <f>'SC-New'!E63</f>
        <v>7.419756380142079E-6</v>
      </c>
      <c r="L6" s="36">
        <f>'SC-New'!F63</f>
        <v>1.9023038231390842E-5</v>
      </c>
      <c r="M6" s="36">
        <f>'SC-New'!G63</f>
        <v>4.3363981580810832E-5</v>
      </c>
      <c r="N6" s="36">
        <f>'SC-New'!H63</f>
        <v>8.7385557928182337E-5</v>
      </c>
      <c r="O6" s="36">
        <f>'SC-New'!I63</f>
        <v>1.4787494829398586E-4</v>
      </c>
      <c r="P6" s="36">
        <f>'SC-New'!J63</f>
        <v>2.3161335720689967E-4</v>
      </c>
      <c r="Q6" s="36">
        <f>'SC-New'!K63</f>
        <v>3.4083699060919863E-4</v>
      </c>
      <c r="R6" s="36">
        <f>'SC-New'!L63</f>
        <v>4.6814503573368614E-4</v>
      </c>
      <c r="S6" s="36">
        <f>'SC-New'!M63</f>
        <v>6.0424554355174528E-4</v>
      </c>
      <c r="T6" s="36">
        <f>'SC-New'!N63</f>
        <v>7.3566259437360436E-4</v>
      </c>
      <c r="U6" s="36">
        <f>'SC-New'!O63</f>
        <v>8.5047506877108285E-4</v>
      </c>
      <c r="V6" s="36">
        <f>'SC-New'!P63</f>
        <v>9.5030125092370257E-4</v>
      </c>
      <c r="W6" s="36">
        <f>'SC-New'!Q63</f>
        <v>1.0313742830818271E-3</v>
      </c>
      <c r="X6" s="36">
        <f>'SC-New'!R63</f>
        <v>1.0910201465484199E-3</v>
      </c>
      <c r="Y6" s="36">
        <f>'SC-New'!S63</f>
        <v>1.1307280658028767E-3</v>
      </c>
      <c r="Z6" s="36">
        <f>'SC-New'!T63</f>
        <v>1.1510977757348169E-3</v>
      </c>
      <c r="AA6" s="36">
        <f>'SC-New'!U63</f>
        <v>1.1590063872586489E-3</v>
      </c>
      <c r="AB6" s="36">
        <f>'SC-New'!V63</f>
        <v>1.1590913668986932E-3</v>
      </c>
      <c r="AC6" s="36">
        <f>'SC-New'!W63</f>
        <v>1.1535147931622755E-3</v>
      </c>
      <c r="AD6" s="36">
        <f>'SC-New'!X63</f>
        <v>1.1586672999403013E-3</v>
      </c>
      <c r="AE6" s="36">
        <f>'SC-New'!Y63</f>
        <v>1.3520847242012291E-2</v>
      </c>
      <c r="AF6" s="548">
        <f t="shared" si="2"/>
        <v>1.248841487453902</v>
      </c>
      <c r="AG6" s="548">
        <f t="shared" si="3"/>
        <v>1.1074997156117752</v>
      </c>
      <c r="AH6" s="548">
        <f t="shared" si="4"/>
        <v>1.9676886869005692</v>
      </c>
      <c r="AI6" s="548">
        <f t="shared" si="5"/>
        <v>2.4817313406299237</v>
      </c>
      <c r="AJ6" s="548">
        <f t="shared" si="6"/>
        <v>2.6413879760918486</v>
      </c>
      <c r="AK6" s="548">
        <f t="shared" si="7"/>
        <v>2.3143741725899498</v>
      </c>
      <c r="AL6" s="548">
        <f t="shared" si="8"/>
        <v>2.3248331479556512</v>
      </c>
      <c r="AM6" s="548">
        <f t="shared" si="9"/>
        <v>2.317097978671983</v>
      </c>
      <c r="AN6" s="548">
        <f t="shared" si="10"/>
        <v>2.1434373846780539</v>
      </c>
      <c r="AO6" s="548">
        <f t="shared" si="11"/>
        <v>2.2774562081790668</v>
      </c>
      <c r="AP6" s="548">
        <f t="shared" si="12"/>
        <v>2.2740270856434055</v>
      </c>
      <c r="AQ6" s="548">
        <f t="shared" si="13"/>
        <v>2.534534862760097</v>
      </c>
      <c r="AR6" s="548"/>
      <c r="AS6" s="548">
        <f t="shared" si="14"/>
        <v>0.95293642818706803</v>
      </c>
      <c r="AT6" s="548">
        <f t="shared" si="15"/>
        <v>0.79875601435294175</v>
      </c>
      <c r="AU6" s="548">
        <f t="shared" si="16"/>
        <v>1.1350121859184539</v>
      </c>
      <c r="AV6" s="548">
        <f t="shared" si="17"/>
        <v>1.7321388062956955</v>
      </c>
      <c r="AW6" s="548">
        <f t="shared" si="18"/>
        <v>1.8805046877615126</v>
      </c>
      <c r="AX6" s="548">
        <f t="shared" si="19"/>
        <v>1.5086785618672223</v>
      </c>
      <c r="AY6" s="548">
        <f t="shared" si="20"/>
        <v>1.7745882538779192</v>
      </c>
      <c r="AZ6" s="548">
        <f t="shared" si="21"/>
        <v>1.2596947191295036</v>
      </c>
      <c r="BA6" s="548">
        <f t="shared" si="22"/>
        <v>1.5212356878531683</v>
      </c>
      <c r="BB6" s="548">
        <f t="shared" si="23"/>
        <v>1.3048665072087162</v>
      </c>
      <c r="BC6" s="548">
        <f t="shared" si="24"/>
        <v>1.6401365576097882</v>
      </c>
      <c r="BD6" s="548">
        <f t="shared" si="25"/>
        <v>1.7686746202030288</v>
      </c>
    </row>
    <row r="7" spans="1:56" ht="15">
      <c r="A7" s="546" t="str">
        <f>VLOOKUP(CONCATENATE($C7," - ",$B7),[2]ACHIEV!$B$12:$C$100,2,FALSE)</f>
        <v>LO3Slow</v>
      </c>
      <c r="B7" s="546" t="str">
        <f>'SC-New'!$C$7</f>
        <v>New</v>
      </c>
      <c r="C7" s="546" t="str">
        <f>'SC-New'!$C$8</f>
        <v>Advanced Power Strips</v>
      </c>
      <c r="D7" s="546" t="s">
        <v>1132</v>
      </c>
      <c r="E7" s="546" t="str">
        <f>'SC-New'!$A$9</f>
        <v>Electronics</v>
      </c>
      <c r="F7" s="547">
        <f t="shared" si="1"/>
        <v>5.7649420572911621E-2</v>
      </c>
      <c r="G7" s="64">
        <f>'SC-New'!A64</f>
        <v>268.66551402974153</v>
      </c>
      <c r="H7" s="64">
        <f>'SC-New'!B64</f>
        <v>46.658919133400126</v>
      </c>
      <c r="I7" s="9" t="str">
        <f>'SC-New'!C64</f>
        <v>Single Family</v>
      </c>
      <c r="J7" s="9" t="str">
        <f>'SC-New'!D64</f>
        <v>Infrared sensing advanced power strip</v>
      </c>
      <c r="K7" s="36">
        <f>'SC-New'!E64</f>
        <v>1.0558859595914885E-2</v>
      </c>
      <c r="L7" s="36">
        <f>'SC-New'!F64</f>
        <v>2.763243244791402E-2</v>
      </c>
      <c r="M7" s="36">
        <f>'SC-New'!G64</f>
        <v>6.0841386274938153E-2</v>
      </c>
      <c r="N7" s="36">
        <f>'SC-New'!H64</f>
        <v>0.11925642355888712</v>
      </c>
      <c r="O7" s="36">
        <f>'SC-New'!I64</f>
        <v>0.23535881206555048</v>
      </c>
      <c r="P7" s="36">
        <f>'SC-New'!J64</f>
        <v>0.3617788710788124</v>
      </c>
      <c r="Q7" s="36">
        <f>'SC-New'!K64</f>
        <v>0.52292386230754495</v>
      </c>
      <c r="R7" s="36">
        <f>'SC-New'!L64</f>
        <v>0.72074743189042911</v>
      </c>
      <c r="S7" s="36">
        <f>'SC-New'!M64</f>
        <v>0.92850276769511542</v>
      </c>
      <c r="T7" s="36">
        <f>'SC-New'!N64</f>
        <v>1.1657772962623187</v>
      </c>
      <c r="U7" s="36">
        <f>'SC-New'!O64</f>
        <v>1.3833221294169971</v>
      </c>
      <c r="V7" s="36">
        <f>'SC-New'!P64</f>
        <v>1.548570032874403</v>
      </c>
      <c r="W7" s="36">
        <f>'SC-New'!Q64</f>
        <v>1.6562807169722435</v>
      </c>
      <c r="X7" s="36">
        <f>'SC-New'!R64</f>
        <v>1.7759874374282965</v>
      </c>
      <c r="Y7" s="36">
        <f>'SC-New'!S64</f>
        <v>1.8871104020073157</v>
      </c>
      <c r="Z7" s="36">
        <f>'SC-New'!T64</f>
        <v>1.9417474178233387</v>
      </c>
      <c r="AA7" s="36">
        <f>'SC-New'!U64</f>
        <v>1.9195413642918207</v>
      </c>
      <c r="AB7" s="36">
        <f>'SC-New'!V64</f>
        <v>1.9445256255448655</v>
      </c>
      <c r="AC7" s="36">
        <f>'SC-New'!W64</f>
        <v>1.9684099310052725</v>
      </c>
      <c r="AD7" s="36">
        <f>'SC-New'!X64</f>
        <v>1.9947294315221995</v>
      </c>
      <c r="AE7" s="36">
        <f>'SC-New'!Y64</f>
        <v>22.173602632064178</v>
      </c>
      <c r="AF7" s="548">
        <f t="shared" si="2"/>
        <v>17.831318380953835</v>
      </c>
      <c r="AG7" s="548">
        <f t="shared" si="3"/>
        <v>14.992781313023245</v>
      </c>
      <c r="AH7" s="548">
        <f t="shared" si="4"/>
        <v>17.616631632279553</v>
      </c>
      <c r="AI7" s="548">
        <f t="shared" si="5"/>
        <v>12.956035877768267</v>
      </c>
      <c r="AJ7" s="548">
        <f t="shared" si="6"/>
        <v>13.829550633491598</v>
      </c>
      <c r="AK7" s="548">
        <f t="shared" si="7"/>
        <v>14.683416912373106</v>
      </c>
      <c r="AL7" s="548">
        <f t="shared" si="8"/>
        <v>13.14410859909767</v>
      </c>
      <c r="AM7" s="548">
        <f t="shared" si="9"/>
        <v>15.656132376931934</v>
      </c>
      <c r="AN7" s="548">
        <f t="shared" si="10"/>
        <v>13.354466994339782</v>
      </c>
      <c r="AO7" s="548">
        <f t="shared" si="11"/>
        <v>16.218575944482986</v>
      </c>
      <c r="AP7" s="548">
        <f t="shared" si="12"/>
        <v>14.8573999262311</v>
      </c>
      <c r="AQ7" s="548">
        <f t="shared" si="13"/>
        <v>15.627978305676624</v>
      </c>
      <c r="AR7" s="548"/>
      <c r="AS7" s="548">
        <f t="shared" si="14"/>
        <v>9.1131544498705921</v>
      </c>
      <c r="AT7" s="548">
        <f t="shared" si="15"/>
        <v>7.4889716255511036</v>
      </c>
      <c r="AU7" s="548">
        <f t="shared" si="16"/>
        <v>7.1806362404258843</v>
      </c>
      <c r="AV7" s="548">
        <f t="shared" si="17"/>
        <v>6.9973436727584879</v>
      </c>
      <c r="AW7" s="548">
        <f t="shared" si="18"/>
        <v>7.5976700872860086</v>
      </c>
      <c r="AX7" s="548">
        <f t="shared" si="19"/>
        <v>6.7891720968089286</v>
      </c>
      <c r="AY7" s="548">
        <f t="shared" si="20"/>
        <v>7.9022041122260784</v>
      </c>
      <c r="AZ7" s="548">
        <f t="shared" si="21"/>
        <v>6.1687103867513944</v>
      </c>
      <c r="BA7" s="548">
        <f t="shared" si="22"/>
        <v>6.6841732375273581</v>
      </c>
      <c r="BB7" s="548">
        <f t="shared" si="23"/>
        <v>6.0820848947009694</v>
      </c>
      <c r="BC7" s="548">
        <f t="shared" si="24"/>
        <v>7.6693586132916893</v>
      </c>
      <c r="BD7" s="548">
        <f t="shared" si="25"/>
        <v>8.2236377158933571</v>
      </c>
    </row>
    <row r="8" spans="1:56" ht="15">
      <c r="A8" s="546" t="str">
        <f>VLOOKUP(CONCATENATE($C8," - ",$B8),[2]ACHIEV!$B$12:$C$100,2,FALSE)</f>
        <v>LO3Slow</v>
      </c>
      <c r="B8" s="546" t="str">
        <f>'SC-New'!$C$7</f>
        <v>New</v>
      </c>
      <c r="C8" s="546" t="str">
        <f>'SC-New'!$C$8</f>
        <v>Advanced Power Strips</v>
      </c>
      <c r="D8" s="546" t="s">
        <v>1132</v>
      </c>
      <c r="E8" s="546" t="str">
        <f>'SC-New'!$A$9</f>
        <v>Electronics</v>
      </c>
      <c r="F8" s="547">
        <f t="shared" si="1"/>
        <v>5.7649420572911621E-2</v>
      </c>
      <c r="G8" s="64">
        <f>'SC-New'!A65</f>
        <v>268.66551402974153</v>
      </c>
      <c r="H8" s="64">
        <f>'SC-New'!B65</f>
        <v>46.658919133400126</v>
      </c>
      <c r="I8" s="9" t="str">
        <f>'SC-New'!C65</f>
        <v>Multifamily - Low Rise</v>
      </c>
      <c r="J8" s="9" t="str">
        <f>'SC-New'!D65</f>
        <v>Infrared sensing advanced power strip</v>
      </c>
      <c r="K8" s="36">
        <f>'SC-New'!E65</f>
        <v>1.6760673203878793E-3</v>
      </c>
      <c r="L8" s="36">
        <f>'SC-New'!F65</f>
        <v>4.5337240273664921E-3</v>
      </c>
      <c r="M8" s="36">
        <f>'SC-New'!G65</f>
        <v>1.0437598264610526E-2</v>
      </c>
      <c r="N8" s="36">
        <f>'SC-New'!H65</f>
        <v>2.0474124108607154E-2</v>
      </c>
      <c r="O8" s="36">
        <f>'SC-New'!I65</f>
        <v>3.9138650905137642E-2</v>
      </c>
      <c r="P8" s="36">
        <f>'SC-New'!J65</f>
        <v>6.0874190970301077E-2</v>
      </c>
      <c r="Q8" s="36">
        <f>'SC-New'!K65</f>
        <v>8.9687897911288367E-2</v>
      </c>
      <c r="R8" s="36">
        <f>'SC-New'!L65</f>
        <v>0.12652075241166241</v>
      </c>
      <c r="S8" s="36">
        <f>'SC-New'!M65</f>
        <v>0.16869520688460937</v>
      </c>
      <c r="T8" s="36">
        <f>'SC-New'!N65</f>
        <v>0.2137623582294384</v>
      </c>
      <c r="U8" s="36">
        <f>'SC-New'!O65</f>
        <v>0.25294492651737388</v>
      </c>
      <c r="V8" s="36">
        <f>'SC-New'!P65</f>
        <v>0.28692246151831702</v>
      </c>
      <c r="W8" s="36">
        <f>'SC-New'!Q65</f>
        <v>0.31573452746403674</v>
      </c>
      <c r="X8" s="36">
        <f>'SC-New'!R65</f>
        <v>0.33452177227888008</v>
      </c>
      <c r="Y8" s="36">
        <f>'SC-New'!S65</f>
        <v>0.34711786672792055</v>
      </c>
      <c r="Z8" s="36">
        <f>'SC-New'!T65</f>
        <v>0.35135879671454257</v>
      </c>
      <c r="AA8" s="36">
        <f>'SC-New'!U65</f>
        <v>0.35309977009538507</v>
      </c>
      <c r="AB8" s="36">
        <f>'SC-New'!V65</f>
        <v>0.35376621398525265</v>
      </c>
      <c r="AC8" s="36">
        <f>'SC-New'!W65</f>
        <v>0.35032679092492403</v>
      </c>
      <c r="AD8" s="36">
        <f>'SC-New'!X65</f>
        <v>0.35128313899621388</v>
      </c>
      <c r="AE8" s="36">
        <f>'SC-New'!Y65</f>
        <v>4.0328768362562553</v>
      </c>
      <c r="AF8" s="548">
        <f t="shared" si="2"/>
        <v>17.831318380953835</v>
      </c>
      <c r="AG8" s="548">
        <f t="shared" si="3"/>
        <v>14.992781313023245</v>
      </c>
      <c r="AH8" s="548">
        <f t="shared" si="4"/>
        <v>17.616631632279553</v>
      </c>
      <c r="AI8" s="548">
        <f t="shared" si="5"/>
        <v>12.956035877768267</v>
      </c>
      <c r="AJ8" s="548">
        <f t="shared" si="6"/>
        <v>13.829550633491598</v>
      </c>
      <c r="AK8" s="548">
        <f t="shared" si="7"/>
        <v>14.683416912373106</v>
      </c>
      <c r="AL8" s="548">
        <f t="shared" si="8"/>
        <v>13.14410859909767</v>
      </c>
      <c r="AM8" s="548">
        <f t="shared" si="9"/>
        <v>15.656132376931934</v>
      </c>
      <c r="AN8" s="548">
        <f t="shared" si="10"/>
        <v>13.354466994339782</v>
      </c>
      <c r="AO8" s="548">
        <f t="shared" si="11"/>
        <v>16.218575944482986</v>
      </c>
      <c r="AP8" s="548">
        <f t="shared" si="12"/>
        <v>14.8573999262311</v>
      </c>
      <c r="AQ8" s="548">
        <f t="shared" si="13"/>
        <v>15.627978305676624</v>
      </c>
      <c r="AR8" s="548"/>
      <c r="AS8" s="548">
        <f t="shared" si="14"/>
        <v>9.1131544498705921</v>
      </c>
      <c r="AT8" s="548">
        <f t="shared" si="15"/>
        <v>7.4889716255511036</v>
      </c>
      <c r="AU8" s="548">
        <f t="shared" si="16"/>
        <v>7.1806362404258843</v>
      </c>
      <c r="AV8" s="548">
        <f t="shared" si="17"/>
        <v>6.9973436727584879</v>
      </c>
      <c r="AW8" s="548">
        <f t="shared" si="18"/>
        <v>7.5976700872860086</v>
      </c>
      <c r="AX8" s="548">
        <f t="shared" si="19"/>
        <v>6.7891720968089286</v>
      </c>
      <c r="AY8" s="548">
        <f t="shared" si="20"/>
        <v>7.9022041122260784</v>
      </c>
      <c r="AZ8" s="548">
        <f t="shared" si="21"/>
        <v>6.1687103867513944</v>
      </c>
      <c r="BA8" s="548">
        <f t="shared" si="22"/>
        <v>6.6841732375273581</v>
      </c>
      <c r="BB8" s="548">
        <f t="shared" si="23"/>
        <v>6.0820848947009694</v>
      </c>
      <c r="BC8" s="548">
        <f t="shared" si="24"/>
        <v>7.6693586132916893</v>
      </c>
      <c r="BD8" s="548">
        <f t="shared" si="25"/>
        <v>8.2236377158933571</v>
      </c>
    </row>
    <row r="9" spans="1:56" ht="15">
      <c r="A9" s="546" t="str">
        <f>VLOOKUP(CONCATENATE($C9," - ",$B9),[2]ACHIEV!$B$12:$C$100,2,FALSE)</f>
        <v>LO3Slow</v>
      </c>
      <c r="B9" s="546" t="str">
        <f>'SC-New'!$C$7</f>
        <v>New</v>
      </c>
      <c r="C9" s="546" t="str">
        <f>'SC-New'!$C$8</f>
        <v>Advanced Power Strips</v>
      </c>
      <c r="D9" s="546" t="s">
        <v>1132</v>
      </c>
      <c r="E9" s="546" t="str">
        <f>'SC-New'!$A$9</f>
        <v>Electronics</v>
      </c>
      <c r="F9" s="547">
        <f t="shared" si="1"/>
        <v>5.7649420572911621E-2</v>
      </c>
      <c r="G9" s="64">
        <f>'SC-New'!A66</f>
        <v>268.66551402974153</v>
      </c>
      <c r="H9" s="64">
        <f>'SC-New'!B66</f>
        <v>46.658919133400126</v>
      </c>
      <c r="I9" s="9" t="str">
        <f>'SC-New'!C66</f>
        <v>Multifamily - High Rise</v>
      </c>
      <c r="J9" s="9" t="str">
        <f>'SC-New'!D66</f>
        <v>Infrared sensing advanced power strip</v>
      </c>
      <c r="K9" s="36">
        <f>'SC-New'!E66</f>
        <v>3.7626277325807301E-4</v>
      </c>
      <c r="L9" s="36">
        <f>'SC-New'!F66</f>
        <v>1.0321097391290824E-3</v>
      </c>
      <c r="M9" s="36">
        <f>'SC-New'!G66</f>
        <v>2.4118995151514149E-3</v>
      </c>
      <c r="N9" s="36">
        <f>'SC-New'!H66</f>
        <v>4.6220223289157878E-3</v>
      </c>
      <c r="O9" s="36">
        <f>'SC-New'!I66</f>
        <v>8.6643917801193619E-3</v>
      </c>
      <c r="P9" s="36">
        <f>'SC-New'!J66</f>
        <v>1.3677963107276241E-2</v>
      </c>
      <c r="Q9" s="36">
        <f>'SC-New'!K66</f>
        <v>2.0211337228542032E-2</v>
      </c>
      <c r="R9" s="36">
        <f>'SC-New'!L66</f>
        <v>2.8866107324661744E-2</v>
      </c>
      <c r="S9" s="36">
        <f>'SC-New'!M66</f>
        <v>3.821775617569928E-2</v>
      </c>
      <c r="T9" s="36">
        <f>'SC-New'!N66</f>
        <v>4.8422614380748789E-2</v>
      </c>
      <c r="U9" s="36">
        <f>'SC-New'!O66</f>
        <v>5.6608713554973517E-2</v>
      </c>
      <c r="V9" s="36">
        <f>'SC-New'!P66</f>
        <v>6.4088609772494101E-2</v>
      </c>
      <c r="W9" s="36">
        <f>'SC-New'!Q66</f>
        <v>6.9915864667753472E-2</v>
      </c>
      <c r="X9" s="36">
        <f>'SC-New'!R66</f>
        <v>7.4656432943052783E-2</v>
      </c>
      <c r="Y9" s="36">
        <f>'SC-New'!S66</f>
        <v>7.7836589048924321E-2</v>
      </c>
      <c r="Z9" s="36">
        <f>'SC-New'!T66</f>
        <v>7.8731762623611229E-2</v>
      </c>
      <c r="AA9" s="36">
        <f>'SC-New'!U66</f>
        <v>7.9216808794926902E-2</v>
      </c>
      <c r="AB9" s="36">
        <f>'SC-New'!V66</f>
        <v>7.8533992033719538E-2</v>
      </c>
      <c r="AC9" s="36">
        <f>'SC-New'!W66</f>
        <v>7.8994577710236435E-2</v>
      </c>
      <c r="AD9" s="36">
        <f>'SC-New'!X66</f>
        <v>7.9148791431040227E-2</v>
      </c>
      <c r="AE9" s="36">
        <f>'SC-New'!Y66</f>
        <v>0.90423460693423441</v>
      </c>
      <c r="AF9" s="548">
        <f t="shared" si="2"/>
        <v>17.831318380953835</v>
      </c>
      <c r="AG9" s="548">
        <f t="shared" si="3"/>
        <v>14.992781313023245</v>
      </c>
      <c r="AH9" s="548">
        <f t="shared" si="4"/>
        <v>17.616631632279553</v>
      </c>
      <c r="AI9" s="548">
        <f t="shared" si="5"/>
        <v>12.956035877768267</v>
      </c>
      <c r="AJ9" s="548">
        <f t="shared" si="6"/>
        <v>13.829550633491598</v>
      </c>
      <c r="AK9" s="548">
        <f t="shared" si="7"/>
        <v>14.683416912373106</v>
      </c>
      <c r="AL9" s="548">
        <f t="shared" si="8"/>
        <v>13.14410859909767</v>
      </c>
      <c r="AM9" s="548">
        <f t="shared" si="9"/>
        <v>15.656132376931934</v>
      </c>
      <c r="AN9" s="548">
        <f t="shared" si="10"/>
        <v>13.354466994339782</v>
      </c>
      <c r="AO9" s="548">
        <f t="shared" si="11"/>
        <v>16.218575944482986</v>
      </c>
      <c r="AP9" s="548">
        <f t="shared" si="12"/>
        <v>14.8573999262311</v>
      </c>
      <c r="AQ9" s="548">
        <f t="shared" si="13"/>
        <v>15.627978305676624</v>
      </c>
      <c r="AR9" s="548"/>
      <c r="AS9" s="548">
        <f t="shared" si="14"/>
        <v>9.1131544498705921</v>
      </c>
      <c r="AT9" s="548">
        <f t="shared" si="15"/>
        <v>7.4889716255511036</v>
      </c>
      <c r="AU9" s="548">
        <f t="shared" si="16"/>
        <v>7.1806362404258843</v>
      </c>
      <c r="AV9" s="548">
        <f t="shared" si="17"/>
        <v>6.9973436727584879</v>
      </c>
      <c r="AW9" s="548">
        <f t="shared" si="18"/>
        <v>7.5976700872860086</v>
      </c>
      <c r="AX9" s="548">
        <f t="shared" si="19"/>
        <v>6.7891720968089286</v>
      </c>
      <c r="AY9" s="548">
        <f t="shared" si="20"/>
        <v>7.9022041122260784</v>
      </c>
      <c r="AZ9" s="548">
        <f t="shared" si="21"/>
        <v>6.1687103867513944</v>
      </c>
      <c r="BA9" s="548">
        <f t="shared" si="22"/>
        <v>6.6841732375273581</v>
      </c>
      <c r="BB9" s="548">
        <f t="shared" si="23"/>
        <v>6.0820848947009694</v>
      </c>
      <c r="BC9" s="548">
        <f t="shared" si="24"/>
        <v>7.6693586132916893</v>
      </c>
      <c r="BD9" s="548">
        <f t="shared" si="25"/>
        <v>8.2236377158933571</v>
      </c>
    </row>
    <row r="10" spans="1:56" ht="15">
      <c r="A10" s="546" t="str">
        <f>VLOOKUP(CONCATENATE($C10," - ",$B10),[2]ACHIEV!$B$12:$C$100,2,FALSE)</f>
        <v>LO3Slow</v>
      </c>
      <c r="B10" s="546" t="str">
        <f>'SC-New'!$C$7</f>
        <v>New</v>
      </c>
      <c r="C10" s="546" t="str">
        <f>'SC-New'!$C$8</f>
        <v>Advanced Power Strips</v>
      </c>
      <c r="D10" s="546" t="s">
        <v>1132</v>
      </c>
      <c r="E10" s="546" t="str">
        <f>'SC-New'!$A$9</f>
        <v>Electronics</v>
      </c>
      <c r="F10" s="547">
        <f t="shared" si="1"/>
        <v>5.7649420572911621E-2</v>
      </c>
      <c r="G10" s="64">
        <f>'SC-New'!A67</f>
        <v>268.66551402974153</v>
      </c>
      <c r="H10" s="64">
        <f>'SC-New'!B67</f>
        <v>46.658919133400126</v>
      </c>
      <c r="I10" s="9" t="str">
        <f>'SC-New'!C67</f>
        <v>Manufactured</v>
      </c>
      <c r="J10" s="9" t="str">
        <f>'SC-New'!D67</f>
        <v>Infrared sensing advanced power strip</v>
      </c>
      <c r="K10" s="36">
        <f>'SC-New'!E67</f>
        <v>1.8178464281108821E-4</v>
      </c>
      <c r="L10" s="36">
        <f>'SC-New'!F67</f>
        <v>5.0059128381855242E-4</v>
      </c>
      <c r="M10" s="36">
        <f>'SC-New'!G67</f>
        <v>1.2044771557014864E-3</v>
      </c>
      <c r="N10" s="36">
        <f>'SC-New'!H67</f>
        <v>2.5305248910187685E-3</v>
      </c>
      <c r="O10" s="36">
        <f>'SC-New'!I67</f>
        <v>4.9754083250210289E-3</v>
      </c>
      <c r="P10" s="36">
        <f>'SC-New'!J67</f>
        <v>7.9000317993005147E-3</v>
      </c>
      <c r="Q10" s="36">
        <f>'SC-New'!K67</f>
        <v>1.1785052775081984E-2</v>
      </c>
      <c r="R10" s="36">
        <f>'SC-New'!L67</f>
        <v>1.6413395026680478E-2</v>
      </c>
      <c r="S10" s="36">
        <f>'SC-New'!M67</f>
        <v>2.1482154918350649E-2</v>
      </c>
      <c r="T10" s="36">
        <f>'SC-New'!N67</f>
        <v>2.6517602640274366E-2</v>
      </c>
      <c r="U10" s="36">
        <f>'SC-New'!O67</f>
        <v>3.1079149740957317E-2</v>
      </c>
      <c r="V10" s="36">
        <f>'SC-New'!P67</f>
        <v>3.5207196384401736E-2</v>
      </c>
      <c r="W10" s="36">
        <f>'SC-New'!Q67</f>
        <v>3.8735731560145842E-2</v>
      </c>
      <c r="X10" s="36">
        <f>'SC-New'!R67</f>
        <v>4.1538420767946942E-2</v>
      </c>
      <c r="Y10" s="36">
        <f>'SC-New'!S67</f>
        <v>4.3644164970601564E-2</v>
      </c>
      <c r="Z10" s="36">
        <f>'SC-New'!T67</f>
        <v>4.5077967107969012E-2</v>
      </c>
      <c r="AA10" s="36">
        <f>'SC-New'!U67</f>
        <v>4.6055709118960217E-2</v>
      </c>
      <c r="AB10" s="36">
        <f>'SC-New'!V67</f>
        <v>4.6740278332697158E-2</v>
      </c>
      <c r="AC10" s="36">
        <f>'SC-New'!W67</f>
        <v>4.7208862566275586E-2</v>
      </c>
      <c r="AD10" s="36">
        <f>'SC-New'!X67</f>
        <v>4.7523107541648617E-2</v>
      </c>
      <c r="AE10" s="36">
        <f>'SC-New'!Y67</f>
        <v>0.51630161154966292</v>
      </c>
      <c r="AF10" s="548">
        <f t="shared" si="2"/>
        <v>17.831318380953835</v>
      </c>
      <c r="AG10" s="548">
        <f t="shared" si="3"/>
        <v>14.992781313023245</v>
      </c>
      <c r="AH10" s="548">
        <f t="shared" si="4"/>
        <v>17.616631632279553</v>
      </c>
      <c r="AI10" s="548">
        <f t="shared" si="5"/>
        <v>12.956035877768267</v>
      </c>
      <c r="AJ10" s="548">
        <f t="shared" si="6"/>
        <v>13.829550633491598</v>
      </c>
      <c r="AK10" s="548">
        <f t="shared" si="7"/>
        <v>14.683416912373106</v>
      </c>
      <c r="AL10" s="548">
        <f t="shared" si="8"/>
        <v>13.14410859909767</v>
      </c>
      <c r="AM10" s="548">
        <f t="shared" si="9"/>
        <v>15.656132376931934</v>
      </c>
      <c r="AN10" s="548">
        <f t="shared" si="10"/>
        <v>13.354466994339782</v>
      </c>
      <c r="AO10" s="548">
        <f t="shared" si="11"/>
        <v>16.218575944482986</v>
      </c>
      <c r="AP10" s="548">
        <f t="shared" si="12"/>
        <v>14.8573999262311</v>
      </c>
      <c r="AQ10" s="548">
        <f t="shared" si="13"/>
        <v>15.627978305676624</v>
      </c>
      <c r="AR10" s="548"/>
      <c r="AS10" s="548">
        <f t="shared" si="14"/>
        <v>9.1131544498705921</v>
      </c>
      <c r="AT10" s="548">
        <f t="shared" si="15"/>
        <v>7.4889716255511036</v>
      </c>
      <c r="AU10" s="548">
        <f t="shared" si="16"/>
        <v>7.1806362404258843</v>
      </c>
      <c r="AV10" s="548">
        <f t="shared" si="17"/>
        <v>6.9973436727584879</v>
      </c>
      <c r="AW10" s="548">
        <f t="shared" si="18"/>
        <v>7.5976700872860086</v>
      </c>
      <c r="AX10" s="548">
        <f t="shared" si="19"/>
        <v>6.7891720968089286</v>
      </c>
      <c r="AY10" s="548">
        <f t="shared" si="20"/>
        <v>7.9022041122260784</v>
      </c>
      <c r="AZ10" s="548">
        <f t="shared" si="21"/>
        <v>6.1687103867513944</v>
      </c>
      <c r="BA10" s="548">
        <f t="shared" si="22"/>
        <v>6.6841732375273581</v>
      </c>
      <c r="BB10" s="548">
        <f t="shared" si="23"/>
        <v>6.0820848947009694</v>
      </c>
      <c r="BC10" s="548">
        <f t="shared" si="24"/>
        <v>7.6693586132916893</v>
      </c>
      <c r="BD10" s="548">
        <f t="shared" si="25"/>
        <v>8.2236377158933571</v>
      </c>
    </row>
    <row r="11" spans="1:56" ht="15">
      <c r="A11" s="546" t="str">
        <f>VLOOKUP(CONCATENATE($C11," - ",$B11),[2]ACHIEV!$B$12:$C$100,2,FALSE)</f>
        <v>LO3Slow</v>
      </c>
      <c r="B11" s="546" t="str">
        <f>'SC-New'!$C$7</f>
        <v>New</v>
      </c>
      <c r="C11" s="546" t="str">
        <f>'SC-New'!$C$8</f>
        <v>Advanced Power Strips</v>
      </c>
      <c r="D11" s="546" t="s">
        <v>1132</v>
      </c>
      <c r="E11" s="546" t="str">
        <f>'SC-New'!$A$9</f>
        <v>Electronics</v>
      </c>
      <c r="F11" s="547">
        <f t="shared" si="1"/>
        <v>5.0504779360920479E-3</v>
      </c>
      <c r="G11" s="64">
        <f>'SC-New'!A68</f>
        <v>32.182599808073434</v>
      </c>
      <c r="H11" s="64">
        <f>'SC-New'!B68</f>
        <v>236.63736937731289</v>
      </c>
      <c r="I11" s="9" t="str">
        <f>'SC-New'!C68</f>
        <v>Single Family</v>
      </c>
      <c r="J11" s="9" t="str">
        <f>'SC-New'!D68</f>
        <v>Load sensing advanced power strip</v>
      </c>
      <c r="K11" s="36">
        <f>'SC-New'!E68</f>
        <v>1.5075631470458108E-3</v>
      </c>
      <c r="L11" s="36">
        <f>'SC-New'!F68</f>
        <v>3.8295654324108524E-3</v>
      </c>
      <c r="M11" s="36">
        <f>'SC-New'!G68</f>
        <v>8.2510752950048071E-3</v>
      </c>
      <c r="N11" s="36">
        <f>'SC-New'!H68</f>
        <v>1.5912363492458805E-2</v>
      </c>
      <c r="O11" s="36">
        <f>'SC-New'!I68</f>
        <v>2.9719356333464408E-2</v>
      </c>
      <c r="P11" s="36">
        <f>'SC-New'!J68</f>
        <v>4.546578178796027E-2</v>
      </c>
      <c r="Q11" s="36">
        <f>'SC-New'!K68</f>
        <v>6.5408588504458576E-2</v>
      </c>
      <c r="R11" s="36">
        <f>'SC-New'!L68</f>
        <v>8.9725059189949399E-2</v>
      </c>
      <c r="S11" s="36">
        <f>'SC-New'!M68</f>
        <v>0.11504362491855613</v>
      </c>
      <c r="T11" s="36">
        <f>'SC-New'!N68</f>
        <v>0.14377419618020462</v>
      </c>
      <c r="U11" s="36">
        <f>'SC-New'!O68</f>
        <v>0.16982674742943518</v>
      </c>
      <c r="V11" s="36">
        <f>'SC-New'!P68</f>
        <v>0.18925423772113054</v>
      </c>
      <c r="W11" s="36">
        <f>'SC-New'!Q68</f>
        <v>0.20151663215393509</v>
      </c>
      <c r="X11" s="36">
        <f>'SC-New'!R68</f>
        <v>0.21512849157254937</v>
      </c>
      <c r="Y11" s="36">
        <f>'SC-New'!S68</f>
        <v>0.22758561087434831</v>
      </c>
      <c r="Z11" s="36">
        <f>'SC-New'!T68</f>
        <v>0.23309980978375111</v>
      </c>
      <c r="AA11" s="36">
        <f>'SC-New'!U68</f>
        <v>0.22937641809779794</v>
      </c>
      <c r="AB11" s="36">
        <f>'SC-New'!V68</f>
        <v>0.23130103479114189</v>
      </c>
      <c r="AC11" s="36">
        <f>'SC-New'!W68</f>
        <v>0.23307543776096307</v>
      </c>
      <c r="AD11" s="36">
        <f>'SC-New'!X68</f>
        <v>0.23603416595449214</v>
      </c>
      <c r="AE11" s="36">
        <f>'SC-New'!Y68</f>
        <v>2.6848357604210578</v>
      </c>
      <c r="AF11" s="548">
        <f t="shared" si="2"/>
        <v>0.93663111559042656</v>
      </c>
      <c r="AG11" s="548">
        <f t="shared" si="3"/>
        <v>0.83062478670883133</v>
      </c>
      <c r="AH11" s="548">
        <f t="shared" si="4"/>
        <v>1.4757665151754269</v>
      </c>
      <c r="AI11" s="548">
        <f t="shared" si="5"/>
        <v>1.8612985054724429</v>
      </c>
      <c r="AJ11" s="548">
        <f t="shared" si="6"/>
        <v>1.9810409820688863</v>
      </c>
      <c r="AK11" s="548">
        <f t="shared" si="7"/>
        <v>1.7357806294424625</v>
      </c>
      <c r="AL11" s="548">
        <f t="shared" si="8"/>
        <v>1.7436248609667384</v>
      </c>
      <c r="AM11" s="548">
        <f t="shared" si="9"/>
        <v>1.737823484003987</v>
      </c>
      <c r="AN11" s="548">
        <f t="shared" si="10"/>
        <v>1.6075780385085403</v>
      </c>
      <c r="AO11" s="548">
        <f t="shared" si="11"/>
        <v>1.7080921561343001</v>
      </c>
      <c r="AP11" s="548">
        <f t="shared" si="12"/>
        <v>1.7055203142325539</v>
      </c>
      <c r="AQ11" s="548">
        <f t="shared" si="13"/>
        <v>1.900901147070073</v>
      </c>
      <c r="AR11" s="548"/>
      <c r="AS11" s="548">
        <f t="shared" si="14"/>
        <v>0.71470232114030108</v>
      </c>
      <c r="AT11" s="548">
        <f t="shared" si="15"/>
        <v>0.59906701076470636</v>
      </c>
      <c r="AU11" s="548">
        <f t="shared" si="16"/>
        <v>0.85125913943884035</v>
      </c>
      <c r="AV11" s="548">
        <f t="shared" si="17"/>
        <v>1.2991041047217715</v>
      </c>
      <c r="AW11" s="548">
        <f t="shared" si="18"/>
        <v>1.4103785158211344</v>
      </c>
      <c r="AX11" s="548">
        <f t="shared" si="19"/>
        <v>1.1315089214004166</v>
      </c>
      <c r="AY11" s="548">
        <f t="shared" si="20"/>
        <v>1.3309411904084394</v>
      </c>
      <c r="AZ11" s="548">
        <f t="shared" si="21"/>
        <v>0.94477103934712769</v>
      </c>
      <c r="BA11" s="548">
        <f t="shared" si="22"/>
        <v>1.1409267658898763</v>
      </c>
      <c r="BB11" s="548">
        <f t="shared" si="23"/>
        <v>0.97864988040653711</v>
      </c>
      <c r="BC11" s="548">
        <f t="shared" si="24"/>
        <v>1.2301024182073412</v>
      </c>
      <c r="BD11" s="548">
        <f t="shared" si="25"/>
        <v>1.3265059651522715</v>
      </c>
    </row>
    <row r="12" spans="1:56" ht="15">
      <c r="A12" s="546" t="str">
        <f>VLOOKUP(CONCATENATE($C12," - ",$B12),[2]ACHIEV!$B$12:$C$100,2,FALSE)</f>
        <v>LO3Slow</v>
      </c>
      <c r="B12" s="546" t="str">
        <f>'SC-New'!$C$7</f>
        <v>New</v>
      </c>
      <c r="C12" s="546" t="str">
        <f>'SC-New'!$C$8</f>
        <v>Advanced Power Strips</v>
      </c>
      <c r="D12" s="546" t="s">
        <v>1132</v>
      </c>
      <c r="E12" s="546" t="str">
        <f>'SC-New'!$A$9</f>
        <v>Electronics</v>
      </c>
      <c r="F12" s="547">
        <f t="shared" si="1"/>
        <v>5.0504779360920479E-3</v>
      </c>
      <c r="G12" s="64">
        <f>'SC-New'!A69</f>
        <v>32.182599808073434</v>
      </c>
      <c r="H12" s="64">
        <f>'SC-New'!B69</f>
        <v>236.63736937731289</v>
      </c>
      <c r="I12" s="9" t="str">
        <f>'SC-New'!C69</f>
        <v>Multifamily - Low Rise</v>
      </c>
      <c r="J12" s="9" t="str">
        <f>'SC-New'!D69</f>
        <v>Load sensing advanced power strip</v>
      </c>
      <c r="K12" s="36">
        <f>'SC-New'!E69</f>
        <v>2.2588243401181892E-4</v>
      </c>
      <c r="L12" s="36">
        <f>'SC-New'!F69</f>
        <v>5.930863940298729E-4</v>
      </c>
      <c r="M12" s="36">
        <f>'SC-New'!G69</f>
        <v>1.3361171225333252E-3</v>
      </c>
      <c r="N12" s="36">
        <f>'SC-New'!H69</f>
        <v>2.5786401749760394E-3</v>
      </c>
      <c r="O12" s="36">
        <f>'SC-New'!I69</f>
        <v>4.6649531927038957E-3</v>
      </c>
      <c r="P12" s="36">
        <f>'SC-New'!J69</f>
        <v>7.2211633527193989E-3</v>
      </c>
      <c r="Q12" s="36">
        <f>'SC-New'!K69</f>
        <v>1.0589188159494934E-2</v>
      </c>
      <c r="R12" s="36">
        <f>'SC-New'!L69</f>
        <v>1.4867054001258494E-2</v>
      </c>
      <c r="S12" s="36">
        <f>'SC-New'!M69</f>
        <v>1.9729432853322577E-2</v>
      </c>
      <c r="T12" s="36">
        <f>'SC-New'!N69</f>
        <v>2.4884509807112449E-2</v>
      </c>
      <c r="U12" s="36">
        <f>'SC-New'!O69</f>
        <v>2.9311715947664307E-2</v>
      </c>
      <c r="V12" s="36">
        <f>'SC-New'!P69</f>
        <v>3.3098766808006469E-2</v>
      </c>
      <c r="W12" s="36">
        <f>'SC-New'!Q69</f>
        <v>3.6260311527275803E-2</v>
      </c>
      <c r="X12" s="36">
        <f>'SC-New'!R69</f>
        <v>3.8248546383734948E-2</v>
      </c>
      <c r="Y12" s="36">
        <f>'SC-New'!S69</f>
        <v>3.9514542942200019E-2</v>
      </c>
      <c r="Z12" s="36">
        <f>'SC-New'!T69</f>
        <v>3.9813697921666481E-2</v>
      </c>
      <c r="AA12" s="36">
        <f>'SC-New'!U69</f>
        <v>3.9827333365369595E-2</v>
      </c>
      <c r="AB12" s="36">
        <f>'SC-New'!V69</f>
        <v>3.9720322113527114E-2</v>
      </c>
      <c r="AC12" s="36">
        <f>'SC-New'!W69</f>
        <v>3.9154962740549082E-2</v>
      </c>
      <c r="AD12" s="36">
        <f>'SC-New'!X69</f>
        <v>3.9235634844437553E-2</v>
      </c>
      <c r="AE12" s="36">
        <f>'SC-New'!Y69</f>
        <v>0.4608758620865942</v>
      </c>
      <c r="AF12" s="548">
        <f t="shared" si="2"/>
        <v>0.93663111559042656</v>
      </c>
      <c r="AG12" s="548">
        <f t="shared" si="3"/>
        <v>0.83062478670883133</v>
      </c>
      <c r="AH12" s="548">
        <f t="shared" si="4"/>
        <v>1.4757665151754269</v>
      </c>
      <c r="AI12" s="548">
        <f t="shared" si="5"/>
        <v>1.8612985054724429</v>
      </c>
      <c r="AJ12" s="548">
        <f t="shared" si="6"/>
        <v>1.9810409820688863</v>
      </c>
      <c r="AK12" s="548">
        <f t="shared" si="7"/>
        <v>1.7357806294424625</v>
      </c>
      <c r="AL12" s="548">
        <f t="shared" si="8"/>
        <v>1.7436248609667384</v>
      </c>
      <c r="AM12" s="548">
        <f t="shared" si="9"/>
        <v>1.737823484003987</v>
      </c>
      <c r="AN12" s="548">
        <f t="shared" si="10"/>
        <v>1.6075780385085403</v>
      </c>
      <c r="AO12" s="548">
        <f t="shared" si="11"/>
        <v>1.7080921561343001</v>
      </c>
      <c r="AP12" s="548">
        <f t="shared" si="12"/>
        <v>1.7055203142325539</v>
      </c>
      <c r="AQ12" s="548">
        <f t="shared" si="13"/>
        <v>1.900901147070073</v>
      </c>
      <c r="AR12" s="548"/>
      <c r="AS12" s="548">
        <f t="shared" si="14"/>
        <v>0.71470232114030108</v>
      </c>
      <c r="AT12" s="548">
        <f t="shared" si="15"/>
        <v>0.59906701076470636</v>
      </c>
      <c r="AU12" s="548">
        <f t="shared" si="16"/>
        <v>0.85125913943884035</v>
      </c>
      <c r="AV12" s="548">
        <f t="shared" si="17"/>
        <v>1.2991041047217715</v>
      </c>
      <c r="AW12" s="548">
        <f t="shared" si="18"/>
        <v>1.4103785158211344</v>
      </c>
      <c r="AX12" s="548">
        <f t="shared" si="19"/>
        <v>1.1315089214004166</v>
      </c>
      <c r="AY12" s="548">
        <f t="shared" si="20"/>
        <v>1.3309411904084394</v>
      </c>
      <c r="AZ12" s="548">
        <f t="shared" si="21"/>
        <v>0.94477103934712769</v>
      </c>
      <c r="BA12" s="548">
        <f t="shared" si="22"/>
        <v>1.1409267658898763</v>
      </c>
      <c r="BB12" s="548">
        <f t="shared" si="23"/>
        <v>0.97864988040653711</v>
      </c>
      <c r="BC12" s="548">
        <f t="shared" si="24"/>
        <v>1.2301024182073412</v>
      </c>
      <c r="BD12" s="548">
        <f t="shared" si="25"/>
        <v>1.3265059651522715</v>
      </c>
    </row>
    <row r="13" spans="1:56" ht="15">
      <c r="A13" s="546" t="str">
        <f>VLOOKUP(CONCATENATE($C13," - ",$B13),[2]ACHIEV!$B$12:$C$100,2,FALSE)</f>
        <v>LO3Slow</v>
      </c>
      <c r="B13" s="546" t="str">
        <f>'SC-New'!$C$7</f>
        <v>New</v>
      </c>
      <c r="C13" s="546" t="str">
        <f>'SC-New'!$C$8</f>
        <v>Advanced Power Strips</v>
      </c>
      <c r="D13" s="546" t="s">
        <v>1132</v>
      </c>
      <c r="E13" s="546" t="str">
        <f>'SC-New'!$A$9</f>
        <v>Electronics</v>
      </c>
      <c r="F13" s="547">
        <f t="shared" si="1"/>
        <v>5.0504779360920479E-3</v>
      </c>
      <c r="G13" s="64">
        <f>'SC-New'!A70</f>
        <v>32.182599808073434</v>
      </c>
      <c r="H13" s="64">
        <f>'SC-New'!B70</f>
        <v>236.63736937731289</v>
      </c>
      <c r="I13" s="9" t="str">
        <f>'SC-New'!C70</f>
        <v>Multifamily - High Rise</v>
      </c>
      <c r="J13" s="9" t="str">
        <f>'SC-New'!D70</f>
        <v>Load sensing advanced power strip</v>
      </c>
      <c r="K13" s="36">
        <f>'SC-New'!E70</f>
        <v>5.0708673820990551E-5</v>
      </c>
      <c r="L13" s="36">
        <f>'SC-New'!F70</f>
        <v>1.3501709405518207E-4</v>
      </c>
      <c r="M13" s="36">
        <f>'SC-New'!G70</f>
        <v>3.0874729591289548E-4</v>
      </c>
      <c r="N13" s="36">
        <f>'SC-New'!H70</f>
        <v>5.8212661033778333E-4</v>
      </c>
      <c r="O13" s="36">
        <f>'SC-New'!I70</f>
        <v>1.03271270630842E-3</v>
      </c>
      <c r="P13" s="36">
        <f>'SC-New'!J70</f>
        <v>1.6225399361496048E-3</v>
      </c>
      <c r="Q13" s="36">
        <f>'SC-New'!K70</f>
        <v>2.3862935563472407E-3</v>
      </c>
      <c r="R13" s="36">
        <f>'SC-New'!L70</f>
        <v>3.3919650983857967E-3</v>
      </c>
      <c r="S13" s="36">
        <f>'SC-New'!M70</f>
        <v>4.4696862951706324E-3</v>
      </c>
      <c r="T13" s="36">
        <f>'SC-New'!N70</f>
        <v>5.6369747808939731E-3</v>
      </c>
      <c r="U13" s="36">
        <f>'SC-New'!O70</f>
        <v>6.5599201957984611E-3</v>
      </c>
      <c r="V13" s="36">
        <f>'SC-New'!P70</f>
        <v>7.3931261382744222E-3</v>
      </c>
      <c r="W13" s="36">
        <f>'SC-New'!Q70</f>
        <v>8.0294386993844408E-3</v>
      </c>
      <c r="X13" s="36">
        <f>'SC-New'!R70</f>
        <v>8.5360663337811452E-3</v>
      </c>
      <c r="Y13" s="36">
        <f>'SC-New'!S70</f>
        <v>8.860613455137667E-3</v>
      </c>
      <c r="Z13" s="36">
        <f>'SC-New'!T70</f>
        <v>8.9213722361517565E-3</v>
      </c>
      <c r="AA13" s="36">
        <f>'SC-New'!U70</f>
        <v>8.9351353901023986E-3</v>
      </c>
      <c r="AB13" s="36">
        <f>'SC-New'!V70</f>
        <v>8.817674885625312E-3</v>
      </c>
      <c r="AC13" s="36">
        <f>'SC-New'!W70</f>
        <v>8.8289843285567111E-3</v>
      </c>
      <c r="AD13" s="36">
        <f>'SC-New'!X70</f>
        <v>8.8403135084724697E-3</v>
      </c>
      <c r="AE13" s="36">
        <f>'SC-New'!Y70</f>
        <v>0.1033394172186673</v>
      </c>
      <c r="AF13" s="548">
        <f t="shared" si="2"/>
        <v>0.93663111559042656</v>
      </c>
      <c r="AG13" s="548">
        <f t="shared" si="3"/>
        <v>0.83062478670883133</v>
      </c>
      <c r="AH13" s="548">
        <f t="shared" si="4"/>
        <v>1.4757665151754269</v>
      </c>
      <c r="AI13" s="548">
        <f t="shared" si="5"/>
        <v>1.8612985054724429</v>
      </c>
      <c r="AJ13" s="548">
        <f t="shared" si="6"/>
        <v>1.9810409820688863</v>
      </c>
      <c r="AK13" s="548">
        <f t="shared" si="7"/>
        <v>1.7357806294424625</v>
      </c>
      <c r="AL13" s="548">
        <f t="shared" si="8"/>
        <v>1.7436248609667384</v>
      </c>
      <c r="AM13" s="548">
        <f t="shared" si="9"/>
        <v>1.737823484003987</v>
      </c>
      <c r="AN13" s="548">
        <f t="shared" si="10"/>
        <v>1.6075780385085403</v>
      </c>
      <c r="AO13" s="548">
        <f t="shared" si="11"/>
        <v>1.7080921561343001</v>
      </c>
      <c r="AP13" s="548">
        <f t="shared" si="12"/>
        <v>1.7055203142325539</v>
      </c>
      <c r="AQ13" s="548">
        <f t="shared" si="13"/>
        <v>1.900901147070073</v>
      </c>
      <c r="AR13" s="548"/>
      <c r="AS13" s="548">
        <f t="shared" si="14"/>
        <v>0.71470232114030108</v>
      </c>
      <c r="AT13" s="548">
        <f t="shared" si="15"/>
        <v>0.59906701076470636</v>
      </c>
      <c r="AU13" s="548">
        <f t="shared" si="16"/>
        <v>0.85125913943884035</v>
      </c>
      <c r="AV13" s="548">
        <f t="shared" si="17"/>
        <v>1.2991041047217715</v>
      </c>
      <c r="AW13" s="548">
        <f t="shared" si="18"/>
        <v>1.4103785158211344</v>
      </c>
      <c r="AX13" s="548">
        <f t="shared" si="19"/>
        <v>1.1315089214004166</v>
      </c>
      <c r="AY13" s="548">
        <f t="shared" si="20"/>
        <v>1.3309411904084394</v>
      </c>
      <c r="AZ13" s="548">
        <f t="shared" si="21"/>
        <v>0.94477103934712769</v>
      </c>
      <c r="BA13" s="548">
        <f t="shared" si="22"/>
        <v>1.1409267658898763</v>
      </c>
      <c r="BB13" s="548">
        <f t="shared" si="23"/>
        <v>0.97864988040653711</v>
      </c>
      <c r="BC13" s="548">
        <f t="shared" si="24"/>
        <v>1.2301024182073412</v>
      </c>
      <c r="BD13" s="548">
        <f t="shared" si="25"/>
        <v>1.3265059651522715</v>
      </c>
    </row>
    <row r="14" spans="1:56" ht="15">
      <c r="A14" s="546" t="str">
        <f>VLOOKUP(CONCATENATE($C14," - ",$B14),[2]ACHIEV!$B$12:$C$100,2,FALSE)</f>
        <v>LO3Slow</v>
      </c>
      <c r="B14" s="546" t="str">
        <f>'SC-New'!$C$7</f>
        <v>New</v>
      </c>
      <c r="C14" s="546" t="str">
        <f>'SC-New'!$C$8</f>
        <v>Advanced Power Strips</v>
      </c>
      <c r="D14" s="546" t="s">
        <v>1132</v>
      </c>
      <c r="E14" s="546" t="str">
        <f>'SC-New'!$A$9</f>
        <v>Electronics</v>
      </c>
      <c r="F14" s="547">
        <f t="shared" si="1"/>
        <v>5.0504779360920479E-3</v>
      </c>
      <c r="G14" s="64">
        <f>'SC-New'!A71</f>
        <v>32.182599808073434</v>
      </c>
      <c r="H14" s="64">
        <f>'SC-New'!B71</f>
        <v>236.63736937731289</v>
      </c>
      <c r="I14" s="9" t="str">
        <f>'SC-New'!C71</f>
        <v>Manufactured</v>
      </c>
      <c r="J14" s="9" t="str">
        <f>'SC-New'!D71</f>
        <v>Load sensing advanced power strip</v>
      </c>
      <c r="K14" s="36">
        <f>'SC-New'!E71</f>
        <v>2.5486455275846462E-5</v>
      </c>
      <c r="L14" s="36">
        <f>'SC-New'!F71</f>
        <v>6.8125140201153519E-5</v>
      </c>
      <c r="M14" s="36">
        <f>'SC-New'!G71</f>
        <v>1.6039977882214228E-4</v>
      </c>
      <c r="N14" s="36">
        <f>'SC-New'!H71</f>
        <v>3.3155629031756133E-4</v>
      </c>
      <c r="O14" s="36">
        <f>'SC-New'!I71</f>
        <v>6.1692364024176001E-4</v>
      </c>
      <c r="P14" s="36">
        <f>'SC-New'!J71</f>
        <v>9.74908937099635E-4</v>
      </c>
      <c r="Q14" s="36">
        <f>'SC-New'!K71</f>
        <v>1.4475100810239249E-3</v>
      </c>
      <c r="R14" s="36">
        <f>'SC-New'!L71</f>
        <v>2.0064244897427187E-3</v>
      </c>
      <c r="S14" s="36">
        <f>'SC-New'!M71</f>
        <v>2.6136711688577118E-3</v>
      </c>
      <c r="T14" s="36">
        <f>'SC-New'!N71</f>
        <v>3.2113923009553895E-3</v>
      </c>
      <c r="U14" s="36">
        <f>'SC-New'!O71</f>
        <v>3.7466717397750633E-3</v>
      </c>
      <c r="V14" s="36">
        <f>'SC-New'!P71</f>
        <v>4.2251288042261378E-3</v>
      </c>
      <c r="W14" s="36">
        <f>'SC-New'!Q71</f>
        <v>4.6278839654357133E-3</v>
      </c>
      <c r="X14" s="36">
        <f>'SC-New'!R71</f>
        <v>4.940851169731194E-3</v>
      </c>
      <c r="Y14" s="36">
        <f>'SC-New'!S71</f>
        <v>5.1685346085869107E-3</v>
      </c>
      <c r="Z14" s="36">
        <f>'SC-New'!T71</f>
        <v>5.3138250694583942E-3</v>
      </c>
      <c r="AA14" s="36">
        <f>'SC-New'!U71</f>
        <v>5.4041639137129959E-3</v>
      </c>
      <c r="AB14" s="36">
        <f>'SC-New'!V71</f>
        <v>5.4594506850700339E-3</v>
      </c>
      <c r="AC14" s="36">
        <f>'SC-New'!W71</f>
        <v>5.4890633891215186E-3</v>
      </c>
      <c r="AD14" s="36">
        <f>'SC-New'!X71</f>
        <v>5.5219116764529735E-3</v>
      </c>
      <c r="AE14" s="36">
        <f>'SC-New'!Y71</f>
        <v>6.1353883304108785E-2</v>
      </c>
      <c r="AF14" s="548">
        <f t="shared" si="2"/>
        <v>0.93663111559042656</v>
      </c>
      <c r="AG14" s="548">
        <f t="shared" si="3"/>
        <v>0.83062478670883133</v>
      </c>
      <c r="AH14" s="548">
        <f t="shared" si="4"/>
        <v>1.4757665151754269</v>
      </c>
      <c r="AI14" s="548">
        <f t="shared" si="5"/>
        <v>1.8612985054724429</v>
      </c>
      <c r="AJ14" s="548">
        <f t="shared" si="6"/>
        <v>1.9810409820688863</v>
      </c>
      <c r="AK14" s="548">
        <f t="shared" si="7"/>
        <v>1.7357806294424625</v>
      </c>
      <c r="AL14" s="548">
        <f t="shared" si="8"/>
        <v>1.7436248609667384</v>
      </c>
      <c r="AM14" s="548">
        <f t="shared" si="9"/>
        <v>1.737823484003987</v>
      </c>
      <c r="AN14" s="548">
        <f t="shared" si="10"/>
        <v>1.6075780385085403</v>
      </c>
      <c r="AO14" s="548">
        <f t="shared" si="11"/>
        <v>1.7080921561343001</v>
      </c>
      <c r="AP14" s="548">
        <f t="shared" si="12"/>
        <v>1.7055203142325539</v>
      </c>
      <c r="AQ14" s="548">
        <f t="shared" si="13"/>
        <v>1.900901147070073</v>
      </c>
      <c r="AR14" s="548"/>
      <c r="AS14" s="548">
        <f t="shared" si="14"/>
        <v>0.71470232114030108</v>
      </c>
      <c r="AT14" s="548">
        <f t="shared" si="15"/>
        <v>0.59906701076470636</v>
      </c>
      <c r="AU14" s="548">
        <f t="shared" si="16"/>
        <v>0.85125913943884035</v>
      </c>
      <c r="AV14" s="548">
        <f t="shared" si="17"/>
        <v>1.2991041047217715</v>
      </c>
      <c r="AW14" s="548">
        <f t="shared" si="18"/>
        <v>1.4103785158211344</v>
      </c>
      <c r="AX14" s="548">
        <f t="shared" si="19"/>
        <v>1.1315089214004166</v>
      </c>
      <c r="AY14" s="548">
        <f t="shared" si="20"/>
        <v>1.3309411904084394</v>
      </c>
      <c r="AZ14" s="548">
        <f t="shared" si="21"/>
        <v>0.94477103934712769</v>
      </c>
      <c r="BA14" s="548">
        <f t="shared" si="22"/>
        <v>1.1409267658898763</v>
      </c>
      <c r="BB14" s="548">
        <f t="shared" si="23"/>
        <v>0.97864988040653711</v>
      </c>
      <c r="BC14" s="548">
        <f t="shared" si="24"/>
        <v>1.2301024182073412</v>
      </c>
      <c r="BD14" s="548">
        <f t="shared" si="25"/>
        <v>1.3265059651522715</v>
      </c>
    </row>
    <row r="15" spans="1:56" ht="15">
      <c r="A15" s="546" t="str">
        <f>VLOOKUP(CONCATENATE($C15," - ",$B15),[2]ACHIEV!$B$12:$C$100,2,FALSE)</f>
        <v>Retro3Slow</v>
      </c>
      <c r="B15" s="546" t="str">
        <f>'SC-Retro'!$C$7</f>
        <v>Retro</v>
      </c>
      <c r="C15" s="546" t="str">
        <f>'SC-Retro'!$C$8</f>
        <v>Advanced Power Strips</v>
      </c>
      <c r="D15" s="546" t="s">
        <v>1132</v>
      </c>
      <c r="E15" s="546" t="str">
        <f>'SC-Retro'!$A$9</f>
        <v>Electronics</v>
      </c>
      <c r="F15" s="547">
        <f t="shared" si="1"/>
        <v>6.7339705814560636E-3</v>
      </c>
      <c r="G15" s="64">
        <f>'SC-Retro'!A85</f>
        <v>42.910133077431247</v>
      </c>
      <c r="H15" s="64">
        <f>'SC-Retro'!B85</f>
        <v>-8.9100081856585778</v>
      </c>
      <c r="I15" s="9" t="str">
        <f>'SC-Retro'!C85</f>
        <v>Single Family</v>
      </c>
      <c r="J15" s="9" t="str">
        <f>'SC-Retro'!D85</f>
        <v>Occupancy sensing advanced power strip</v>
      </c>
      <c r="K15" s="36">
        <f>'SC-Retro'!E85</f>
        <v>3.0967910270873644E-2</v>
      </c>
      <c r="L15" s="36">
        <f>'SC-Retro'!F85</f>
        <v>4.8819128465444034E-2</v>
      </c>
      <c r="M15" s="36">
        <f>'SC-Retro'!G85</f>
        <v>9.7844894362381238E-2</v>
      </c>
      <c r="N15" s="36">
        <f>'SC-Retro'!H85</f>
        <v>0.17144188384890399</v>
      </c>
      <c r="O15" s="36">
        <f>'SC-Retro'!I85</f>
        <v>0.26685928881624715</v>
      </c>
      <c r="P15" s="36">
        <f>'SC-Retro'!J85</f>
        <v>0.37398821414943723</v>
      </c>
      <c r="Q15" s="36">
        <f>'SC-Retro'!K85</f>
        <v>0.47609062252441564</v>
      </c>
      <c r="R15" s="36">
        <f>'SC-Retro'!L85</f>
        <v>0.55523136646302351</v>
      </c>
      <c r="S15" s="36">
        <f>'SC-Retro'!M85</f>
        <v>0.59749491274041788</v>
      </c>
      <c r="T15" s="36">
        <f>'SC-Retro'!N85</f>
        <v>0.59679007736399803</v>
      </c>
      <c r="U15" s="36">
        <f>'SC-Retro'!O85</f>
        <v>0.55625594969946912</v>
      </c>
      <c r="V15" s="36">
        <f>'SC-Retro'!P85</f>
        <v>0.48595408571705895</v>
      </c>
      <c r="W15" s="36">
        <f>'SC-Retro'!Q85</f>
        <v>0.39941633334458776</v>
      </c>
      <c r="X15" s="36">
        <f>'SC-Retro'!R85</f>
        <v>0.30991793058664791</v>
      </c>
      <c r="Y15" s="36">
        <f>'SC-Retro'!S85</f>
        <v>0.22778257007341929</v>
      </c>
      <c r="Z15" s="36">
        <f>'SC-Retro'!T85</f>
        <v>0.15874282151819444</v>
      </c>
      <c r="AA15" s="36">
        <f>'SC-Retro'!U85</f>
        <v>0.10534598384334287</v>
      </c>
      <c r="AB15" s="36">
        <f>'SC-Retro'!V85</f>
        <v>6.6710446998957215E-2</v>
      </c>
      <c r="AC15" s="36">
        <f>'SC-Retro'!W85</f>
        <v>4.0404615574014605E-2</v>
      </c>
      <c r="AD15" s="36">
        <f>'SC-Retro'!X85</f>
        <v>2.369757911761413E-2</v>
      </c>
      <c r="AE15" s="36">
        <f>'SC-Retro'!Y85</f>
        <v>5.5012267034022564</v>
      </c>
      <c r="AF15" s="548">
        <f t="shared" si="2"/>
        <v>1.248841487453902</v>
      </c>
      <c r="AG15" s="548">
        <f t="shared" si="3"/>
        <v>1.1074997156117752</v>
      </c>
      <c r="AH15" s="548">
        <f t="shared" si="4"/>
        <v>1.9676886869005692</v>
      </c>
      <c r="AI15" s="548">
        <f t="shared" si="5"/>
        <v>2.4817313406299237</v>
      </c>
      <c r="AJ15" s="548">
        <f t="shared" si="6"/>
        <v>2.6413879760918486</v>
      </c>
      <c r="AK15" s="548">
        <f t="shared" si="7"/>
        <v>2.3143741725899498</v>
      </c>
      <c r="AL15" s="548">
        <f t="shared" si="8"/>
        <v>2.3248331479556512</v>
      </c>
      <c r="AM15" s="548">
        <f t="shared" si="9"/>
        <v>2.317097978671983</v>
      </c>
      <c r="AN15" s="548">
        <f t="shared" si="10"/>
        <v>2.1434373846780539</v>
      </c>
      <c r="AO15" s="548">
        <f t="shared" si="11"/>
        <v>2.2774562081790668</v>
      </c>
      <c r="AP15" s="548">
        <f t="shared" si="12"/>
        <v>2.2740270856434055</v>
      </c>
      <c r="AQ15" s="548">
        <f t="shared" si="13"/>
        <v>2.534534862760097</v>
      </c>
      <c r="AR15" s="548"/>
      <c r="AS15" s="548">
        <f t="shared" si="14"/>
        <v>0.95293642818706803</v>
      </c>
      <c r="AT15" s="548">
        <f t="shared" si="15"/>
        <v>0.79875601435294175</v>
      </c>
      <c r="AU15" s="548">
        <f t="shared" si="16"/>
        <v>1.1350121859184539</v>
      </c>
      <c r="AV15" s="548">
        <f t="shared" si="17"/>
        <v>1.7321388062956955</v>
      </c>
      <c r="AW15" s="548">
        <f t="shared" si="18"/>
        <v>1.8805046877615126</v>
      </c>
      <c r="AX15" s="548">
        <f t="shared" si="19"/>
        <v>1.5086785618672223</v>
      </c>
      <c r="AY15" s="548">
        <f t="shared" si="20"/>
        <v>1.7745882538779192</v>
      </c>
      <c r="AZ15" s="548">
        <f t="shared" si="21"/>
        <v>1.2596947191295036</v>
      </c>
      <c r="BA15" s="548">
        <f t="shared" si="22"/>
        <v>1.5212356878531683</v>
      </c>
      <c r="BB15" s="548">
        <f t="shared" si="23"/>
        <v>1.3048665072087162</v>
      </c>
      <c r="BC15" s="548">
        <f t="shared" si="24"/>
        <v>1.6401365576097882</v>
      </c>
      <c r="BD15" s="548">
        <f t="shared" si="25"/>
        <v>1.7686746202030288</v>
      </c>
    </row>
    <row r="16" spans="1:56" ht="15">
      <c r="A16" s="546" t="str">
        <f>VLOOKUP(CONCATENATE($C16," - ",$B16),[2]ACHIEV!$B$12:$C$100,2,FALSE)</f>
        <v>Retro3Slow</v>
      </c>
      <c r="B16" s="546" t="str">
        <f>'SC-Retro'!$C$7</f>
        <v>Retro</v>
      </c>
      <c r="C16" s="546" t="str">
        <f>'SC-Retro'!$C$8</f>
        <v>Advanced Power Strips</v>
      </c>
      <c r="D16" s="546" t="s">
        <v>1132</v>
      </c>
      <c r="E16" s="546" t="str">
        <f>'SC-Retro'!$A$9</f>
        <v>Electronics</v>
      </c>
      <c r="F16" s="547">
        <f t="shared" si="1"/>
        <v>6.7339705814560636E-3</v>
      </c>
      <c r="G16" s="64">
        <f>'SC-Retro'!A86</f>
        <v>42.910133077431247</v>
      </c>
      <c r="H16" s="64">
        <f>'SC-Retro'!B86</f>
        <v>-8.9100081856585778</v>
      </c>
      <c r="I16" s="9" t="str">
        <f>'SC-Retro'!C86</f>
        <v>Multifamily - Low Rise</v>
      </c>
      <c r="J16" s="9" t="str">
        <f>'SC-Retro'!D86</f>
        <v>Occupancy sensing advanced power strip</v>
      </c>
      <c r="K16" s="36">
        <f>'SC-Retro'!E86</f>
        <v>2.3110407571886055E-3</v>
      </c>
      <c r="L16" s="36">
        <f>'SC-Retro'!F86</f>
        <v>3.679977786067263E-3</v>
      </c>
      <c r="M16" s="36">
        <f>'SC-Retro'!G86</f>
        <v>7.4506940084364797E-3</v>
      </c>
      <c r="N16" s="36">
        <f>'SC-Retro'!H86</f>
        <v>1.3191293503902364E-2</v>
      </c>
      <c r="O16" s="36">
        <f>'SC-Retro'!I86</f>
        <v>2.0735885774879198E-2</v>
      </c>
      <c r="P16" s="36">
        <f>'SC-Retro'!J86</f>
        <v>2.9313173616522293E-2</v>
      </c>
      <c r="Q16" s="36">
        <f>'SC-Retro'!K86</f>
        <v>3.7627032962490072E-2</v>
      </c>
      <c r="R16" s="36">
        <f>'SC-Retro'!L86</f>
        <v>4.4244441469542831E-2</v>
      </c>
      <c r="S16" s="36">
        <f>'SC-Retro'!M86</f>
        <v>4.8013674076149676E-2</v>
      </c>
      <c r="T16" s="36">
        <f>'SC-Retro'!N86</f>
        <v>4.8375764769133391E-2</v>
      </c>
      <c r="U16" s="36">
        <f>'SC-Retro'!O86</f>
        <v>4.5487260448324178E-2</v>
      </c>
      <c r="V16" s="36">
        <f>'SC-Retro'!P86</f>
        <v>4.0080481561127458E-2</v>
      </c>
      <c r="W16" s="36">
        <f>'SC-Retro'!Q86</f>
        <v>3.3224352686505504E-2</v>
      </c>
      <c r="X16" s="36">
        <f>'SC-Retro'!R86</f>
        <v>2.6001914964461859E-2</v>
      </c>
      <c r="Y16" s="36">
        <f>'SC-Retro'!S86</f>
        <v>1.9269430911478074E-2</v>
      </c>
      <c r="Z16" s="36">
        <f>'SC-Retro'!T86</f>
        <v>1.3538099393200843E-2</v>
      </c>
      <c r="AA16" s="36">
        <f>'SC-Retro'!U86</f>
        <v>9.0541300579258868E-3</v>
      </c>
      <c r="AB16" s="36">
        <f>'SC-Retro'!V86</f>
        <v>5.7778152967432779E-3</v>
      </c>
      <c r="AC16" s="36">
        <f>'SC-Retro'!W86</f>
        <v>3.5257092727225968E-3</v>
      </c>
      <c r="AD16" s="36">
        <f>'SC-Retro'!X86</f>
        <v>2.0795969374523024E-3</v>
      </c>
      <c r="AE16" s="36">
        <f>'SC-Retro'!Y86</f>
        <v>0.48276383624868641</v>
      </c>
      <c r="AF16" s="548">
        <f t="shared" si="2"/>
        <v>1.248841487453902</v>
      </c>
      <c r="AG16" s="548">
        <f t="shared" si="3"/>
        <v>1.1074997156117752</v>
      </c>
      <c r="AH16" s="548">
        <f t="shared" si="4"/>
        <v>1.9676886869005692</v>
      </c>
      <c r="AI16" s="548">
        <f t="shared" si="5"/>
        <v>2.4817313406299237</v>
      </c>
      <c r="AJ16" s="548">
        <f t="shared" si="6"/>
        <v>2.6413879760918486</v>
      </c>
      <c r="AK16" s="548">
        <f t="shared" si="7"/>
        <v>2.3143741725899498</v>
      </c>
      <c r="AL16" s="548">
        <f t="shared" si="8"/>
        <v>2.3248331479556512</v>
      </c>
      <c r="AM16" s="548">
        <f t="shared" si="9"/>
        <v>2.317097978671983</v>
      </c>
      <c r="AN16" s="548">
        <f t="shared" si="10"/>
        <v>2.1434373846780539</v>
      </c>
      <c r="AO16" s="548">
        <f t="shared" si="11"/>
        <v>2.2774562081790668</v>
      </c>
      <c r="AP16" s="548">
        <f t="shared" si="12"/>
        <v>2.2740270856434055</v>
      </c>
      <c r="AQ16" s="548">
        <f t="shared" si="13"/>
        <v>2.534534862760097</v>
      </c>
      <c r="AR16" s="548"/>
      <c r="AS16" s="548">
        <f t="shared" si="14"/>
        <v>0.95293642818706803</v>
      </c>
      <c r="AT16" s="548">
        <f t="shared" si="15"/>
        <v>0.79875601435294175</v>
      </c>
      <c r="AU16" s="548">
        <f t="shared" si="16"/>
        <v>1.1350121859184539</v>
      </c>
      <c r="AV16" s="548">
        <f t="shared" si="17"/>
        <v>1.7321388062956955</v>
      </c>
      <c r="AW16" s="548">
        <f t="shared" si="18"/>
        <v>1.8805046877615126</v>
      </c>
      <c r="AX16" s="548">
        <f t="shared" si="19"/>
        <v>1.5086785618672223</v>
      </c>
      <c r="AY16" s="548">
        <f t="shared" si="20"/>
        <v>1.7745882538779192</v>
      </c>
      <c r="AZ16" s="548">
        <f t="shared" si="21"/>
        <v>1.2596947191295036</v>
      </c>
      <c r="BA16" s="548">
        <f t="shared" si="22"/>
        <v>1.5212356878531683</v>
      </c>
      <c r="BB16" s="548">
        <f t="shared" si="23"/>
        <v>1.3048665072087162</v>
      </c>
      <c r="BC16" s="548">
        <f t="shared" si="24"/>
        <v>1.6401365576097882</v>
      </c>
      <c r="BD16" s="548">
        <f t="shared" si="25"/>
        <v>1.7686746202030288</v>
      </c>
    </row>
    <row r="17" spans="1:56" ht="15">
      <c r="A17" s="546" t="str">
        <f>VLOOKUP(CONCATENATE($C17," - ",$B17),[2]ACHIEV!$B$12:$C$100,2,FALSE)</f>
        <v>Retro3Slow</v>
      </c>
      <c r="B17" s="546" t="str">
        <f>'SC-Retro'!$C$7</f>
        <v>Retro</v>
      </c>
      <c r="C17" s="546" t="str">
        <f>'SC-Retro'!$C$8</f>
        <v>Advanced Power Strips</v>
      </c>
      <c r="D17" s="546" t="s">
        <v>1132</v>
      </c>
      <c r="E17" s="546" t="str">
        <f>'SC-Retro'!$A$9</f>
        <v>Electronics</v>
      </c>
      <c r="F17" s="547">
        <f t="shared" si="1"/>
        <v>6.7339705814560636E-3</v>
      </c>
      <c r="G17" s="64">
        <f>'SC-Retro'!A87</f>
        <v>42.910133077431247</v>
      </c>
      <c r="H17" s="64">
        <f>'SC-Retro'!B87</f>
        <v>-8.9100081856585778</v>
      </c>
      <c r="I17" s="9" t="str">
        <f>'SC-Retro'!C87</f>
        <v>Multifamily - High Rise</v>
      </c>
      <c r="J17" s="9" t="str">
        <f>'SC-Retro'!D87</f>
        <v>Occupancy sensing advanced power strip</v>
      </c>
      <c r="K17" s="36">
        <f>'SC-Retro'!E87</f>
        <v>5.2690885298639796E-4</v>
      </c>
      <c r="L17" s="36">
        <f>'SC-Retro'!F87</f>
        <v>8.3870491745524026E-4</v>
      </c>
      <c r="M17" s="36">
        <f>'SC-Retro'!G87</f>
        <v>1.698037006072994E-3</v>
      </c>
      <c r="N17" s="36">
        <f>'SC-Retro'!H87</f>
        <v>3.0072833439892515E-3</v>
      </c>
      <c r="O17" s="36">
        <f>'SC-Retro'!I87</f>
        <v>4.7262592089737784E-3</v>
      </c>
      <c r="P17" s="36">
        <f>'SC-Retro'!J87</f>
        <v>6.677430834861213E-3</v>
      </c>
      <c r="Q17" s="36">
        <f>'SC-Retro'!K87</f>
        <v>8.5690610403060617E-3</v>
      </c>
      <c r="R17" s="36">
        <f>'SC-Retro'!L87</f>
        <v>1.0074105604795753E-2</v>
      </c>
      <c r="S17" s="36">
        <f>'SC-Retro'!M87</f>
        <v>1.0932572020303273E-2</v>
      </c>
      <c r="T17" s="36">
        <f>'SC-Retro'!N87</f>
        <v>1.1013926878713635E-2</v>
      </c>
      <c r="U17" s="36">
        <f>'SC-Retro'!O87</f>
        <v>1.0355262376894768E-2</v>
      </c>
      <c r="V17" s="36">
        <f>'SC-Retro'!P87</f>
        <v>9.1217338069221384E-3</v>
      </c>
      <c r="W17" s="36">
        <f>'SC-Retro'!Q87</f>
        <v>7.5590255000587267E-3</v>
      </c>
      <c r="X17" s="36">
        <f>'SC-Retro'!R87</f>
        <v>5.9132614402215089E-3</v>
      </c>
      <c r="Y17" s="36">
        <f>'SC-Retro'!S87</f>
        <v>4.3808658073070531E-3</v>
      </c>
      <c r="Z17" s="36">
        <f>'SC-Retro'!T87</f>
        <v>3.0771602578204844E-3</v>
      </c>
      <c r="AA17" s="36">
        <f>'SC-Retro'!U87</f>
        <v>2.0575009212251104E-3</v>
      </c>
      <c r="AB17" s="36">
        <f>'SC-Retro'!V87</f>
        <v>1.3127073120404622E-3</v>
      </c>
      <c r="AC17" s="36">
        <f>'SC-Retro'!W87</f>
        <v>8.0076605301767354E-4</v>
      </c>
      <c r="AD17" s="36">
        <f>'SC-Retro'!X87</f>
        <v>4.7227650541557174E-4</v>
      </c>
      <c r="AE17" s="36">
        <f>'SC-Retro'!Y87</f>
        <v>0.10963567671140327</v>
      </c>
      <c r="AF17" s="548">
        <f t="shared" si="2"/>
        <v>1.248841487453902</v>
      </c>
      <c r="AG17" s="548">
        <f t="shared" si="3"/>
        <v>1.1074997156117752</v>
      </c>
      <c r="AH17" s="548">
        <f t="shared" si="4"/>
        <v>1.9676886869005692</v>
      </c>
      <c r="AI17" s="548">
        <f t="shared" si="5"/>
        <v>2.4817313406299237</v>
      </c>
      <c r="AJ17" s="548">
        <f t="shared" si="6"/>
        <v>2.6413879760918486</v>
      </c>
      <c r="AK17" s="548">
        <f t="shared" si="7"/>
        <v>2.3143741725899498</v>
      </c>
      <c r="AL17" s="548">
        <f t="shared" si="8"/>
        <v>2.3248331479556512</v>
      </c>
      <c r="AM17" s="548">
        <f t="shared" si="9"/>
        <v>2.317097978671983</v>
      </c>
      <c r="AN17" s="548">
        <f t="shared" si="10"/>
        <v>2.1434373846780539</v>
      </c>
      <c r="AO17" s="548">
        <f t="shared" si="11"/>
        <v>2.2774562081790668</v>
      </c>
      <c r="AP17" s="548">
        <f t="shared" si="12"/>
        <v>2.2740270856434055</v>
      </c>
      <c r="AQ17" s="548">
        <f t="shared" si="13"/>
        <v>2.534534862760097</v>
      </c>
      <c r="AR17" s="548"/>
      <c r="AS17" s="548">
        <f t="shared" si="14"/>
        <v>0.95293642818706803</v>
      </c>
      <c r="AT17" s="548">
        <f t="shared" si="15"/>
        <v>0.79875601435294175</v>
      </c>
      <c r="AU17" s="548">
        <f t="shared" si="16"/>
        <v>1.1350121859184539</v>
      </c>
      <c r="AV17" s="548">
        <f t="shared" si="17"/>
        <v>1.7321388062956955</v>
      </c>
      <c r="AW17" s="548">
        <f t="shared" si="18"/>
        <v>1.8805046877615126</v>
      </c>
      <c r="AX17" s="548">
        <f t="shared" si="19"/>
        <v>1.5086785618672223</v>
      </c>
      <c r="AY17" s="548">
        <f t="shared" si="20"/>
        <v>1.7745882538779192</v>
      </c>
      <c r="AZ17" s="548">
        <f t="shared" si="21"/>
        <v>1.2596947191295036</v>
      </c>
      <c r="BA17" s="548">
        <f t="shared" si="22"/>
        <v>1.5212356878531683</v>
      </c>
      <c r="BB17" s="548">
        <f t="shared" si="23"/>
        <v>1.3048665072087162</v>
      </c>
      <c r="BC17" s="548">
        <f t="shared" si="24"/>
        <v>1.6401365576097882</v>
      </c>
      <c r="BD17" s="548">
        <f t="shared" si="25"/>
        <v>1.7686746202030288</v>
      </c>
    </row>
    <row r="18" spans="1:56" ht="15">
      <c r="A18" s="546" t="str">
        <f>VLOOKUP(CONCATENATE($C18," - ",$B18),[2]ACHIEV!$B$12:$C$100,2,FALSE)</f>
        <v>Retro3Slow</v>
      </c>
      <c r="B18" s="546" t="str">
        <f>'SC-Retro'!$C$7</f>
        <v>Retro</v>
      </c>
      <c r="C18" s="546" t="str">
        <f>'SC-Retro'!$C$8</f>
        <v>Advanced Power Strips</v>
      </c>
      <c r="D18" s="546" t="s">
        <v>1132</v>
      </c>
      <c r="E18" s="546" t="str">
        <f>'SC-Retro'!$A$9</f>
        <v>Electronics</v>
      </c>
      <c r="F18" s="547">
        <f t="shared" si="1"/>
        <v>6.7339705814560636E-3</v>
      </c>
      <c r="G18" s="64">
        <f>'SC-Retro'!A88</f>
        <v>42.910133077431247</v>
      </c>
      <c r="H18" s="64">
        <f>'SC-Retro'!B88</f>
        <v>-8.9100081856585778</v>
      </c>
      <c r="I18" s="9" t="str">
        <f>'SC-Retro'!C88</f>
        <v>Manufactured</v>
      </c>
      <c r="J18" s="9" t="str">
        <f>'SC-Retro'!D88</f>
        <v>Occupancy sensing advanced power strip</v>
      </c>
      <c r="K18" s="36">
        <f>'SC-Retro'!E88</f>
        <v>2.2701130903195624E-3</v>
      </c>
      <c r="L18" s="36">
        <f>'SC-Retro'!F88</f>
        <v>3.5078759804483437E-3</v>
      </c>
      <c r="M18" s="36">
        <f>'SC-Retro'!G88</f>
        <v>6.8968400319993758E-3</v>
      </c>
      <c r="N18" s="36">
        <f>'SC-Retro'!H88</f>
        <v>1.1866168143985487E-2</v>
      </c>
      <c r="O18" s="36">
        <f>'SC-Retro'!I88</f>
        <v>1.8149536969737645E-2</v>
      </c>
      <c r="P18" s="36">
        <f>'SC-Retro'!J88</f>
        <v>2.5005084310402111E-2</v>
      </c>
      <c r="Q18" s="36">
        <f>'SC-Retro'!K88</f>
        <v>3.1315693383069942E-2</v>
      </c>
      <c r="R18" s="36">
        <f>'SC-Retro'!L88</f>
        <v>3.5949566599523579E-2</v>
      </c>
      <c r="S18" s="36">
        <f>'SC-Retro'!M88</f>
        <v>3.8093312441147033E-2</v>
      </c>
      <c r="T18" s="36">
        <f>'SC-Retro'!N88</f>
        <v>3.7480216602124618E-2</v>
      </c>
      <c r="U18" s="36">
        <f>'SC-Retro'!O88</f>
        <v>3.4416614444400001E-2</v>
      </c>
      <c r="V18" s="36">
        <f>'SC-Retro'!P88</f>
        <v>2.9626135701952709E-2</v>
      </c>
      <c r="W18" s="36">
        <f>'SC-Retro'!Q88</f>
        <v>2.4001160187734578E-2</v>
      </c>
      <c r="X18" s="36">
        <f>'SC-Retro'!R88</f>
        <v>1.8363402624175289E-2</v>
      </c>
      <c r="Y18" s="36">
        <f>'SC-Retro'!S88</f>
        <v>1.3310201934963099E-2</v>
      </c>
      <c r="Z18" s="36">
        <f>'SC-Retro'!T88</f>
        <v>9.1460202190894891E-3</v>
      </c>
      <c r="AA18" s="36">
        <f>'SC-Retro'!U88</f>
        <v>5.9851276018707345E-3</v>
      </c>
      <c r="AB18" s="36">
        <f>'SC-Retro'!V88</f>
        <v>3.7384950478294185E-3</v>
      </c>
      <c r="AC18" s="36">
        <f>'SC-Retro'!W88</f>
        <v>2.2335909256083197E-3</v>
      </c>
      <c r="AD18" s="36">
        <f>'SC-Retro'!X88</f>
        <v>1.2941225988634133E-3</v>
      </c>
      <c r="AE18" s="36">
        <f>'SC-Retro'!Y88</f>
        <v>0.30042148031281696</v>
      </c>
      <c r="AF18" s="548">
        <f t="shared" si="2"/>
        <v>1.248841487453902</v>
      </c>
      <c r="AG18" s="548">
        <f t="shared" si="3"/>
        <v>1.1074997156117752</v>
      </c>
      <c r="AH18" s="548">
        <f t="shared" si="4"/>
        <v>1.9676886869005692</v>
      </c>
      <c r="AI18" s="548">
        <f t="shared" si="5"/>
        <v>2.4817313406299237</v>
      </c>
      <c r="AJ18" s="548">
        <f t="shared" si="6"/>
        <v>2.6413879760918486</v>
      </c>
      <c r="AK18" s="548">
        <f t="shared" si="7"/>
        <v>2.3143741725899498</v>
      </c>
      <c r="AL18" s="548">
        <f t="shared" si="8"/>
        <v>2.3248331479556512</v>
      </c>
      <c r="AM18" s="548">
        <f t="shared" si="9"/>
        <v>2.317097978671983</v>
      </c>
      <c r="AN18" s="548">
        <f t="shared" si="10"/>
        <v>2.1434373846780539</v>
      </c>
      <c r="AO18" s="548">
        <f t="shared" si="11"/>
        <v>2.2774562081790668</v>
      </c>
      <c r="AP18" s="548">
        <f t="shared" si="12"/>
        <v>2.2740270856434055</v>
      </c>
      <c r="AQ18" s="548">
        <f t="shared" si="13"/>
        <v>2.534534862760097</v>
      </c>
      <c r="AR18" s="548"/>
      <c r="AS18" s="548">
        <f t="shared" si="14"/>
        <v>0.95293642818706803</v>
      </c>
      <c r="AT18" s="548">
        <f t="shared" si="15"/>
        <v>0.79875601435294175</v>
      </c>
      <c r="AU18" s="548">
        <f t="shared" si="16"/>
        <v>1.1350121859184539</v>
      </c>
      <c r="AV18" s="548">
        <f t="shared" si="17"/>
        <v>1.7321388062956955</v>
      </c>
      <c r="AW18" s="548">
        <f t="shared" si="18"/>
        <v>1.8805046877615126</v>
      </c>
      <c r="AX18" s="548">
        <f t="shared" si="19"/>
        <v>1.5086785618672223</v>
      </c>
      <c r="AY18" s="548">
        <f t="shared" si="20"/>
        <v>1.7745882538779192</v>
      </c>
      <c r="AZ18" s="548">
        <f t="shared" si="21"/>
        <v>1.2596947191295036</v>
      </c>
      <c r="BA18" s="548">
        <f t="shared" si="22"/>
        <v>1.5212356878531683</v>
      </c>
      <c r="BB18" s="548">
        <f t="shared" si="23"/>
        <v>1.3048665072087162</v>
      </c>
      <c r="BC18" s="548">
        <f t="shared" si="24"/>
        <v>1.6401365576097882</v>
      </c>
      <c r="BD18" s="548">
        <f t="shared" si="25"/>
        <v>1.7686746202030288</v>
      </c>
    </row>
    <row r="19" spans="1:56" ht="15">
      <c r="A19" s="546" t="str">
        <f>VLOOKUP(CONCATENATE($C19," - ",$B19),[2]ACHIEV!$B$12:$C$100,2,FALSE)</f>
        <v>Retro3Slow</v>
      </c>
      <c r="B19" s="546" t="str">
        <f>'SC-Retro'!$C$7</f>
        <v>Retro</v>
      </c>
      <c r="C19" s="546" t="str">
        <f>'SC-Retro'!$C$8</f>
        <v>Advanced Power Strips</v>
      </c>
      <c r="D19" s="546" t="s">
        <v>1132</v>
      </c>
      <c r="E19" s="546" t="str">
        <f>'SC-Retro'!$A$9</f>
        <v>Electronics</v>
      </c>
      <c r="F19" s="547">
        <f t="shared" si="1"/>
        <v>5.7649420572911621E-2</v>
      </c>
      <c r="G19" s="64">
        <f>'SC-Retro'!A89</f>
        <v>268.66551402974153</v>
      </c>
      <c r="H19" s="64">
        <f>'SC-Retro'!B89</f>
        <v>46.658919133400126</v>
      </c>
      <c r="I19" s="9" t="str">
        <f>'SC-Retro'!C89</f>
        <v>Single Family</v>
      </c>
      <c r="J19" s="9" t="str">
        <f>'SC-Retro'!D89</f>
        <v>Infrared sensing advanced power strip</v>
      </c>
      <c r="K19" s="36">
        <f>'SC-Retro'!E89</f>
        <v>0.62249570850496605</v>
      </c>
      <c r="L19" s="36">
        <f>'SC-Retro'!F89</f>
        <v>1.0561535768019863</v>
      </c>
      <c r="M19" s="36">
        <f>'SC-Retro'!G89</f>
        <v>2.2365808004236052</v>
      </c>
      <c r="N19" s="36">
        <f>'SC-Retro'!H89</f>
        <v>4.0876654397086529</v>
      </c>
      <c r="O19" s="36">
        <f>'SC-Retro'!I89</f>
        <v>7.3590037085931588</v>
      </c>
      <c r="P19" s="36">
        <f>'SC-Retro'!J89</f>
        <v>10.464381944853143</v>
      </c>
      <c r="Q19" s="36">
        <f>'SC-Retro'!K89</f>
        <v>13.512254402691894</v>
      </c>
      <c r="R19" s="36">
        <f>'SC-Retro'!L89</f>
        <v>15.984330731994918</v>
      </c>
      <c r="S19" s="36">
        <f>'SC-Retro'!M89</f>
        <v>17.444614093020462</v>
      </c>
      <c r="T19" s="36">
        <f>'SC-Retro'!N89</f>
        <v>17.665172304028207</v>
      </c>
      <c r="U19" s="36">
        <f>'SC-Retro'!O89</f>
        <v>16.689279236295171</v>
      </c>
      <c r="V19" s="36">
        <f>'SC-Retro'!P89</f>
        <v>14.776258439595964</v>
      </c>
      <c r="W19" s="36">
        <f>'SC-Retro'!Q89</f>
        <v>12.305327294323796</v>
      </c>
      <c r="X19" s="36">
        <f>'SC-Retro'!R89</f>
        <v>9.6723745622824229</v>
      </c>
      <c r="Y19" s="36">
        <f>'SC-Retro'!S89</f>
        <v>7.2010309599737372</v>
      </c>
      <c r="Z19" s="36">
        <f>'SC-Retro'!T89</f>
        <v>5.0861540072981715</v>
      </c>
      <c r="AA19" s="36">
        <f>'SC-Retro'!U89</f>
        <v>3.4208113698399432</v>
      </c>
      <c r="AB19" s="36">
        <f>'SC-Retro'!V89</f>
        <v>2.1952151748948303</v>
      </c>
      <c r="AC19" s="36">
        <f>'SC-Retro'!W89</f>
        <v>1.3473394782997317</v>
      </c>
      <c r="AD19" s="36">
        <f>'SC-Retro'!X89</f>
        <v>0.79246898610670491</v>
      </c>
      <c r="AE19" s="36">
        <f>'SC-Retro'!Y89</f>
        <v>183.96611427485072</v>
      </c>
      <c r="AF19" s="548">
        <f t="shared" si="2"/>
        <v>17.831318380953835</v>
      </c>
      <c r="AG19" s="548">
        <f t="shared" si="3"/>
        <v>14.992781313023245</v>
      </c>
      <c r="AH19" s="548">
        <f t="shared" si="4"/>
        <v>17.616631632279553</v>
      </c>
      <c r="AI19" s="548">
        <f t="shared" si="5"/>
        <v>12.956035877768267</v>
      </c>
      <c r="AJ19" s="548">
        <f t="shared" si="6"/>
        <v>13.829550633491598</v>
      </c>
      <c r="AK19" s="548">
        <f t="shared" si="7"/>
        <v>14.683416912373106</v>
      </c>
      <c r="AL19" s="548">
        <f t="shared" si="8"/>
        <v>13.14410859909767</v>
      </c>
      <c r="AM19" s="548">
        <f t="shared" si="9"/>
        <v>15.656132376931934</v>
      </c>
      <c r="AN19" s="548">
        <f t="shared" si="10"/>
        <v>13.354466994339782</v>
      </c>
      <c r="AO19" s="548">
        <f t="shared" si="11"/>
        <v>16.218575944482986</v>
      </c>
      <c r="AP19" s="548">
        <f t="shared" si="12"/>
        <v>14.8573999262311</v>
      </c>
      <c r="AQ19" s="548">
        <f t="shared" si="13"/>
        <v>15.627978305676624</v>
      </c>
      <c r="AR19" s="548"/>
      <c r="AS19" s="548">
        <f t="shared" si="14"/>
        <v>9.1131544498705921</v>
      </c>
      <c r="AT19" s="548">
        <f t="shared" si="15"/>
        <v>7.4889716255511036</v>
      </c>
      <c r="AU19" s="548">
        <f t="shared" si="16"/>
        <v>7.1806362404258843</v>
      </c>
      <c r="AV19" s="548">
        <f t="shared" si="17"/>
        <v>6.9973436727584879</v>
      </c>
      <c r="AW19" s="548">
        <f t="shared" si="18"/>
        <v>7.5976700872860086</v>
      </c>
      <c r="AX19" s="548">
        <f t="shared" si="19"/>
        <v>6.7891720968089286</v>
      </c>
      <c r="AY19" s="548">
        <f t="shared" si="20"/>
        <v>7.9022041122260784</v>
      </c>
      <c r="AZ19" s="548">
        <f t="shared" si="21"/>
        <v>6.1687103867513944</v>
      </c>
      <c r="BA19" s="548">
        <f t="shared" si="22"/>
        <v>6.6841732375273581</v>
      </c>
      <c r="BB19" s="548">
        <f t="shared" si="23"/>
        <v>6.0820848947009694</v>
      </c>
      <c r="BC19" s="548">
        <f t="shared" si="24"/>
        <v>7.6693586132916893</v>
      </c>
      <c r="BD19" s="548">
        <f t="shared" si="25"/>
        <v>8.2236377158933571</v>
      </c>
    </row>
    <row r="20" spans="1:56" ht="15">
      <c r="A20" s="546" t="str">
        <f>VLOOKUP(CONCATENATE($C20," - ",$B20),[2]ACHIEV!$B$12:$C$100,2,FALSE)</f>
        <v>Retro3Slow</v>
      </c>
      <c r="B20" s="546" t="str">
        <f>'SC-Retro'!$C$7</f>
        <v>Retro</v>
      </c>
      <c r="C20" s="546" t="str">
        <f>'SC-Retro'!$C$8</f>
        <v>Advanced Power Strips</v>
      </c>
      <c r="D20" s="546" t="s">
        <v>1132</v>
      </c>
      <c r="E20" s="546" t="str">
        <f>'SC-Retro'!$A$9</f>
        <v>Electronics</v>
      </c>
      <c r="F20" s="547">
        <f t="shared" si="1"/>
        <v>5.7649420572911621E-2</v>
      </c>
      <c r="G20" s="64">
        <f>'SC-Retro'!A90</f>
        <v>268.66551402974153</v>
      </c>
      <c r="H20" s="64">
        <f>'SC-Retro'!B90</f>
        <v>46.658919133400126</v>
      </c>
      <c r="I20" s="9" t="str">
        <f>'SC-Retro'!C90</f>
        <v>Multifamily - Low Rise</v>
      </c>
      <c r="J20" s="9" t="str">
        <f>'SC-Retro'!D90</f>
        <v>Infrared sensing advanced power strip</v>
      </c>
      <c r="K20" s="36">
        <f>'SC-Retro'!E90</f>
        <v>6.6684832727695195E-2</v>
      </c>
      <c r="L20" s="36">
        <f>'SC-Retro'!F90</f>
        <v>0.11405137251344014</v>
      </c>
      <c r="M20" s="36">
        <f>'SC-Retro'!G90</f>
        <v>0.24342425465446443</v>
      </c>
      <c r="N20" s="36">
        <f>'SC-Retro'!H90</f>
        <v>0.44847973084692067</v>
      </c>
      <c r="O20" s="36">
        <f>'SC-Retro'!I90</f>
        <v>0.81152732225093538</v>
      </c>
      <c r="P20" s="36">
        <f>'SC-Retro'!J90</f>
        <v>1.16188036738112</v>
      </c>
      <c r="Q20" s="36">
        <f>'SC-Retro'!K90</f>
        <v>1.5100657630459371</v>
      </c>
      <c r="R20" s="36">
        <f>'SC-Retro'!L90</f>
        <v>1.7978559042135065</v>
      </c>
      <c r="S20" s="36">
        <f>'SC-Retro'!M90</f>
        <v>1.9750716259263066</v>
      </c>
      <c r="T20" s="36">
        <f>'SC-Retro'!N90</f>
        <v>2.0138833639399456</v>
      </c>
      <c r="U20" s="36">
        <f>'SC-Retro'!O90</f>
        <v>1.9158883289718025</v>
      </c>
      <c r="V20" s="36">
        <f>'SC-Retro'!P90</f>
        <v>1.7077101609854448</v>
      </c>
      <c r="W20" s="36">
        <f>'SC-Retro'!Q90</f>
        <v>1.4316267727446053</v>
      </c>
      <c r="X20" s="36">
        <f>'SC-Retro'!R90</f>
        <v>1.132907078874128</v>
      </c>
      <c r="Y20" s="36">
        <f>'SC-Retro'!S90</f>
        <v>0.84883666025268323</v>
      </c>
      <c r="Z20" s="36">
        <f>'SC-Retro'!T90</f>
        <v>0.6031765535520992</v>
      </c>
      <c r="AA20" s="36">
        <f>'SC-Retro'!U90</f>
        <v>0.40797854523473392</v>
      </c>
      <c r="AB20" s="36">
        <f>'SC-Retro'!V90</f>
        <v>0.26327513620153947</v>
      </c>
      <c r="AC20" s="36">
        <f>'SC-Retro'!W90</f>
        <v>0.16244946846550928</v>
      </c>
      <c r="AD20" s="36">
        <f>'SC-Retro'!X90</f>
        <v>9.6021122351990937E-2</v>
      </c>
      <c r="AE20" s="36">
        <f>'SC-Retro'!Y90</f>
        <v>22.290629762294909</v>
      </c>
      <c r="AF20" s="548">
        <f t="shared" si="2"/>
        <v>17.831318380953835</v>
      </c>
      <c r="AG20" s="548">
        <f t="shared" si="3"/>
        <v>14.992781313023245</v>
      </c>
      <c r="AH20" s="548">
        <f t="shared" si="4"/>
        <v>17.616631632279553</v>
      </c>
      <c r="AI20" s="548">
        <f t="shared" si="5"/>
        <v>12.956035877768267</v>
      </c>
      <c r="AJ20" s="548">
        <f t="shared" si="6"/>
        <v>13.829550633491598</v>
      </c>
      <c r="AK20" s="548">
        <f t="shared" si="7"/>
        <v>14.683416912373106</v>
      </c>
      <c r="AL20" s="548">
        <f t="shared" si="8"/>
        <v>13.14410859909767</v>
      </c>
      <c r="AM20" s="548">
        <f t="shared" si="9"/>
        <v>15.656132376931934</v>
      </c>
      <c r="AN20" s="548">
        <f t="shared" si="10"/>
        <v>13.354466994339782</v>
      </c>
      <c r="AO20" s="548">
        <f t="shared" si="11"/>
        <v>16.218575944482986</v>
      </c>
      <c r="AP20" s="548">
        <f t="shared" si="12"/>
        <v>14.8573999262311</v>
      </c>
      <c r="AQ20" s="548">
        <f t="shared" si="13"/>
        <v>15.627978305676624</v>
      </c>
      <c r="AR20" s="548"/>
      <c r="AS20" s="548">
        <f t="shared" si="14"/>
        <v>9.1131544498705921</v>
      </c>
      <c r="AT20" s="548">
        <f t="shared" si="15"/>
        <v>7.4889716255511036</v>
      </c>
      <c r="AU20" s="548">
        <f t="shared" si="16"/>
        <v>7.1806362404258843</v>
      </c>
      <c r="AV20" s="548">
        <f t="shared" si="17"/>
        <v>6.9973436727584879</v>
      </c>
      <c r="AW20" s="548">
        <f t="shared" si="18"/>
        <v>7.5976700872860086</v>
      </c>
      <c r="AX20" s="548">
        <f t="shared" si="19"/>
        <v>6.7891720968089286</v>
      </c>
      <c r="AY20" s="548">
        <f t="shared" si="20"/>
        <v>7.9022041122260784</v>
      </c>
      <c r="AZ20" s="548">
        <f t="shared" si="21"/>
        <v>6.1687103867513944</v>
      </c>
      <c r="BA20" s="548">
        <f t="shared" si="22"/>
        <v>6.6841732375273581</v>
      </c>
      <c r="BB20" s="548">
        <f t="shared" si="23"/>
        <v>6.0820848947009694</v>
      </c>
      <c r="BC20" s="548">
        <f t="shared" si="24"/>
        <v>7.6693586132916893</v>
      </c>
      <c r="BD20" s="548">
        <f t="shared" si="25"/>
        <v>8.2236377158933571</v>
      </c>
    </row>
    <row r="21" spans="1:56" ht="15">
      <c r="A21" s="546" t="str">
        <f>VLOOKUP(CONCATENATE($C21," - ",$B21),[2]ACHIEV!$B$12:$C$100,2,FALSE)</f>
        <v>Retro3Slow</v>
      </c>
      <c r="B21" s="546" t="str">
        <f>'SC-Retro'!$C$7</f>
        <v>Retro</v>
      </c>
      <c r="C21" s="546" t="str">
        <f>'SC-Retro'!$C$8</f>
        <v>Advanced Power Strips</v>
      </c>
      <c r="D21" s="546" t="s">
        <v>1132</v>
      </c>
      <c r="E21" s="546" t="str">
        <f>'SC-Retro'!$A$9</f>
        <v>Electronics</v>
      </c>
      <c r="F21" s="547">
        <f t="shared" si="1"/>
        <v>5.7649420572911621E-2</v>
      </c>
      <c r="G21" s="64">
        <f>'SC-Retro'!A91</f>
        <v>268.66551402974153</v>
      </c>
      <c r="H21" s="64">
        <f>'SC-Retro'!B91</f>
        <v>46.658919133400126</v>
      </c>
      <c r="I21" s="9" t="str">
        <f>'SC-Retro'!C91</f>
        <v>Multifamily - High Rise</v>
      </c>
      <c r="J21" s="9" t="str">
        <f>'SC-Retro'!D91</f>
        <v>Infrared sensing advanced power strip</v>
      </c>
      <c r="K21" s="36">
        <f>'SC-Retro'!E91</f>
        <v>1.5203898336645452E-2</v>
      </c>
      <c r="L21" s="36">
        <f>'SC-Retro'!F91</f>
        <v>2.5993484887789832E-2</v>
      </c>
      <c r="M21" s="36">
        <f>'SC-Retro'!G91</f>
        <v>5.5478227069703838E-2</v>
      </c>
      <c r="N21" s="36">
        <f>'SC-Retro'!H91</f>
        <v>0.10224567285295832</v>
      </c>
      <c r="O21" s="36">
        <f>'SC-Retro'!I91</f>
        <v>0.18497595554531465</v>
      </c>
      <c r="P21" s="36">
        <f>'SC-Retro'!J91</f>
        <v>0.26468119324923223</v>
      </c>
      <c r="Q21" s="36">
        <f>'SC-Retro'!K91</f>
        <v>0.34391164827467668</v>
      </c>
      <c r="R21" s="36">
        <f>'SC-Retro'!L91</f>
        <v>0.40937818273280824</v>
      </c>
      <c r="S21" s="36">
        <f>'SC-Retro'!M91</f>
        <v>0.44974771108658723</v>
      </c>
      <c r="T21" s="36">
        <f>'SC-Retro'!N91</f>
        <v>0.45854568101074716</v>
      </c>
      <c r="U21" s="36">
        <f>'SC-Retro'!O91</f>
        <v>0.43619518457593681</v>
      </c>
      <c r="V21" s="36">
        <f>'SC-Retro'!P91</f>
        <v>0.38868839066818234</v>
      </c>
      <c r="W21" s="36">
        <f>'SC-Retro'!Q91</f>
        <v>0.3257514041295258</v>
      </c>
      <c r="X21" s="36">
        <f>'SC-Retro'!R91</f>
        <v>0.25767180427662995</v>
      </c>
      <c r="Y21" s="36">
        <f>'SC-Retro'!S91</f>
        <v>0.19300691318110716</v>
      </c>
      <c r="Z21" s="36">
        <f>'SC-Retro'!T91</f>
        <v>0.13712100947281153</v>
      </c>
      <c r="AA21" s="36">
        <f>'SC-Retro'!U91</f>
        <v>9.272733934304786E-2</v>
      </c>
      <c r="AB21" s="36">
        <f>'SC-Retro'!V91</f>
        <v>5.9827685768573863E-2</v>
      </c>
      <c r="AC21" s="36">
        <f>'SC-Retro'!W91</f>
        <v>3.6904077730066806E-2</v>
      </c>
      <c r="AD21" s="36">
        <f>'SC-Retro'!X91</f>
        <v>2.1811236492923547E-2</v>
      </c>
      <c r="AE21" s="36">
        <f>'SC-Retro'!Y91</f>
        <v>5.0633254997725388</v>
      </c>
      <c r="AF21" s="548">
        <f t="shared" si="2"/>
        <v>17.831318380953835</v>
      </c>
      <c r="AG21" s="548">
        <f t="shared" si="3"/>
        <v>14.992781313023245</v>
      </c>
      <c r="AH21" s="548">
        <f t="shared" si="4"/>
        <v>17.616631632279553</v>
      </c>
      <c r="AI21" s="548">
        <f t="shared" si="5"/>
        <v>12.956035877768267</v>
      </c>
      <c r="AJ21" s="548">
        <f t="shared" si="6"/>
        <v>13.829550633491598</v>
      </c>
      <c r="AK21" s="548">
        <f t="shared" si="7"/>
        <v>14.683416912373106</v>
      </c>
      <c r="AL21" s="548">
        <f t="shared" si="8"/>
        <v>13.14410859909767</v>
      </c>
      <c r="AM21" s="548">
        <f t="shared" si="9"/>
        <v>15.656132376931934</v>
      </c>
      <c r="AN21" s="548">
        <f t="shared" si="10"/>
        <v>13.354466994339782</v>
      </c>
      <c r="AO21" s="548">
        <f t="shared" si="11"/>
        <v>16.218575944482986</v>
      </c>
      <c r="AP21" s="548">
        <f t="shared" si="12"/>
        <v>14.8573999262311</v>
      </c>
      <c r="AQ21" s="548">
        <f t="shared" si="13"/>
        <v>15.627978305676624</v>
      </c>
      <c r="AR21" s="548"/>
      <c r="AS21" s="548">
        <f t="shared" si="14"/>
        <v>9.1131544498705921</v>
      </c>
      <c r="AT21" s="548">
        <f t="shared" si="15"/>
        <v>7.4889716255511036</v>
      </c>
      <c r="AU21" s="548">
        <f t="shared" si="16"/>
        <v>7.1806362404258843</v>
      </c>
      <c r="AV21" s="548">
        <f t="shared" si="17"/>
        <v>6.9973436727584879</v>
      </c>
      <c r="AW21" s="548">
        <f t="shared" si="18"/>
        <v>7.5976700872860086</v>
      </c>
      <c r="AX21" s="548">
        <f t="shared" si="19"/>
        <v>6.7891720968089286</v>
      </c>
      <c r="AY21" s="548">
        <f t="shared" si="20"/>
        <v>7.9022041122260784</v>
      </c>
      <c r="AZ21" s="548">
        <f t="shared" si="21"/>
        <v>6.1687103867513944</v>
      </c>
      <c r="BA21" s="548">
        <f t="shared" si="22"/>
        <v>6.6841732375273581</v>
      </c>
      <c r="BB21" s="548">
        <f t="shared" si="23"/>
        <v>6.0820848947009694</v>
      </c>
      <c r="BC21" s="548">
        <f t="shared" si="24"/>
        <v>7.6693586132916893</v>
      </c>
      <c r="BD21" s="548">
        <f t="shared" si="25"/>
        <v>8.2236377158933571</v>
      </c>
    </row>
    <row r="22" spans="1:56" ht="15">
      <c r="A22" s="546" t="str">
        <f>VLOOKUP(CONCATENATE($C22," - ",$B22),[2]ACHIEV!$B$12:$C$100,2,FALSE)</f>
        <v>Retro3Slow</v>
      </c>
      <c r="B22" s="546" t="str">
        <f>'SC-Retro'!$C$7</f>
        <v>Retro</v>
      </c>
      <c r="C22" s="546" t="str">
        <f>'SC-Retro'!$C$8</f>
        <v>Advanced Power Strips</v>
      </c>
      <c r="D22" s="546" t="s">
        <v>1132</v>
      </c>
      <c r="E22" s="546" t="str">
        <f>'SC-Retro'!$A$9</f>
        <v>Electronics</v>
      </c>
      <c r="F22" s="547">
        <f t="shared" si="1"/>
        <v>5.7649420572911621E-2</v>
      </c>
      <c r="G22" s="64">
        <f>'SC-Retro'!A92</f>
        <v>268.66551402974153</v>
      </c>
      <c r="H22" s="64">
        <f>'SC-Retro'!B92</f>
        <v>46.658919133400126</v>
      </c>
      <c r="I22" s="9" t="str">
        <f>'SC-Retro'!C92</f>
        <v>Manufactured</v>
      </c>
      <c r="J22" s="9" t="str">
        <f>'SC-Retro'!D92</f>
        <v>Infrared sensing advanced power strip</v>
      </c>
      <c r="K22" s="36">
        <f>'SC-Retro'!E92</f>
        <v>5.5617957803705542E-2</v>
      </c>
      <c r="L22" s="36">
        <f>'SC-Retro'!F92</f>
        <v>9.2309762466398146E-2</v>
      </c>
      <c r="M22" s="36">
        <f>'SC-Retro'!G92</f>
        <v>0.19153278899202647</v>
      </c>
      <c r="N22" s="36">
        <f>'SC-Retro'!H92</f>
        <v>0.34346814804967724</v>
      </c>
      <c r="O22" s="36">
        <f>'SC-Retro'!I92</f>
        <v>0.60953341065923294</v>
      </c>
      <c r="P22" s="36">
        <f>'SC-Retro'!J92</f>
        <v>0.8511486724641204</v>
      </c>
      <c r="Q22" s="36">
        <f>'SC-Retro'!K92</f>
        <v>1.0803150019832037</v>
      </c>
      <c r="R22" s="36">
        <f>'SC-Retro'!L92</f>
        <v>1.2571362085642719</v>
      </c>
      <c r="S22" s="36">
        <f>'SC-Retro'!M92</f>
        <v>1.3502913839161474</v>
      </c>
      <c r="T22" s="36">
        <f>'SC-Retro'!N92</f>
        <v>1.3464607207245289</v>
      </c>
      <c r="U22" s="36">
        <f>'SC-Retro'!O92</f>
        <v>1.2528840565495607</v>
      </c>
      <c r="V22" s="36">
        <f>'SC-Retro'!P92</f>
        <v>1.0928371335596665</v>
      </c>
      <c r="W22" s="36">
        <f>'SC-Retro'!Q92</f>
        <v>0.8969961147288944</v>
      </c>
      <c r="X22" s="36">
        <f>'SC-Retro'!R92</f>
        <v>0.69528351498603358</v>
      </c>
      <c r="Y22" s="36">
        <f>'SC-Retro'!S92</f>
        <v>0.51056061206563907</v>
      </c>
      <c r="Z22" s="36">
        <f>'SC-Retro'!T92</f>
        <v>0.35566023920706008</v>
      </c>
      <c r="AA22" s="36">
        <f>'SC-Retro'!U92</f>
        <v>0.23596481820463003</v>
      </c>
      <c r="AB22" s="36">
        <f>'SC-Retro'!V92</f>
        <v>0.14943109542426244</v>
      </c>
      <c r="AC22" s="36">
        <f>'SC-Retro'!W92</f>
        <v>9.0518205731148396E-2</v>
      </c>
      <c r="AD22" s="36">
        <f>'SC-Retro'!X92</f>
        <v>5.2549350731857597E-2</v>
      </c>
      <c r="AE22" s="36">
        <f>'SC-Retro'!Y92</f>
        <v>12.198963027310741</v>
      </c>
      <c r="AF22" s="548">
        <f t="shared" si="2"/>
        <v>17.831318380953835</v>
      </c>
      <c r="AG22" s="548">
        <f t="shared" si="3"/>
        <v>14.992781313023245</v>
      </c>
      <c r="AH22" s="548">
        <f t="shared" si="4"/>
        <v>17.616631632279553</v>
      </c>
      <c r="AI22" s="548">
        <f t="shared" si="5"/>
        <v>12.956035877768267</v>
      </c>
      <c r="AJ22" s="548">
        <f t="shared" si="6"/>
        <v>13.829550633491598</v>
      </c>
      <c r="AK22" s="548">
        <f t="shared" si="7"/>
        <v>14.683416912373106</v>
      </c>
      <c r="AL22" s="548">
        <f t="shared" si="8"/>
        <v>13.14410859909767</v>
      </c>
      <c r="AM22" s="548">
        <f t="shared" si="9"/>
        <v>15.656132376931934</v>
      </c>
      <c r="AN22" s="548">
        <f t="shared" si="10"/>
        <v>13.354466994339782</v>
      </c>
      <c r="AO22" s="548">
        <f t="shared" si="11"/>
        <v>16.218575944482986</v>
      </c>
      <c r="AP22" s="548">
        <f t="shared" si="12"/>
        <v>14.8573999262311</v>
      </c>
      <c r="AQ22" s="548">
        <f t="shared" si="13"/>
        <v>15.627978305676624</v>
      </c>
      <c r="AR22" s="548"/>
      <c r="AS22" s="548">
        <f t="shared" si="14"/>
        <v>9.1131544498705921</v>
      </c>
      <c r="AT22" s="548">
        <f t="shared" si="15"/>
        <v>7.4889716255511036</v>
      </c>
      <c r="AU22" s="548">
        <f t="shared" si="16"/>
        <v>7.1806362404258843</v>
      </c>
      <c r="AV22" s="548">
        <f t="shared" si="17"/>
        <v>6.9973436727584879</v>
      </c>
      <c r="AW22" s="548">
        <f t="shared" si="18"/>
        <v>7.5976700872860086</v>
      </c>
      <c r="AX22" s="548">
        <f t="shared" si="19"/>
        <v>6.7891720968089286</v>
      </c>
      <c r="AY22" s="548">
        <f t="shared" si="20"/>
        <v>7.9022041122260784</v>
      </c>
      <c r="AZ22" s="548">
        <f t="shared" si="21"/>
        <v>6.1687103867513944</v>
      </c>
      <c r="BA22" s="548">
        <f t="shared" si="22"/>
        <v>6.6841732375273581</v>
      </c>
      <c r="BB22" s="548">
        <f t="shared" si="23"/>
        <v>6.0820848947009694</v>
      </c>
      <c r="BC22" s="548">
        <f t="shared" si="24"/>
        <v>7.6693586132916893</v>
      </c>
      <c r="BD22" s="548">
        <f t="shared" si="25"/>
        <v>8.2236377158933571</v>
      </c>
    </row>
    <row r="23" spans="1:56" ht="15">
      <c r="A23" s="546" t="str">
        <f>VLOOKUP(CONCATENATE($C23," - ",$B23),[2]ACHIEV!$B$12:$C$100,2,FALSE)</f>
        <v>Retro3Slow</v>
      </c>
      <c r="B23" s="546" t="str">
        <f>'SC-Retro'!$C$7</f>
        <v>Retro</v>
      </c>
      <c r="C23" s="546" t="str">
        <f>'SC-Retro'!$C$8</f>
        <v>Advanced Power Strips</v>
      </c>
      <c r="D23" s="546" t="s">
        <v>1132</v>
      </c>
      <c r="E23" s="546" t="str">
        <f>'SC-Retro'!$A$9</f>
        <v>Electronics</v>
      </c>
      <c r="F23" s="547">
        <f t="shared" si="1"/>
        <v>5.0504779360920479E-3</v>
      </c>
      <c r="G23" s="64">
        <f>'SC-Retro'!A93</f>
        <v>32.182599808073434</v>
      </c>
      <c r="H23" s="64">
        <f>'SC-Retro'!B93</f>
        <v>236.63736937731289</v>
      </c>
      <c r="I23" s="9" t="str">
        <f>'SC-Retro'!C93</f>
        <v>Single Family</v>
      </c>
      <c r="J23" s="9" t="str">
        <f>'SC-Retro'!D93</f>
        <v>Load sensing advanced power strip</v>
      </c>
      <c r="K23" s="36">
        <f>'SC-Retro'!E93</f>
        <v>9.217769955292425E-2</v>
      </c>
      <c r="L23" s="36">
        <f>'SC-Retro'!F93</f>
        <v>0.1517151337108176</v>
      </c>
      <c r="M23" s="36">
        <f>'SC-Retro'!G93</f>
        <v>0.3143273322729967</v>
      </c>
      <c r="N23" s="36">
        <f>'SC-Retro'!H93</f>
        <v>0.56521050118494776</v>
      </c>
      <c r="O23" s="36">
        <f>'SC-Retro'!I93</f>
        <v>0.96466373899155822</v>
      </c>
      <c r="P23" s="36">
        <f>'SC-Retro'!J93</f>
        <v>1.3648963057852932</v>
      </c>
      <c r="Q23" s="36">
        <f>'SC-Retro'!K93</f>
        <v>1.7539052399160504</v>
      </c>
      <c r="R23" s="36">
        <f>'SC-Retro'!L93</f>
        <v>2.0648149614487856</v>
      </c>
      <c r="S23" s="36">
        <f>'SC-Retro'!M93</f>
        <v>2.2428421956242786</v>
      </c>
      <c r="T23" s="36">
        <f>'SC-Retro'!N93</f>
        <v>2.2608319237459784</v>
      </c>
      <c r="U23" s="36">
        <f>'SC-Retro'!O93</f>
        <v>2.1264301627968623</v>
      </c>
      <c r="V23" s="36">
        <f>'SC-Retro'!P93</f>
        <v>1.8744608028546057</v>
      </c>
      <c r="W23" s="36">
        <f>'SC-Retro'!Q93</f>
        <v>1.5543670571053407</v>
      </c>
      <c r="X23" s="36">
        <f>'SC-Retro'!R93</f>
        <v>1.2166955222091138</v>
      </c>
      <c r="Y23" s="36">
        <f>'SC-Retro'!S93</f>
        <v>0.90210297930901262</v>
      </c>
      <c r="Z23" s="36">
        <f>'SC-Retro'!T93</f>
        <v>0.63446005968409092</v>
      </c>
      <c r="AA23" s="36">
        <f>'SC-Retro'!U93</f>
        <v>0.42492695899938626</v>
      </c>
      <c r="AB23" s="36">
        <f>'SC-Retro'!V93</f>
        <v>0.27155726339203884</v>
      </c>
      <c r="AC23" s="36">
        <f>'SC-Retro'!W93</f>
        <v>0.16598866292272879</v>
      </c>
      <c r="AD23" s="36">
        <f>'SC-Retro'!X93</f>
        <v>9.754499926360552E-2</v>
      </c>
      <c r="AE23" s="36">
        <f>'SC-Retro'!Y93</f>
        <v>22.644387094099375</v>
      </c>
      <c r="AF23" s="548">
        <f t="shared" si="2"/>
        <v>0.93663111559042656</v>
      </c>
      <c r="AG23" s="548">
        <f t="shared" si="3"/>
        <v>0.83062478670883133</v>
      </c>
      <c r="AH23" s="548">
        <f t="shared" si="4"/>
        <v>1.4757665151754269</v>
      </c>
      <c r="AI23" s="548">
        <f t="shared" si="5"/>
        <v>1.8612985054724429</v>
      </c>
      <c r="AJ23" s="548">
        <f t="shared" si="6"/>
        <v>1.9810409820688863</v>
      </c>
      <c r="AK23" s="548">
        <f t="shared" si="7"/>
        <v>1.7357806294424625</v>
      </c>
      <c r="AL23" s="548">
        <f t="shared" si="8"/>
        <v>1.7436248609667384</v>
      </c>
      <c r="AM23" s="548">
        <f t="shared" si="9"/>
        <v>1.737823484003987</v>
      </c>
      <c r="AN23" s="548">
        <f t="shared" si="10"/>
        <v>1.6075780385085403</v>
      </c>
      <c r="AO23" s="548">
        <f t="shared" si="11"/>
        <v>1.7080921561343001</v>
      </c>
      <c r="AP23" s="548">
        <f t="shared" si="12"/>
        <v>1.7055203142325539</v>
      </c>
      <c r="AQ23" s="548">
        <f t="shared" si="13"/>
        <v>1.900901147070073</v>
      </c>
      <c r="AR23" s="548"/>
      <c r="AS23" s="548">
        <f t="shared" si="14"/>
        <v>0.71470232114030108</v>
      </c>
      <c r="AT23" s="548">
        <f t="shared" si="15"/>
        <v>0.59906701076470636</v>
      </c>
      <c r="AU23" s="548">
        <f t="shared" si="16"/>
        <v>0.85125913943884035</v>
      </c>
      <c r="AV23" s="548">
        <f t="shared" si="17"/>
        <v>1.2991041047217715</v>
      </c>
      <c r="AW23" s="548">
        <f t="shared" si="18"/>
        <v>1.4103785158211344</v>
      </c>
      <c r="AX23" s="548">
        <f t="shared" si="19"/>
        <v>1.1315089214004166</v>
      </c>
      <c r="AY23" s="548">
        <f t="shared" si="20"/>
        <v>1.3309411904084394</v>
      </c>
      <c r="AZ23" s="548">
        <f t="shared" si="21"/>
        <v>0.94477103934712769</v>
      </c>
      <c r="BA23" s="548">
        <f t="shared" si="22"/>
        <v>1.1409267658898763</v>
      </c>
      <c r="BB23" s="548">
        <f t="shared" si="23"/>
        <v>0.97864988040653711</v>
      </c>
      <c r="BC23" s="548">
        <f t="shared" si="24"/>
        <v>1.2301024182073412</v>
      </c>
      <c r="BD23" s="548">
        <f t="shared" si="25"/>
        <v>1.3265059651522715</v>
      </c>
    </row>
    <row r="24" spans="1:56" ht="15">
      <c r="A24" s="546" t="str">
        <f>VLOOKUP(CONCATENATE($C24," - ",$B24),[2]ACHIEV!$B$12:$C$100,2,FALSE)</f>
        <v>Retro3Slow</v>
      </c>
      <c r="B24" s="546" t="str">
        <f>'SC-Retro'!$C$7</f>
        <v>Retro</v>
      </c>
      <c r="C24" s="546" t="str">
        <f>'SC-Retro'!$C$8</f>
        <v>Advanced Power Strips</v>
      </c>
      <c r="D24" s="546" t="s">
        <v>1132</v>
      </c>
      <c r="E24" s="546" t="str">
        <f>'SC-Retro'!$A$9</f>
        <v>Electronics</v>
      </c>
      <c r="F24" s="547">
        <f t="shared" si="1"/>
        <v>5.0504779360920479E-3</v>
      </c>
      <c r="G24" s="64">
        <f>'SC-Retro'!A94</f>
        <v>32.182599808073434</v>
      </c>
      <c r="H24" s="64">
        <f>'SC-Retro'!B94</f>
        <v>236.63736937731289</v>
      </c>
      <c r="I24" s="9" t="str">
        <f>'SC-Retro'!C94</f>
        <v>Multifamily - Low Rise</v>
      </c>
      <c r="J24" s="9" t="str">
        <f>'SC-Retro'!D94</f>
        <v>Load sensing advanced power strip</v>
      </c>
      <c r="K24" s="36">
        <f>'SC-Retro'!E94</f>
        <v>8.9870688038454754E-3</v>
      </c>
      <c r="L24" s="36">
        <f>'SC-Retro'!F94</f>
        <v>1.4919813568239059E-2</v>
      </c>
      <c r="M24" s="36">
        <f>'SC-Retro'!G94</f>
        <v>3.1176456176157569E-2</v>
      </c>
      <c r="N24" s="36">
        <f>'SC-Retro'!H94</f>
        <v>5.6552940578173345E-2</v>
      </c>
      <c r="O24" s="36">
        <f>'SC-Retro'!I94</f>
        <v>9.7150464929116789E-2</v>
      </c>
      <c r="P24" s="36">
        <f>'SC-Retro'!J94</f>
        <v>0.13847247468501167</v>
      </c>
      <c r="Q24" s="36">
        <f>'SC-Retro'!K94</f>
        <v>0.1791909480199671</v>
      </c>
      <c r="R24" s="36">
        <f>'SC-Retro'!L94</f>
        <v>0.21242588490721112</v>
      </c>
      <c r="S24" s="36">
        <f>'SC-Retro'!M94</f>
        <v>0.23238588598211815</v>
      </c>
      <c r="T24" s="36">
        <f>'SC-Retro'!N94</f>
        <v>0.23599095993706029</v>
      </c>
      <c r="U24" s="36">
        <f>'SC-Retro'!O94</f>
        <v>0.22362370687468461</v>
      </c>
      <c r="V24" s="36">
        <f>'SC-Retro'!P94</f>
        <v>0.19855738770271428</v>
      </c>
      <c r="W24" s="36">
        <f>'SC-Retro'!Q94</f>
        <v>0.1658344583240299</v>
      </c>
      <c r="X24" s="36">
        <f>'SC-Retro'!R94</f>
        <v>0.13075239645379971</v>
      </c>
      <c r="Y24" s="36">
        <f>'SC-Retro'!S94</f>
        <v>9.7615280251294484E-2</v>
      </c>
      <c r="Z24" s="36">
        <f>'SC-Retro'!T94</f>
        <v>6.9108967855463596E-2</v>
      </c>
      <c r="AA24" s="36">
        <f>'SC-Retro'!U94</f>
        <v>4.6574126437976038E-2</v>
      </c>
      <c r="AB24" s="36">
        <f>'SC-Retro'!V94</f>
        <v>2.9947608549357008E-2</v>
      </c>
      <c r="AC24" s="36">
        <f>'SC-Retro'!W94</f>
        <v>1.8413519050285439E-2</v>
      </c>
      <c r="AD24" s="36">
        <f>'SC-Retro'!X94</f>
        <v>1.0876658740631108E-2</v>
      </c>
      <c r="AE24" s="36">
        <f>'SC-Retro'!Y94</f>
        <v>2.5249400038200021</v>
      </c>
      <c r="AF24" s="548">
        <f t="shared" si="2"/>
        <v>0.93663111559042656</v>
      </c>
      <c r="AG24" s="548">
        <f t="shared" si="3"/>
        <v>0.83062478670883133</v>
      </c>
      <c r="AH24" s="548">
        <f t="shared" si="4"/>
        <v>1.4757665151754269</v>
      </c>
      <c r="AI24" s="548">
        <f t="shared" si="5"/>
        <v>1.8612985054724429</v>
      </c>
      <c r="AJ24" s="548">
        <f t="shared" si="6"/>
        <v>1.9810409820688863</v>
      </c>
      <c r="AK24" s="548">
        <f t="shared" si="7"/>
        <v>1.7357806294424625</v>
      </c>
      <c r="AL24" s="548">
        <f t="shared" si="8"/>
        <v>1.7436248609667384</v>
      </c>
      <c r="AM24" s="548">
        <f t="shared" si="9"/>
        <v>1.737823484003987</v>
      </c>
      <c r="AN24" s="548">
        <f t="shared" si="10"/>
        <v>1.6075780385085403</v>
      </c>
      <c r="AO24" s="548">
        <f t="shared" si="11"/>
        <v>1.7080921561343001</v>
      </c>
      <c r="AP24" s="548">
        <f t="shared" si="12"/>
        <v>1.7055203142325539</v>
      </c>
      <c r="AQ24" s="548">
        <f t="shared" si="13"/>
        <v>1.900901147070073</v>
      </c>
      <c r="AR24" s="548"/>
      <c r="AS24" s="548">
        <f t="shared" si="14"/>
        <v>0.71470232114030108</v>
      </c>
      <c r="AT24" s="548">
        <f t="shared" si="15"/>
        <v>0.59906701076470636</v>
      </c>
      <c r="AU24" s="548">
        <f t="shared" si="16"/>
        <v>0.85125913943884035</v>
      </c>
      <c r="AV24" s="548">
        <f t="shared" si="17"/>
        <v>1.2991041047217715</v>
      </c>
      <c r="AW24" s="548">
        <f t="shared" si="18"/>
        <v>1.4103785158211344</v>
      </c>
      <c r="AX24" s="548">
        <f t="shared" si="19"/>
        <v>1.1315089214004166</v>
      </c>
      <c r="AY24" s="548">
        <f t="shared" si="20"/>
        <v>1.3309411904084394</v>
      </c>
      <c r="AZ24" s="548">
        <f t="shared" si="21"/>
        <v>0.94477103934712769</v>
      </c>
      <c r="BA24" s="548">
        <f t="shared" si="22"/>
        <v>1.1409267658898763</v>
      </c>
      <c r="BB24" s="548">
        <f t="shared" si="23"/>
        <v>0.97864988040653711</v>
      </c>
      <c r="BC24" s="548">
        <f t="shared" si="24"/>
        <v>1.2301024182073412</v>
      </c>
      <c r="BD24" s="548">
        <f t="shared" si="25"/>
        <v>1.3265059651522715</v>
      </c>
    </row>
    <row r="25" spans="1:56" ht="15">
      <c r="A25" s="546" t="str">
        <f>VLOOKUP(CONCATENATE($C25," - ",$B25),[2]ACHIEV!$B$12:$C$100,2,FALSE)</f>
        <v>Retro3Slow</v>
      </c>
      <c r="B25" s="546" t="str">
        <f>'SC-Retro'!$C$7</f>
        <v>Retro</v>
      </c>
      <c r="C25" s="546" t="str">
        <f>'SC-Retro'!$C$8</f>
        <v>Advanced Power Strips</v>
      </c>
      <c r="D25" s="546" t="s">
        <v>1132</v>
      </c>
      <c r="E25" s="546" t="str">
        <f>'SC-Retro'!$A$9</f>
        <v>Electronics</v>
      </c>
      <c r="F25" s="547">
        <f t="shared" si="1"/>
        <v>5.0504779360920479E-3</v>
      </c>
      <c r="G25" s="64">
        <f>'SC-Retro'!A95</f>
        <v>32.182599808073434</v>
      </c>
      <c r="H25" s="64">
        <f>'SC-Retro'!B95</f>
        <v>236.63736937731289</v>
      </c>
      <c r="I25" s="9" t="str">
        <f>'SC-Retro'!C95</f>
        <v>Multifamily - High Rise</v>
      </c>
      <c r="J25" s="9" t="str">
        <f>'SC-Retro'!D95</f>
        <v>Load sensing advanced power strip</v>
      </c>
      <c r="K25" s="36">
        <f>'SC-Retro'!E95</f>
        <v>2.0490188675446213E-3</v>
      </c>
      <c r="L25" s="36">
        <f>'SC-Retro'!F95</f>
        <v>3.4003794953801365E-3</v>
      </c>
      <c r="M25" s="36">
        <f>'SC-Retro'!G95</f>
        <v>7.1052962685014941E-3</v>
      </c>
      <c r="N25" s="36">
        <f>'SC-Retro'!H95</f>
        <v>1.2892925248278196E-2</v>
      </c>
      <c r="O25" s="36">
        <f>'SC-Retro'!I95</f>
        <v>2.214373878409634E-2</v>
      </c>
      <c r="P25" s="36">
        <f>'SC-Retro'!J95</f>
        <v>3.1544222962400968E-2</v>
      </c>
      <c r="Q25" s="36">
        <f>'SC-Retro'!K95</f>
        <v>4.0809467116210467E-2</v>
      </c>
      <c r="R25" s="36">
        <f>'SC-Retro'!L95</f>
        <v>4.8369284262126132E-2</v>
      </c>
      <c r="S25" s="36">
        <f>'SC-Retro'!M95</f>
        <v>5.2915883518662631E-2</v>
      </c>
      <c r="T25" s="36">
        <f>'SC-Retro'!N95</f>
        <v>5.373189432178032E-2</v>
      </c>
      <c r="U25" s="36">
        <f>'SC-Retro'!O95</f>
        <v>5.0911428318085331E-2</v>
      </c>
      <c r="V25" s="36">
        <f>'SC-Retro'!P95</f>
        <v>4.5191746188776319E-2</v>
      </c>
      <c r="W25" s="36">
        <f>'SC-Retro'!Q95</f>
        <v>3.7732503674296848E-2</v>
      </c>
      <c r="X25" s="36">
        <f>'SC-Retro'!R95</f>
        <v>2.9737574278241741E-2</v>
      </c>
      <c r="Y25" s="36">
        <f>'SC-Retro'!S95</f>
        <v>2.2194620085596601E-2</v>
      </c>
      <c r="Z25" s="36">
        <f>'SC-Retro'!T95</f>
        <v>1.5709856211769475E-2</v>
      </c>
      <c r="AA25" s="36">
        <f>'SC-Retro'!U95</f>
        <v>1.0584988386243693E-2</v>
      </c>
      <c r="AB25" s="36">
        <f>'SC-Retro'!V95</f>
        <v>6.8049728460995631E-3</v>
      </c>
      <c r="AC25" s="36">
        <f>'SC-Retro'!W95</f>
        <v>4.1827525724688723E-3</v>
      </c>
      <c r="AD25" s="36">
        <f>'SC-Retro'!X95</f>
        <v>2.4704641340584578E-3</v>
      </c>
      <c r="AE25" s="36">
        <f>'SC-Retro'!Y95</f>
        <v>0.57350091317885732</v>
      </c>
      <c r="AF25" s="548">
        <f t="shared" si="2"/>
        <v>0.93663111559042656</v>
      </c>
      <c r="AG25" s="548">
        <f t="shared" si="3"/>
        <v>0.83062478670883133</v>
      </c>
      <c r="AH25" s="548">
        <f t="shared" si="4"/>
        <v>1.4757665151754269</v>
      </c>
      <c r="AI25" s="548">
        <f t="shared" si="5"/>
        <v>1.8612985054724429</v>
      </c>
      <c r="AJ25" s="548">
        <f t="shared" si="6"/>
        <v>1.9810409820688863</v>
      </c>
      <c r="AK25" s="548">
        <f t="shared" si="7"/>
        <v>1.7357806294424625</v>
      </c>
      <c r="AL25" s="548">
        <f t="shared" si="8"/>
        <v>1.7436248609667384</v>
      </c>
      <c r="AM25" s="548">
        <f t="shared" si="9"/>
        <v>1.737823484003987</v>
      </c>
      <c r="AN25" s="548">
        <f t="shared" si="10"/>
        <v>1.6075780385085403</v>
      </c>
      <c r="AO25" s="548">
        <f t="shared" si="11"/>
        <v>1.7080921561343001</v>
      </c>
      <c r="AP25" s="548">
        <f t="shared" si="12"/>
        <v>1.7055203142325539</v>
      </c>
      <c r="AQ25" s="548">
        <f t="shared" si="13"/>
        <v>1.900901147070073</v>
      </c>
      <c r="AR25" s="548"/>
      <c r="AS25" s="548">
        <f t="shared" si="14"/>
        <v>0.71470232114030108</v>
      </c>
      <c r="AT25" s="548">
        <f t="shared" si="15"/>
        <v>0.59906701076470636</v>
      </c>
      <c r="AU25" s="548">
        <f t="shared" si="16"/>
        <v>0.85125913943884035</v>
      </c>
      <c r="AV25" s="548">
        <f t="shared" si="17"/>
        <v>1.2991041047217715</v>
      </c>
      <c r="AW25" s="548">
        <f t="shared" si="18"/>
        <v>1.4103785158211344</v>
      </c>
      <c r="AX25" s="548">
        <f t="shared" si="19"/>
        <v>1.1315089214004166</v>
      </c>
      <c r="AY25" s="548">
        <f t="shared" si="20"/>
        <v>1.3309411904084394</v>
      </c>
      <c r="AZ25" s="548">
        <f t="shared" si="21"/>
        <v>0.94477103934712769</v>
      </c>
      <c r="BA25" s="548">
        <f t="shared" si="22"/>
        <v>1.1409267658898763</v>
      </c>
      <c r="BB25" s="548">
        <f t="shared" si="23"/>
        <v>0.97864988040653711</v>
      </c>
      <c r="BC25" s="548">
        <f t="shared" si="24"/>
        <v>1.2301024182073412</v>
      </c>
      <c r="BD25" s="548">
        <f t="shared" si="25"/>
        <v>1.3265059651522715</v>
      </c>
    </row>
    <row r="26" spans="1:56" ht="15">
      <c r="A26" s="546" t="str">
        <f>VLOOKUP(CONCATENATE($C26," - ",$B26),[2]ACHIEV!$B$12:$C$100,2,FALSE)</f>
        <v>Retro3Slow</v>
      </c>
      <c r="B26" s="546" t="str">
        <f>'SC-Retro'!$C$7</f>
        <v>Retro</v>
      </c>
      <c r="C26" s="546" t="str">
        <f>'SC-Retro'!$C$8</f>
        <v>Advanced Power Strips</v>
      </c>
      <c r="D26" s="546" t="s">
        <v>1132</v>
      </c>
      <c r="E26" s="546" t="str">
        <f>'SC-Retro'!$A$9</f>
        <v>Electronics</v>
      </c>
      <c r="F26" s="547">
        <f t="shared" si="1"/>
        <v>5.0504779360920479E-3</v>
      </c>
      <c r="G26" s="64">
        <f>'SC-Retro'!A96</f>
        <v>32.182599808073434</v>
      </c>
      <c r="H26" s="64">
        <f>'SC-Retro'!B96</f>
        <v>236.63736937731289</v>
      </c>
      <c r="I26" s="9" t="str">
        <f>'SC-Retro'!C96</f>
        <v>Manufactured</v>
      </c>
      <c r="J26" s="9" t="str">
        <f>'SC-Retro'!D96</f>
        <v>Load sensing advanced power strip</v>
      </c>
      <c r="K26" s="36">
        <f>'SC-Retro'!E96</f>
        <v>7.7977136691966724E-3</v>
      </c>
      <c r="L26" s="36">
        <f>'SC-Retro'!F96</f>
        <v>1.2562375161605825E-2</v>
      </c>
      <c r="M26" s="36">
        <f>'SC-Retro'!G96</f>
        <v>2.5508123859056361E-2</v>
      </c>
      <c r="N26" s="36">
        <f>'SC-Retro'!H96</f>
        <v>4.500991601945286E-2</v>
      </c>
      <c r="O26" s="36">
        <f>'SC-Retro'!I96</f>
        <v>7.5627758614238039E-2</v>
      </c>
      <c r="P26" s="36">
        <f>'SC-Retro'!J96</f>
        <v>0.10511121461480405</v>
      </c>
      <c r="Q26" s="36">
        <f>'SC-Retro'!K96</f>
        <v>0.13279552892401603</v>
      </c>
      <c r="R26" s="36">
        <f>'SC-Retro'!L96</f>
        <v>0.1538126167093522</v>
      </c>
      <c r="S26" s="36">
        <f>'SC-Retro'!M96</f>
        <v>0.16445049423386249</v>
      </c>
      <c r="T26" s="36">
        <f>'SC-Retro'!N96</f>
        <v>0.16324625375042626</v>
      </c>
      <c r="U26" s="36">
        <f>'SC-Retro'!O96</f>
        <v>0.15123075410812126</v>
      </c>
      <c r="V26" s="36">
        <f>'SC-Retro'!P96</f>
        <v>0.13133658152605449</v>
      </c>
      <c r="W26" s="36">
        <f>'SC-Retro'!Q96</f>
        <v>0.1073391464108302</v>
      </c>
      <c r="X26" s="36">
        <f>'SC-Retro'!R96</f>
        <v>8.2849907780380164E-2</v>
      </c>
      <c r="Y26" s="36">
        <f>'SC-Retro'!S96</f>
        <v>6.0583577942247578E-2</v>
      </c>
      <c r="Z26" s="36">
        <f>'SC-Retro'!T96</f>
        <v>4.2018963438128949E-2</v>
      </c>
      <c r="AA26" s="36">
        <f>'SC-Retro'!U96</f>
        <v>2.7756697628445643E-2</v>
      </c>
      <c r="AB26" s="36">
        <f>'SC-Retro'!V96</f>
        <v>1.7502087906605547E-2</v>
      </c>
      <c r="AC26" s="36">
        <f>'SC-Retro'!W96</f>
        <v>1.0556629408731198E-2</v>
      </c>
      <c r="AD26" s="36">
        <f>'SC-Retro'!X96</f>
        <v>6.124789882784051E-3</v>
      </c>
      <c r="AE26" s="36">
        <f>'SC-Retro'!Y96</f>
        <v>1.4218269929039022</v>
      </c>
      <c r="AF26" s="548">
        <f t="shared" si="2"/>
        <v>0.93663111559042656</v>
      </c>
      <c r="AG26" s="548">
        <f t="shared" si="3"/>
        <v>0.83062478670883133</v>
      </c>
      <c r="AH26" s="548">
        <f t="shared" si="4"/>
        <v>1.4757665151754269</v>
      </c>
      <c r="AI26" s="548">
        <f t="shared" si="5"/>
        <v>1.8612985054724429</v>
      </c>
      <c r="AJ26" s="548">
        <f t="shared" si="6"/>
        <v>1.9810409820688863</v>
      </c>
      <c r="AK26" s="548">
        <f t="shared" si="7"/>
        <v>1.7357806294424625</v>
      </c>
      <c r="AL26" s="548">
        <f t="shared" si="8"/>
        <v>1.7436248609667384</v>
      </c>
      <c r="AM26" s="548">
        <f t="shared" si="9"/>
        <v>1.737823484003987</v>
      </c>
      <c r="AN26" s="548">
        <f t="shared" si="10"/>
        <v>1.6075780385085403</v>
      </c>
      <c r="AO26" s="548">
        <f t="shared" si="11"/>
        <v>1.7080921561343001</v>
      </c>
      <c r="AP26" s="548">
        <f t="shared" si="12"/>
        <v>1.7055203142325539</v>
      </c>
      <c r="AQ26" s="548">
        <f t="shared" si="13"/>
        <v>1.900901147070073</v>
      </c>
      <c r="AR26" s="548"/>
      <c r="AS26" s="548">
        <f t="shared" si="14"/>
        <v>0.71470232114030108</v>
      </c>
      <c r="AT26" s="548">
        <f t="shared" si="15"/>
        <v>0.59906701076470636</v>
      </c>
      <c r="AU26" s="548">
        <f t="shared" si="16"/>
        <v>0.85125913943884035</v>
      </c>
      <c r="AV26" s="548">
        <f t="shared" si="17"/>
        <v>1.2991041047217715</v>
      </c>
      <c r="AW26" s="548">
        <f t="shared" si="18"/>
        <v>1.4103785158211344</v>
      </c>
      <c r="AX26" s="548">
        <f t="shared" si="19"/>
        <v>1.1315089214004166</v>
      </c>
      <c r="AY26" s="548">
        <f t="shared" si="20"/>
        <v>1.3309411904084394</v>
      </c>
      <c r="AZ26" s="548">
        <f t="shared" si="21"/>
        <v>0.94477103934712769</v>
      </c>
      <c r="BA26" s="548">
        <f t="shared" si="22"/>
        <v>1.1409267658898763</v>
      </c>
      <c r="BB26" s="548">
        <f t="shared" si="23"/>
        <v>0.97864988040653711</v>
      </c>
      <c r="BC26" s="548">
        <f t="shared" si="24"/>
        <v>1.2301024182073412</v>
      </c>
      <c r="BD26" s="548">
        <f t="shared" si="25"/>
        <v>1.3265059651522715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165"/>
  <sheetViews>
    <sheetView topLeftCell="B8" workbookViewId="0">
      <selection activeCell="C10" sqref="C10"/>
    </sheetView>
  </sheetViews>
  <sheetFormatPr defaultRowHeight="12.75"/>
  <cols>
    <col min="1" max="1" width="35" style="9" customWidth="1"/>
    <col min="2" max="2" width="29.28515625" style="9" customWidth="1"/>
    <col min="3" max="4" width="19.85546875" style="9" customWidth="1"/>
    <col min="5" max="5" width="11.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49" t="s">
        <v>53</v>
      </c>
      <c r="B1" s="574" t="s">
        <v>139</v>
      </c>
      <c r="C1" s="574"/>
      <c r="D1" s="574"/>
      <c r="E1" s="574"/>
      <c r="F1" s="574"/>
      <c r="G1" s="574"/>
      <c r="H1" s="574"/>
      <c r="I1" s="574"/>
      <c r="J1" s="574"/>
      <c r="K1" s="574"/>
      <c r="L1" s="574"/>
      <c r="M1" s="574"/>
      <c r="N1" s="574"/>
      <c r="O1" s="574"/>
      <c r="P1" s="574"/>
      <c r="Q1" s="574"/>
      <c r="R1" s="574"/>
      <c r="S1" s="574"/>
      <c r="T1" s="574"/>
    </row>
    <row r="2" spans="1:69">
      <c r="A2" s="50" t="s">
        <v>816</v>
      </c>
      <c r="B2" s="574"/>
      <c r="C2" s="574"/>
      <c r="D2" s="574"/>
      <c r="E2" s="574"/>
      <c r="F2" s="574"/>
      <c r="G2" s="574"/>
      <c r="H2" s="574"/>
      <c r="I2" s="574"/>
      <c r="J2" s="574"/>
      <c r="K2" s="574"/>
      <c r="L2" s="574"/>
      <c r="M2" s="574"/>
      <c r="N2" s="574"/>
      <c r="O2" s="574"/>
      <c r="P2" s="574"/>
      <c r="Q2" s="574"/>
      <c r="R2" s="574"/>
      <c r="S2" s="574"/>
      <c r="T2" s="574"/>
    </row>
    <row r="3" spans="1:69">
      <c r="B3" s="574"/>
      <c r="C3" s="574"/>
      <c r="D3" s="574"/>
      <c r="E3" s="574"/>
      <c r="F3" s="574"/>
      <c r="G3" s="574"/>
      <c r="H3" s="574"/>
      <c r="I3" s="574"/>
      <c r="J3" s="574"/>
      <c r="K3" s="574"/>
      <c r="L3" s="574"/>
      <c r="M3" s="574"/>
      <c r="N3" s="574"/>
      <c r="O3" s="574"/>
      <c r="P3" s="574"/>
      <c r="Q3" s="574"/>
      <c r="R3" s="574"/>
      <c r="S3" s="574"/>
      <c r="T3" s="574"/>
    </row>
    <row r="4" spans="1:69">
      <c r="B4" s="574"/>
      <c r="C4" s="574"/>
      <c r="D4" s="574"/>
      <c r="E4" s="574"/>
      <c r="F4" s="574"/>
      <c r="G4" s="574"/>
      <c r="H4" s="574"/>
      <c r="I4" s="574"/>
      <c r="J4" s="574"/>
      <c r="K4" s="574"/>
      <c r="L4" s="574"/>
      <c r="M4" s="574"/>
      <c r="N4" s="574"/>
      <c r="O4" s="574"/>
      <c r="P4" s="574"/>
      <c r="Q4" s="574"/>
      <c r="R4" s="574"/>
      <c r="S4" s="574"/>
      <c r="T4" s="574"/>
    </row>
    <row r="5" spans="1:69">
      <c r="B5" s="574"/>
      <c r="C5" s="574"/>
      <c r="D5" s="574"/>
      <c r="E5" s="574"/>
      <c r="F5" s="574"/>
      <c r="G5" s="574"/>
      <c r="H5" s="574"/>
      <c r="I5" s="574"/>
      <c r="J5" s="574"/>
      <c r="K5" s="574"/>
      <c r="L5" s="574"/>
      <c r="M5" s="574"/>
      <c r="N5" s="574"/>
      <c r="O5" s="574"/>
      <c r="P5" s="574"/>
      <c r="Q5" s="574"/>
      <c r="R5" s="574"/>
      <c r="S5" s="574"/>
      <c r="T5" s="574"/>
    </row>
    <row r="6" spans="1:69">
      <c r="B6" s="574"/>
      <c r="C6" s="574"/>
      <c r="D6" s="574"/>
      <c r="E6" s="574"/>
      <c r="F6" s="574"/>
      <c r="G6" s="574"/>
      <c r="H6" s="574"/>
      <c r="I6" s="574"/>
      <c r="J6" s="574"/>
      <c r="K6" s="574"/>
      <c r="L6" s="574"/>
      <c r="M6" s="574"/>
      <c r="N6" s="574"/>
      <c r="O6" s="574"/>
      <c r="P6" s="574"/>
      <c r="Q6" s="574"/>
      <c r="R6" s="574"/>
      <c r="S6" s="574"/>
      <c r="T6" s="574"/>
    </row>
    <row r="7" spans="1:69">
      <c r="A7" s="549"/>
      <c r="B7" s="549" t="s">
        <v>47</v>
      </c>
      <c r="C7" s="60" t="s">
        <v>52</v>
      </c>
      <c r="D7" s="60"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549" t="s">
        <v>1133</v>
      </c>
      <c r="B8" s="549" t="s">
        <v>56</v>
      </c>
      <c r="C8" s="60" t="str">
        <f>[2]MLIST!$B$73</f>
        <v>Advanced Power Strips</v>
      </c>
      <c r="D8" s="60"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549" t="str">
        <f>INDEX([2]ACHIEV!$A$19:$B$100,MATCH(CONCATENATE($C$8," - ",$C$7),[2]ACHIEV!$B$19:$B$100,0),1)</f>
        <v>Electronics</v>
      </c>
      <c r="B9" s="550" t="s">
        <v>57</v>
      </c>
      <c r="C9" s="60">
        <f>[2]FILES!$H$4</f>
        <v>2035</v>
      </c>
      <c r="D9" s="60"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549"/>
      <c r="B10" s="549" t="s">
        <v>1159</v>
      </c>
      <c r="C10" s="562">
        <f>MIN(SUM(E73:X73),Y73)</f>
        <v>31.684161765893183</v>
      </c>
      <c r="D10" s="61"/>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2" t="str">
        <f>CONCATENATE("# HOMES AVAILABLE FOR MEASURE -",$C$8)</f>
        <v># HOMES AVAILABLE FOR MEASURE -Advanced Power Strips</v>
      </c>
      <c r="C11" s="9" t="s">
        <v>140</v>
      </c>
      <c r="E11" s="65">
        <v>2016</v>
      </c>
      <c r="F11" s="508">
        <v>2017</v>
      </c>
      <c r="G11" s="508">
        <v>2018</v>
      </c>
      <c r="H11" s="508">
        <v>2019</v>
      </c>
      <c r="I11" s="508">
        <v>2020</v>
      </c>
      <c r="J11" s="508">
        <v>2021</v>
      </c>
      <c r="K11" s="508">
        <v>2022</v>
      </c>
      <c r="L11" s="508">
        <v>2023</v>
      </c>
      <c r="M11" s="508">
        <v>2024</v>
      </c>
      <c r="N11" s="508">
        <v>2025</v>
      </c>
      <c r="O11" s="508">
        <v>2026</v>
      </c>
      <c r="P11" s="508">
        <v>2027</v>
      </c>
      <c r="Q11" s="508">
        <v>2028</v>
      </c>
      <c r="R11" s="508">
        <v>2029</v>
      </c>
      <c r="S11" s="508">
        <v>2030</v>
      </c>
      <c r="T11" s="508">
        <v>2031</v>
      </c>
      <c r="U11" s="508">
        <v>2032</v>
      </c>
      <c r="V11" s="508">
        <v>2033</v>
      </c>
      <c r="W11" s="508">
        <v>2034</v>
      </c>
      <c r="X11" s="508">
        <v>2035</v>
      </c>
      <c r="Y11" s="67"/>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8" t="str">
        <f>CONCATENATE("Homes_",E11)</f>
        <v>Homes_2016</v>
      </c>
      <c r="F12" s="69" t="str">
        <f t="shared" ref="F12:X12" si="0">CONCATENATE("Homes_",F11)</f>
        <v>Homes_2017</v>
      </c>
      <c r="G12" s="69" t="str">
        <f t="shared" si="0"/>
        <v>Homes_2018</v>
      </c>
      <c r="H12" s="69" t="str">
        <f t="shared" si="0"/>
        <v>Homes_2019</v>
      </c>
      <c r="I12" s="69" t="str">
        <f t="shared" si="0"/>
        <v>Homes_2020</v>
      </c>
      <c r="J12" s="69" t="str">
        <f t="shared" si="0"/>
        <v>Homes_2021</v>
      </c>
      <c r="K12" s="69" t="str">
        <f t="shared" si="0"/>
        <v>Homes_2022</v>
      </c>
      <c r="L12" s="69" t="str">
        <f t="shared" si="0"/>
        <v>Homes_2023</v>
      </c>
      <c r="M12" s="69" t="str">
        <f t="shared" si="0"/>
        <v>Homes_2024</v>
      </c>
      <c r="N12" s="69" t="str">
        <f t="shared" si="0"/>
        <v>Homes_2025</v>
      </c>
      <c r="O12" s="69" t="str">
        <f t="shared" si="0"/>
        <v>Homes_2026</v>
      </c>
      <c r="P12" s="69" t="str">
        <f t="shared" si="0"/>
        <v>Homes_2027</v>
      </c>
      <c r="Q12" s="69" t="str">
        <f t="shared" si="0"/>
        <v>Homes_2028</v>
      </c>
      <c r="R12" s="69" t="str">
        <f t="shared" si="0"/>
        <v>Homes_2029</v>
      </c>
      <c r="S12" s="69" t="str">
        <f t="shared" si="0"/>
        <v>Homes_2030</v>
      </c>
      <c r="T12" s="69" t="str">
        <f t="shared" si="0"/>
        <v>Homes_2031</v>
      </c>
      <c r="U12" s="69" t="str">
        <f t="shared" si="0"/>
        <v>Homes_2032</v>
      </c>
      <c r="V12" s="69" t="str">
        <f t="shared" si="0"/>
        <v>Homes_2033</v>
      </c>
      <c r="W12" s="69" t="str">
        <f t="shared" si="0"/>
        <v>Homes_2034</v>
      </c>
      <c r="X12" s="69" t="str">
        <f t="shared" si="0"/>
        <v>Homes_2035</v>
      </c>
      <c r="Y12" s="70"/>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52</v>
      </c>
      <c r="C13" s="9" t="s">
        <v>48</v>
      </c>
      <c r="E13" s="41">
        <f>INDEX([1]!tbl_Forecast,MATCH($D$8&amp;$C13&amp;$D$7,[1]!rng_ForecastRowLookup,0),MATCH(E$11,[1]!rng_ForecastColumnLookup,0))</f>
        <v>62685.758999999998</v>
      </c>
      <c r="F13" s="41">
        <f>INDEX([1]!tbl_Forecast,MATCH($D$8&amp;$C13&amp;$D$7,[1]!rng_ForecastRowLookup,0),MATCH(F$11,[1]!rng_ForecastColumnLookup,0))</f>
        <v>59961.781000000003</v>
      </c>
      <c r="G13" s="41">
        <f>INDEX([1]!tbl_Forecast,MATCH($D$8&amp;$C13&amp;$D$7,[1]!rng_ForecastRowLookup,0),MATCH(G$11,[1]!rng_ForecastColumnLookup,0))</f>
        <v>56834.012000000002</v>
      </c>
      <c r="H13" s="41">
        <f>INDEX([1]!tbl_Forecast,MATCH($D$8&amp;$C13&amp;$D$7,[1]!rng_ForecastRowLookup,0),MATCH(H$11,[1]!rng_ForecastColumnLookup,0))</f>
        <v>54985.192999999999</v>
      </c>
      <c r="I13" s="41">
        <f>INDEX([1]!tbl_Forecast,MATCH($D$8&amp;$C13&amp;$D$7,[1]!rng_ForecastRowLookup,0),MATCH(I$11,[1]!rng_ForecastColumnLookup,0))</f>
        <v>53507.474000000002</v>
      </c>
      <c r="J13" s="41">
        <f>INDEX([1]!tbl_Forecast,MATCH($D$8&amp;$C13&amp;$D$7,[1]!rng_ForecastRowLookup,0),MATCH(J$11,[1]!rng_ForecastColumnLookup,0))</f>
        <v>50982.05</v>
      </c>
      <c r="K13" s="41">
        <f>INDEX([1]!tbl_Forecast,MATCH($D$8&amp;$C13&amp;$D$7,[1]!rng_ForecastRowLookup,0),MATCH(K$11,[1]!rng_ForecastColumnLookup,0))</f>
        <v>49561.669000000002</v>
      </c>
      <c r="L13" s="41">
        <f>INDEX([1]!tbl_Forecast,MATCH($D$8&amp;$C13&amp;$D$7,[1]!rng_ForecastRowLookup,0),MATCH(L$11,[1]!rng_ForecastColumnLookup,0))</f>
        <v>49324.517999999996</v>
      </c>
      <c r="M13" s="41">
        <f>INDEX([1]!tbl_Forecast,MATCH($D$8&amp;$C13&amp;$D$7,[1]!rng_ForecastRowLookup,0),MATCH(M$11,[1]!rng_ForecastColumnLookup,0))</f>
        <v>48815.77</v>
      </c>
      <c r="N13" s="41">
        <f>INDEX([1]!tbl_Forecast,MATCH($D$8&amp;$C13&amp;$D$7,[1]!rng_ForecastRowLookup,0),MATCH(N$11,[1]!rng_ForecastColumnLookup,0))</f>
        <v>49683.252</v>
      </c>
      <c r="O13" s="41">
        <f>INDEX([1]!tbl_Forecast,MATCH($D$8&amp;$C13&amp;$D$7,[1]!rng_ForecastRowLookup,0),MATCH(O$11,[1]!rng_ForecastColumnLookup,0))</f>
        <v>50030.137000000002</v>
      </c>
      <c r="P13" s="41">
        <f>INDEX([1]!tbl_Forecast,MATCH($D$8&amp;$C13&amp;$D$7,[1]!rng_ForecastRowLookup,0),MATCH(P$11,[1]!rng_ForecastColumnLookup,0))</f>
        <v>49387.762999999999</v>
      </c>
      <c r="Q13" s="41">
        <f>INDEX([1]!tbl_Forecast,MATCH($D$8&amp;$C13&amp;$D$7,[1]!rng_ForecastRowLookup,0),MATCH(Q$11,[1]!rng_ForecastColumnLookup,0))</f>
        <v>48079.345999999998</v>
      </c>
      <c r="R13" s="41">
        <f>INDEX([1]!tbl_Forecast,MATCH($D$8&amp;$C13&amp;$D$7,[1]!rng_ForecastRowLookup,0),MATCH(R$11,[1]!rng_ForecastColumnLookup,0))</f>
        <v>48129.050999999999</v>
      </c>
      <c r="S13" s="41">
        <f>INDEX([1]!tbl_Forecast,MATCH($D$8&amp;$C13&amp;$D$7,[1]!rng_ForecastRowLookup,0),MATCH(S$11,[1]!rng_ForecastColumnLookup,0))</f>
        <v>48690.569000000003</v>
      </c>
      <c r="T13" s="41">
        <f>INDEX([1]!tbl_Forecast,MATCH($D$8&amp;$C13&amp;$D$7,[1]!rng_ForecastRowLookup,0),MATCH(T$11,[1]!rng_ForecastColumnLookup,0))</f>
        <v>48482.864000000001</v>
      </c>
      <c r="U13" s="41">
        <f>INDEX([1]!tbl_Forecast,MATCH($D$8&amp;$C13&amp;$D$7,[1]!rng_ForecastRowLookup,0),MATCH(U$11,[1]!rng_ForecastColumnLookup,0))</f>
        <v>46879.000999999997</v>
      </c>
      <c r="V13" s="41">
        <f>INDEX([1]!tbl_Forecast,MATCH($D$8&amp;$C13&amp;$D$7,[1]!rng_ForecastRowLookup,0),MATCH(V$11,[1]!rng_ForecastColumnLookup,0))</f>
        <v>46798.777999999998</v>
      </c>
      <c r="W13" s="41">
        <f>INDEX([1]!tbl_Forecast,MATCH($D$8&amp;$C13&amp;$D$7,[1]!rng_ForecastRowLookup,0),MATCH(W$11,[1]!rng_ForecastColumnLookup,0))</f>
        <v>46917.627</v>
      </c>
      <c r="X13" s="41">
        <f>INDEX([1]!tbl_Forecast,MATCH($D$8&amp;$C13&amp;$D$7,[1]!rng_ForecastRowLookup,0),MATCH(X$11,[1]!rng_ForecastColumnLookup,0))</f>
        <v>47236.144999999997</v>
      </c>
      <c r="Y13" s="41"/>
      <c r="AA13" s="41">
        <f>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52</v>
      </c>
      <c r="C14" s="9" t="s">
        <v>49</v>
      </c>
      <c r="E14" s="41">
        <f>INDEX([1]!tbl_Forecast,MATCH($D$8&amp;$C14&amp;$D$7,[1]!rng_ForecastRowLookup,0),MATCH(E$11,[1]!rng_ForecastColumnLookup,0))</f>
        <v>23280.347100904564</v>
      </c>
      <c r="F14" s="41">
        <f>INDEX([1]!tbl_Forecast,MATCH($D$8&amp;$C14&amp;$D$7,[1]!rng_ForecastRowLookup,0),MATCH(F$11,[1]!rng_ForecastColumnLookup,0))</f>
        <v>23017.418106038647</v>
      </c>
      <c r="G14" s="41">
        <f>INDEX([1]!tbl_Forecast,MATCH($D$8&amp;$C14&amp;$D$7,[1]!rng_ForecastRowLookup,0),MATCH(G$11,[1]!rng_ForecastColumnLookup,0))</f>
        <v>22811.60852767331</v>
      </c>
      <c r="H14" s="41">
        <f>INDEX([1]!tbl_Forecast,MATCH($D$8&amp;$C14&amp;$D$7,[1]!rng_ForecastRowLookup,0),MATCH(H$11,[1]!rng_ForecastColumnLookup,0))</f>
        <v>22085.916378202593</v>
      </c>
      <c r="I14" s="41">
        <f>INDEX([1]!tbl_Forecast,MATCH($D$8&amp;$C14&amp;$D$7,[1]!rng_ForecastRowLookup,0),MATCH(I$11,[1]!rng_ForecastColumnLookup,0))</f>
        <v>20817.853908138593</v>
      </c>
      <c r="J14" s="41">
        <f>INDEX([1]!tbl_Forecast,MATCH($D$8&amp;$C14&amp;$D$7,[1]!rng_ForecastRowLookup,0),MATCH(J$11,[1]!rng_ForecastColumnLookup,0))</f>
        <v>20070.279329962508</v>
      </c>
      <c r="K14" s="41">
        <f>INDEX([1]!tbl_Forecast,MATCH($D$8&amp;$C14&amp;$D$7,[1]!rng_ForecastRowLookup,0),MATCH(K$11,[1]!rng_ForecastColumnLookup,0))</f>
        <v>19887.831284331631</v>
      </c>
      <c r="L14" s="41">
        <f>INDEX([1]!tbl_Forecast,MATCH($D$8&amp;$C14&amp;$D$7,[1]!rng_ForecastRowLookup,0),MATCH(L$11,[1]!rng_ForecastColumnLookup,0))</f>
        <v>20257.583209811291</v>
      </c>
      <c r="M14" s="41">
        <f>INDEX([1]!tbl_Forecast,MATCH($D$8&amp;$C14&amp;$D$7,[1]!rng_ForecastRowLookup,0),MATCH(M$11,[1]!rng_ForecastColumnLookup,0))</f>
        <v>20750.368029493613</v>
      </c>
      <c r="N14" s="41">
        <f>INDEX([1]!tbl_Forecast,MATCH($D$8&amp;$C14&amp;$D$7,[1]!rng_ForecastRowLookup,0),MATCH(N$11,[1]!rng_ForecastColumnLookup,0))</f>
        <v>21314.334279744231</v>
      </c>
      <c r="O14" s="41">
        <f>INDEX([1]!tbl_Forecast,MATCH($D$8&amp;$C14&amp;$D$7,[1]!rng_ForecastRowLookup,0),MATCH(O$11,[1]!rng_ForecastColumnLookup,0))</f>
        <v>21403.286239774712</v>
      </c>
      <c r="P14" s="41">
        <f>INDEX([1]!tbl_Forecast,MATCH($D$8&amp;$C14&amp;$D$7,[1]!rng_ForecastRowLookup,0),MATCH(P$11,[1]!rng_ForecastColumnLookup,0))</f>
        <v>21409.137516518917</v>
      </c>
      <c r="Q14" s="41">
        <f>INDEX([1]!tbl_Forecast,MATCH($D$8&amp;$C14&amp;$D$7,[1]!rng_ForecastRowLookup,0),MATCH(Q$11,[1]!rng_ForecastColumnLookup,0))</f>
        <v>21443.358292282628</v>
      </c>
      <c r="R14" s="41">
        <f>INDEX([1]!tbl_Forecast,MATCH($D$8&amp;$C14&amp;$D$7,[1]!rng_ForecastRowLookup,0),MATCH(R$11,[1]!rng_ForecastColumnLookup,0))</f>
        <v>21209.865626522758</v>
      </c>
      <c r="S14" s="41">
        <f>INDEX([1]!tbl_Forecast,MATCH($D$8&amp;$C14&amp;$D$7,[1]!rng_ForecastRowLookup,0),MATCH(S$11,[1]!rng_ForecastColumnLookup,0))</f>
        <v>20954.17798283829</v>
      </c>
      <c r="T14" s="41">
        <f>INDEX([1]!tbl_Forecast,MATCH($D$8&amp;$C14&amp;$D$7,[1]!rng_ForecastRowLookup,0),MATCH(T$11,[1]!rng_ForecastColumnLookup,0))</f>
        <v>20525.44023202754</v>
      </c>
      <c r="U14" s="41">
        <f>INDEX([1]!tbl_Forecast,MATCH($D$8&amp;$C14&amp;$D$7,[1]!rng_ForecastRowLookup,0),MATCH(U$11,[1]!rng_ForecastColumnLookup,0))</f>
        <v>20175.505597554071</v>
      </c>
      <c r="V14" s="41">
        <f>INDEX([1]!tbl_Forecast,MATCH($D$8&amp;$C14&amp;$D$7,[1]!rng_ForecastRowLookup,0),MATCH(V$11,[1]!rng_ForecastColumnLookup,0))</f>
        <v>19919.723927484571</v>
      </c>
      <c r="W14" s="41">
        <f>INDEX([1]!tbl_Forecast,MATCH($D$8&amp;$C14&amp;$D$7,[1]!rng_ForecastRowLookup,0),MATCH(W$11,[1]!rng_ForecastColumnLookup,0))</f>
        <v>19536.194066416414</v>
      </c>
      <c r="X14" s="41">
        <f>INDEX([1]!tbl_Forecast,MATCH($D$8&amp;$C14&amp;$D$7,[1]!rng_ForecastRowLookup,0),MATCH(X$11,[1]!rng_ForecastColumnLookup,0))</f>
        <v>19462.287131015248</v>
      </c>
      <c r="Y14" s="41"/>
      <c r="AA14" s="41">
        <f t="shared" ref="AA14:AA16"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52</v>
      </c>
      <c r="C15" s="9" t="s">
        <v>50</v>
      </c>
      <c r="E15" s="41">
        <f>INDEX([1]!tbl_Forecast,MATCH($D$8&amp;$C15&amp;$D$7,[1]!rng_ForecastRowLookup,0),MATCH(E$11,[1]!rng_ForecastColumnLookup,0))</f>
        <v>5226.2387411561367</v>
      </c>
      <c r="F15" s="41">
        <f>INDEX([1]!tbl_Forecast,MATCH($D$8&amp;$C15&amp;$D$7,[1]!rng_ForecastRowLookup,0),MATCH(F$11,[1]!rng_ForecastColumnLookup,0))</f>
        <v>5239.95312759432</v>
      </c>
      <c r="G15" s="41">
        <f>INDEX([1]!tbl_Forecast,MATCH($D$8&amp;$C15&amp;$D$7,[1]!rng_ForecastRowLookup,0),MATCH(G$11,[1]!rng_ForecastColumnLookup,0))</f>
        <v>5271.2612760989568</v>
      </c>
      <c r="H15" s="41">
        <f>INDEX([1]!tbl_Forecast,MATCH($D$8&amp;$C15&amp;$D$7,[1]!rng_ForecastRowLookup,0),MATCH(H$11,[1]!rng_ForecastColumnLookup,0))</f>
        <v>4985.883552972361</v>
      </c>
      <c r="I15" s="41">
        <f>INDEX([1]!tbl_Forecast,MATCH($D$8&amp;$C15&amp;$D$7,[1]!rng_ForecastRowLookup,0),MATCH(I$11,[1]!rng_ForecastColumnLookup,0))</f>
        <v>4608.5912035798974</v>
      </c>
      <c r="J15" s="41">
        <f>INDEX([1]!tbl_Forecast,MATCH($D$8&amp;$C15&amp;$D$7,[1]!rng_ForecastRowLookup,0),MATCH(J$11,[1]!rng_ForecastColumnLookup,0))</f>
        <v>4509.6375960361838</v>
      </c>
      <c r="K15" s="41">
        <f>INDEX([1]!tbl_Forecast,MATCH($D$8&amp;$C15&amp;$D$7,[1]!rng_ForecastRowLookup,0),MATCH(K$11,[1]!rng_ForecastColumnLookup,0))</f>
        <v>4481.760351096189</v>
      </c>
      <c r="L15" s="41">
        <f>INDEX([1]!tbl_Forecast,MATCH($D$8&amp;$C15&amp;$D$7,[1]!rng_ForecastRowLookup,0),MATCH(L$11,[1]!rng_ForecastColumnLookup,0))</f>
        <v>4621.8312800578688</v>
      </c>
      <c r="M15" s="41">
        <f>INDEX([1]!tbl_Forecast,MATCH($D$8&amp;$C15&amp;$D$7,[1]!rng_ForecastRowLookup,0),MATCH(M$11,[1]!rng_ForecastColumnLookup,0))</f>
        <v>4700.9782942419988</v>
      </c>
      <c r="N15" s="41">
        <f>INDEX([1]!tbl_Forecast,MATCH($D$8&amp;$C15&amp;$D$7,[1]!rng_ForecastRowLookup,0),MATCH(N$11,[1]!rng_ForecastColumnLookup,0))</f>
        <v>4828.2391631488581</v>
      </c>
      <c r="O15" s="41">
        <f>INDEX([1]!tbl_Forecast,MATCH($D$8&amp;$C15&amp;$D$7,[1]!rng_ForecastRowLookup,0),MATCH(O$11,[1]!rng_ForecastColumnLookup,0))</f>
        <v>4790.0249139778334</v>
      </c>
      <c r="P15" s="41">
        <f>INDEX([1]!tbl_Forecast,MATCH($D$8&amp;$C15&amp;$D$7,[1]!rng_ForecastRowLookup,0),MATCH(P$11,[1]!rng_ForecastColumnLookup,0))</f>
        <v>4782.0649962402858</v>
      </c>
      <c r="Q15" s="41">
        <f>INDEX([1]!tbl_Forecast,MATCH($D$8&amp;$C15&amp;$D$7,[1]!rng_ForecastRowLookup,0),MATCH(Q$11,[1]!rng_ForecastColumnLookup,0))</f>
        <v>4748.3908346265653</v>
      </c>
      <c r="R15" s="41">
        <f>INDEX([1]!tbl_Forecast,MATCH($D$8&amp;$C15&amp;$D$7,[1]!rng_ForecastRowLookup,0),MATCH(R$11,[1]!rng_ForecastColumnLookup,0))</f>
        <v>4733.4823682495089</v>
      </c>
      <c r="S15" s="41">
        <f>INDEX([1]!tbl_Forecast,MATCH($D$8&amp;$C15&amp;$D$7,[1]!rng_ForecastRowLookup,0),MATCH(S$11,[1]!rng_ForecastColumnLookup,0))</f>
        <v>4698.697177079107</v>
      </c>
      <c r="T15" s="41">
        <f>INDEX([1]!tbl_Forecast,MATCH($D$8&amp;$C15&amp;$D$7,[1]!rng_ForecastRowLookup,0),MATCH(T$11,[1]!rng_ForecastColumnLookup,0))</f>
        <v>4599.2987885998937</v>
      </c>
      <c r="U15" s="41">
        <f>INDEX([1]!tbl_Forecast,MATCH($D$8&amp;$C15&amp;$D$7,[1]!rng_ForecastRowLookup,0),MATCH(U$11,[1]!rng_ForecastColumnLookup,0))</f>
        <v>4526.3104216428001</v>
      </c>
      <c r="V15" s="41">
        <f>INDEX([1]!tbl_Forecast,MATCH($D$8&amp;$C15&amp;$D$7,[1]!rng_ForecastRowLookup,0),MATCH(V$11,[1]!rng_ForecastColumnLookup,0))</f>
        <v>4422.0600452822764</v>
      </c>
      <c r="W15" s="41">
        <f>INDEX([1]!tbl_Forecast,MATCH($D$8&amp;$C15&amp;$D$7,[1]!rng_ForecastRowLookup,0),MATCH(W$11,[1]!rng_ForecastColumnLookup,0))</f>
        <v>4405.182362066379</v>
      </c>
      <c r="X15" s="41">
        <f>INDEX([1]!tbl_Forecast,MATCH($D$8&amp;$C15&amp;$D$7,[1]!rng_ForecastRowLookup,0),MATCH(X$11,[1]!rng_ForecastColumnLookup,0))</f>
        <v>4385.1136986120664</v>
      </c>
      <c r="Y15" s="41"/>
      <c r="AA15" s="41">
        <f t="shared"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52</v>
      </c>
      <c r="C16" s="9" t="s">
        <v>51</v>
      </c>
      <c r="E16" s="41">
        <f>INDEX([1]!tbl_Forecast,MATCH($D$8&amp;$C16&amp;$D$7,[1]!rng_ForecastRowLookup,0),MATCH(E$11,[1]!rng_ForecastColumnLookup,0))</f>
        <v>1869.5754050925925</v>
      </c>
      <c r="F16" s="41">
        <f>INDEX([1]!tbl_Forecast,MATCH($D$8&amp;$C16&amp;$D$7,[1]!rng_ForecastRowLookup,0),MATCH(F$11,[1]!rng_ForecastColumnLookup,0))</f>
        <v>1881.796305941358</v>
      </c>
      <c r="G16" s="41">
        <f>INDEX([1]!tbl_Forecast,MATCH($D$8&amp;$C16&amp;$D$7,[1]!rng_ForecastRowLookup,0),MATCH(G$11,[1]!rng_ForecastColumnLookup,0))</f>
        <v>1949.1340235982509</v>
      </c>
      <c r="H16" s="41">
        <f>INDEX([1]!tbl_Forecast,MATCH($D$8&amp;$C16&amp;$D$7,[1]!rng_ForecastRowLookup,0),MATCH(H$11,[1]!rng_ForecastColumnLookup,0))</f>
        <v>2021.1963608646258</v>
      </c>
      <c r="I16" s="41">
        <f>INDEX([1]!tbl_Forecast,MATCH($D$8&amp;$C16&amp;$D$7,[1]!rng_ForecastRowLookup,0),MATCH(I$11,[1]!rng_ForecastColumnLookup,0))</f>
        <v>1959.5061710087307</v>
      </c>
      <c r="J16" s="41">
        <f>INDEX([1]!tbl_Forecast,MATCH($D$8&amp;$C16&amp;$D$7,[1]!rng_ForecastRowLookup,0),MATCH(J$11,[1]!rng_ForecastColumnLookup,0))</f>
        <v>1928.5764356212967</v>
      </c>
      <c r="K16" s="41">
        <f>INDEX([1]!tbl_Forecast,MATCH($D$8&amp;$C16&amp;$D$7,[1]!rng_ForecastRowLookup,0),MATCH(K$11,[1]!rng_ForecastColumnLookup,0))</f>
        <v>1934.9641170211423</v>
      </c>
      <c r="L16" s="41">
        <f>INDEX([1]!tbl_Forecast,MATCH($D$8&amp;$C16&amp;$D$7,[1]!rng_ForecastRowLookup,0),MATCH(L$11,[1]!rng_ForecastColumnLookup,0))</f>
        <v>1945.862235675901</v>
      </c>
      <c r="M16" s="41">
        <f>INDEX([1]!tbl_Forecast,MATCH($D$8&amp;$C16&amp;$D$7,[1]!rng_ForecastRowLookup,0),MATCH(M$11,[1]!rng_ForecastColumnLookup,0))</f>
        <v>1956.539890631658</v>
      </c>
      <c r="N16" s="41">
        <f>INDEX([1]!tbl_Forecast,MATCH($D$8&amp;$C16&amp;$D$7,[1]!rng_ForecastRowLookup,0),MATCH(N$11,[1]!rng_ForecastColumnLookup,0))</f>
        <v>1957.7742018038925</v>
      </c>
      <c r="O16" s="41">
        <f>INDEX([1]!tbl_Forecast,MATCH($D$8&amp;$C16&amp;$D$7,[1]!rng_ForecastRowLookup,0),MATCH(O$11,[1]!rng_ForecastColumnLookup,0))</f>
        <v>1947.2038419604366</v>
      </c>
      <c r="P16" s="41">
        <f>INDEX([1]!tbl_Forecast,MATCH($D$8&amp;$C16&amp;$D$7,[1]!rng_ForecastRowLookup,0),MATCH(P$11,[1]!rng_ForecastColumnLookup,0))</f>
        <v>1945.153453785721</v>
      </c>
      <c r="Q16" s="41">
        <f>INDEX([1]!tbl_Forecast,MATCH($D$8&amp;$C16&amp;$D$7,[1]!rng_ForecastRowLookup,0),MATCH(Q$11,[1]!rng_ForecastColumnLookup,0))</f>
        <v>1947.9162901464586</v>
      </c>
      <c r="R16" s="41">
        <f>INDEX([1]!tbl_Forecast,MATCH($D$8&amp;$C16&amp;$D$7,[1]!rng_ForecastRowLookup,0),MATCH(R$11,[1]!rng_ForecastColumnLookup,0))</f>
        <v>1950.0749856673444</v>
      </c>
      <c r="S16" s="41">
        <f>INDEX([1]!tbl_Forecast,MATCH($D$8&amp;$C16&amp;$D$7,[1]!rng_ForecastRowLookup,0),MATCH(S$11,[1]!rng_ForecastColumnLookup,0))</f>
        <v>1950.7771106659191</v>
      </c>
      <c r="T16" s="41">
        <f>INDEX([1]!tbl_Forecast,MATCH($D$8&amp;$C16&amp;$D$7,[1]!rng_ForecastRowLookup,0),MATCH(T$11,[1]!rng_ForecastColumnLookup,0))</f>
        <v>1949.8166473382953</v>
      </c>
      <c r="U16" s="41">
        <f>INDEX([1]!tbl_Forecast,MATCH($D$8&amp;$C16&amp;$D$7,[1]!rng_ForecastRowLookup,0),MATCH(U$11,[1]!rng_ForecastColumnLookup,0))</f>
        <v>1948.4903882606959</v>
      </c>
      <c r="V16" s="41">
        <f>INDEX([1]!tbl_Forecast,MATCH($D$8&amp;$C16&amp;$D$7,[1]!rng_ForecastRowLookup,0),MATCH(V$11,[1]!rng_ForecastColumnLookup,0))</f>
        <v>1948.7048126440727</v>
      </c>
      <c r="W16" s="41">
        <f>INDEX([1]!tbl_Forecast,MATCH($D$8&amp;$C16&amp;$D$7,[1]!rng_ForecastRowLookup,0),MATCH(W$11,[1]!rng_ForecastColumnLookup,0))</f>
        <v>1949.296705787131</v>
      </c>
      <c r="X16" s="41">
        <f>INDEX([1]!tbl_Forecast,MATCH($D$8&amp;$C16&amp;$D$7,[1]!rng_ForecastRowLookup,0),MATCH(X$11,[1]!rng_ForecastColumnLookup,0))</f>
        <v>1949.5267750605763</v>
      </c>
      <c r="Y16" s="41"/>
      <c r="AA16" s="41">
        <f t="shared" si="1"/>
        <v>38891.88615857609</v>
      </c>
    </row>
    <row r="17" spans="1:27">
      <c r="E17" s="41"/>
      <c r="F17" s="41"/>
      <c r="G17" s="41"/>
      <c r="H17" s="41"/>
      <c r="I17" s="41"/>
      <c r="J17" s="41"/>
      <c r="K17" s="41"/>
      <c r="L17" s="41"/>
      <c r="M17" s="41"/>
      <c r="N17" s="41"/>
      <c r="O17" s="41"/>
      <c r="P17" s="41"/>
      <c r="Q17" s="41"/>
      <c r="R17" s="41"/>
      <c r="S17" s="41"/>
      <c r="T17" s="41"/>
      <c r="U17" s="41"/>
      <c r="V17" s="41"/>
      <c r="W17" s="41"/>
      <c r="X17" s="41"/>
      <c r="Y17" s="41"/>
    </row>
    <row r="18" spans="1:27">
      <c r="B18" s="9" t="s">
        <v>141</v>
      </c>
      <c r="C18" s="9" t="s">
        <v>59</v>
      </c>
      <c r="E18" s="41">
        <f>SUM(E13:E16)</f>
        <v>93061.920247153292</v>
      </c>
      <c r="F18" s="41">
        <f t="shared" ref="F18:X18" si="2">SUM(F13:F16)</f>
        <v>90100.948539574325</v>
      </c>
      <c r="G18" s="41">
        <f t="shared" si="2"/>
        <v>86866.015827370516</v>
      </c>
      <c r="H18" s="41">
        <f t="shared" si="2"/>
        <v>84078.189292039577</v>
      </c>
      <c r="I18" s="41">
        <f t="shared" si="2"/>
        <v>80893.425282727228</v>
      </c>
      <c r="J18" s="41">
        <f t="shared" si="2"/>
        <v>77490.543361619988</v>
      </c>
      <c r="K18" s="41">
        <f t="shared" si="2"/>
        <v>75866.224752448965</v>
      </c>
      <c r="L18" s="41">
        <f t="shared" si="2"/>
        <v>76149.794725545056</v>
      </c>
      <c r="M18" s="41">
        <f t="shared" si="2"/>
        <v>76223.656214367264</v>
      </c>
      <c r="N18" s="41">
        <f t="shared" si="2"/>
        <v>77783.59964469698</v>
      </c>
      <c r="O18" s="41">
        <f t="shared" si="2"/>
        <v>78170.651995712979</v>
      </c>
      <c r="P18" s="41">
        <f t="shared" si="2"/>
        <v>77524.11896654492</v>
      </c>
      <c r="Q18" s="41">
        <f t="shared" si="2"/>
        <v>76219.011417055648</v>
      </c>
      <c r="R18" s="41">
        <f t="shared" si="2"/>
        <v>76022.473980439609</v>
      </c>
      <c r="S18" s="41">
        <f t="shared" si="2"/>
        <v>76294.221270583323</v>
      </c>
      <c r="T18" s="41">
        <f t="shared" si="2"/>
        <v>75557.419667965733</v>
      </c>
      <c r="U18" s="41">
        <f t="shared" si="2"/>
        <v>73529.307407457556</v>
      </c>
      <c r="V18" s="41">
        <f t="shared" si="2"/>
        <v>73089.266785410931</v>
      </c>
      <c r="W18" s="41">
        <f t="shared" si="2"/>
        <v>72808.300134269928</v>
      </c>
      <c r="X18" s="41">
        <f t="shared" si="2"/>
        <v>73033.072604687884</v>
      </c>
      <c r="Y18" s="41"/>
      <c r="AA18" s="41">
        <f>SUM(E18:Y18)</f>
        <v>1570762.1621176719</v>
      </c>
    </row>
    <row r="19" spans="1:27">
      <c r="E19" s="41"/>
      <c r="F19" s="41"/>
      <c r="G19" s="41"/>
      <c r="H19" s="41"/>
      <c r="I19" s="41"/>
      <c r="J19" s="41"/>
      <c r="K19" s="41"/>
      <c r="L19" s="41"/>
      <c r="M19" s="41"/>
      <c r="N19" s="41"/>
      <c r="O19" s="41"/>
      <c r="P19" s="41"/>
      <c r="Q19" s="41"/>
      <c r="R19" s="41"/>
      <c r="S19" s="41"/>
      <c r="T19" s="41"/>
      <c r="U19" s="41"/>
      <c r="V19" s="41"/>
      <c r="W19" s="41"/>
      <c r="X19" s="41"/>
      <c r="Y19" s="41"/>
    </row>
    <row r="20" spans="1:27">
      <c r="E20" s="41"/>
      <c r="F20" s="41"/>
      <c r="G20" s="41"/>
      <c r="H20" s="41"/>
      <c r="I20" s="41"/>
      <c r="J20" s="41"/>
      <c r="K20" s="41"/>
      <c r="L20" s="41"/>
      <c r="M20" s="41"/>
      <c r="N20" s="41"/>
      <c r="O20" s="41"/>
      <c r="P20" s="41"/>
      <c r="Q20" s="41"/>
      <c r="R20" s="41"/>
      <c r="S20" s="41"/>
      <c r="T20" s="41"/>
      <c r="U20" s="41"/>
      <c r="V20" s="41"/>
      <c r="W20" s="41"/>
      <c r="X20" s="41"/>
      <c r="Y20" s="41"/>
    </row>
    <row r="21" spans="1:27" ht="15">
      <c r="A21" s="62" t="str">
        <f>CONCATENATE("# HOMES APPLICABLE BY YEAR FOR MEASURE - ",C22)</f>
        <v># HOMES APPLICABLE BY YEAR FOR MEASURE - Advanced Power Strips - New</v>
      </c>
      <c r="E21" s="41"/>
      <c r="F21" s="41"/>
      <c r="G21" s="41"/>
      <c r="H21" s="41"/>
      <c r="I21" s="41"/>
      <c r="J21" s="41"/>
      <c r="K21" s="41"/>
      <c r="L21" s="41"/>
      <c r="M21" s="41"/>
      <c r="N21" s="41"/>
      <c r="O21" s="41"/>
      <c r="P21" s="41"/>
      <c r="Q21" s="41"/>
      <c r="R21" s="41"/>
      <c r="S21" s="41"/>
      <c r="T21" s="41"/>
      <c r="U21" s="41"/>
      <c r="V21" s="41"/>
      <c r="W21" s="41"/>
      <c r="X21" s="41"/>
      <c r="Y21" s="41"/>
    </row>
    <row r="22" spans="1:27" ht="15">
      <c r="A22" s="71" t="s">
        <v>60</v>
      </c>
      <c r="B22" s="71" t="s">
        <v>148</v>
      </c>
      <c r="C22" s="71" t="str">
        <f>CONCATENATE(C8," - ",C7)</f>
        <v>Advanced Power Strips - New</v>
      </c>
      <c r="D22" s="71"/>
      <c r="E22" s="9">
        <v>3</v>
      </c>
      <c r="F22" s="9">
        <v>4</v>
      </c>
      <c r="G22" s="9">
        <v>5</v>
      </c>
      <c r="H22" s="30">
        <v>6</v>
      </c>
      <c r="I22" s="9">
        <v>7</v>
      </c>
      <c r="J22" s="9">
        <v>8</v>
      </c>
      <c r="K22" s="9">
        <v>9</v>
      </c>
      <c r="L22" s="30">
        <v>10</v>
      </c>
      <c r="M22" s="9">
        <v>11</v>
      </c>
      <c r="N22" s="9">
        <v>12</v>
      </c>
      <c r="O22" s="9">
        <v>13</v>
      </c>
      <c r="P22" s="30">
        <v>14</v>
      </c>
      <c r="Q22" s="9">
        <v>15</v>
      </c>
      <c r="R22" s="9">
        <v>16</v>
      </c>
      <c r="S22" s="9">
        <v>17</v>
      </c>
      <c r="T22" s="30">
        <v>18</v>
      </c>
      <c r="U22" s="9">
        <v>19</v>
      </c>
      <c r="V22" s="9">
        <v>20</v>
      </c>
      <c r="W22" s="9">
        <v>21</v>
      </c>
      <c r="X22" s="30">
        <v>22</v>
      </c>
    </row>
    <row r="23" spans="1:27">
      <c r="A23" s="63">
        <f>INDEX([2]!ResApplic,MATCH($C$22,[2]APPLIC!$B$9:$B$120,0)+1,MATCH($C23,[2]APPLIC!$C$8:$F$8,0)+1)</f>
        <v>0.33660000000000001</v>
      </c>
      <c r="B23" s="77">
        <f>VLOOKUP($D23,'Units per home'!$A$18:$E$24,MATCH($C23,'Units per home'!$B$18:$E$18,0)+1,FALSE)</f>
        <v>0.96428380745963449</v>
      </c>
      <c r="C23" s="9" t="str">
        <f>C13</f>
        <v>Single Family</v>
      </c>
      <c r="D23" s="9" t="s">
        <v>794</v>
      </c>
      <c r="E23" s="41">
        <f>$A23*$B23*VLOOKUP($C23,$C$13:$Y$16,E$22,FALSE)*VLOOKUP($D23,'Units per home'!$A$40:$U$42,'SC-New'!E$22-1,FALSE)</f>
        <v>20049.616126239333</v>
      </c>
      <c r="F23" s="41">
        <f>$A23*$B23*VLOOKUP($C23,$C$13:$Y$16,F$22,FALSE)*VLOOKUP($D23,'Units per home'!$A$40:$U$42,'SC-New'!F$22-1,FALSE)</f>
        <v>18994.025441571484</v>
      </c>
      <c r="G23" s="41">
        <f>$A23*$B23*VLOOKUP($C23,$C$13:$Y$16,G$22,FALSE)*VLOOKUP($D23,'Units per home'!$A$40:$U$42,'SC-New'!G$22-1,FALSE)</f>
        <v>17828.516778645626</v>
      </c>
      <c r="H23" s="41">
        <f>$A23*$B23*VLOOKUP($C23,$C$13:$Y$16,H$22,FALSE)*VLOOKUP($D23,'Units per home'!$A$40:$U$42,'SC-New'!H$22-1,FALSE)</f>
        <v>17079.507568245892</v>
      </c>
      <c r="I23" s="41">
        <f>$A23*$B23*VLOOKUP($C23,$C$13:$Y$16,I$22,FALSE)*VLOOKUP($D23,'Units per home'!$A$40:$U$42,'SC-New'!I$22-1,FALSE)</f>
        <v>16455.996497425818</v>
      </c>
      <c r="J23" s="41">
        <f>$A23*$B23*VLOOKUP($C23,$C$13:$Y$16,J$22,FALSE)*VLOOKUP($D23,'Units per home'!$A$40:$U$42,'SC-New'!J$22-1,FALSE)</f>
        <v>15538.006743192545</v>
      </c>
      <c r="K23" s="41">
        <f>$A23*$B23*VLOOKUP($C23,$C$13:$Y$16,K$22,FALSE)*VLOOKUP($D23,'Units per home'!$A$40:$U$42,'SC-New'!K$22-1,FALSE)</f>
        <v>14967.741978081314</v>
      </c>
      <c r="L23" s="41">
        <f>$A23*$B23*VLOOKUP($C23,$C$13:$Y$16,L$22,FALSE)*VLOOKUP($D23,'Units per home'!$A$40:$U$42,'SC-New'!L$22-1,FALSE)</f>
        <v>14759.409649786539</v>
      </c>
      <c r="M23" s="41">
        <f>$A23*$B23*VLOOKUP($C23,$C$13:$Y$16,M$22,FALSE)*VLOOKUP($D23,'Units per home'!$A$40:$U$42,'SC-New'!M$22-1,FALSE)</f>
        <v>14471.874562373821</v>
      </c>
      <c r="N23" s="41">
        <f>$A23*$B23*VLOOKUP($C23,$C$13:$Y$16,N$22,FALSE)*VLOOKUP($D23,'Units per home'!$A$40:$U$42,'SC-New'!N$22-1,FALSE)</f>
        <v>14591.340951650061</v>
      </c>
      <c r="O23" s="41">
        <f>$A23*$B23*VLOOKUP($C23,$C$13:$Y$16,O$22,FALSE)*VLOOKUP($D23,'Units per home'!$A$40:$U$42,'SC-New'!O$22-1,FALSE)</f>
        <v>14554.548758923085</v>
      </c>
      <c r="P23" s="41">
        <f>$A23*$B23*VLOOKUP($C23,$C$13:$Y$16,P$22,FALSE)*VLOOKUP($D23,'Units per home'!$A$40:$U$42,'SC-New'!P$22-1,FALSE)</f>
        <v>14230.784665510871</v>
      </c>
      <c r="Q23" s="41">
        <f>$A23*$B23*VLOOKUP($C23,$C$13:$Y$16,Q$22,FALSE)*VLOOKUP($D23,'Units per home'!$A$40:$U$42,'SC-New'!Q$22-1,FALSE)</f>
        <v>13720.511300739956</v>
      </c>
      <c r="R23" s="41">
        <f>$A23*$B23*VLOOKUP($C23,$C$13:$Y$16,R$22,FALSE)*VLOOKUP($D23,'Units per home'!$A$40:$U$42,'SC-New'!R$22-1,FALSE)</f>
        <v>13601.297027861057</v>
      </c>
      <c r="S23" s="41">
        <f>$A23*$B23*VLOOKUP($C23,$C$13:$Y$16,S$22,FALSE)*VLOOKUP($D23,'Units per home'!$A$40:$U$42,'SC-New'!S$22-1,FALSE)</f>
        <v>13625.027278896983</v>
      </c>
      <c r="T23" s="41">
        <f>$A23*$B23*VLOOKUP($C23,$C$13:$Y$16,T$22,FALSE)*VLOOKUP($D23,'Units per home'!$A$40:$U$42,'SC-New'!T$22-1,FALSE)</f>
        <v>13403.078607302134</v>
      </c>
      <c r="U23" s="41">
        <f>$A23*$B23*VLOOKUP($C23,$C$13:$Y$16,U$22,FALSE)*VLOOKUP($D23,'Units per home'!$A$40:$U$42,'SC-New'!U$22-1,FALSE)</f>
        <v>12801.283728448629</v>
      </c>
      <c r="V23" s="41">
        <f>$A23*$B23*VLOOKUP($C23,$C$13:$Y$16,V$22,FALSE)*VLOOKUP($D23,'Units per home'!$A$40:$U$42,'SC-New'!V$22-1,FALSE)</f>
        <v>12621.240997865836</v>
      </c>
      <c r="W23" s="41">
        <f>$A23*$B23*VLOOKUP($C23,$C$13:$Y$16,W$22,FALSE)*VLOOKUP($D23,'Units per home'!$A$40:$U$42,'SC-New'!W$22-1,FALSE)</f>
        <v>12494.7558093194</v>
      </c>
      <c r="X23" s="41">
        <f>$A23*$B23*VLOOKUP($C23,$C$13:$Y$16,X$22,FALSE)*VLOOKUP($D23,'Units per home'!$A$40:$U$42,'SC-New'!X$22-1,FALSE)</f>
        <v>12579.581169964184</v>
      </c>
      <c r="Y23" s="41"/>
      <c r="AA23" s="41">
        <f t="shared" ref="AA23:AA26" si="3">SUM(E23:Y23)</f>
        <v>298368.14564204449</v>
      </c>
    </row>
    <row r="24" spans="1:27">
      <c r="A24" s="63">
        <f>INDEX([2]!ResApplic,MATCH($C$22,[2]APPLIC!$B$9:$B$120,0)+1,MATCH($C24,[2]APPLIC!$C$8:$F$8,0)+1)</f>
        <v>0.2475</v>
      </c>
      <c r="B24" s="77">
        <f>VLOOKUP($D24,'Units per home'!$A$18:$E$24,MATCH($C24,'Units per home'!$B$18:$E$18,0)+1,FALSE)</f>
        <v>0.44414870578030757</v>
      </c>
      <c r="C24" s="9" t="str">
        <f>C14</f>
        <v>Multifamily - Low Rise</v>
      </c>
      <c r="D24" s="9" t="s">
        <v>794</v>
      </c>
      <c r="E24" s="41">
        <f>$A24*$B24*VLOOKUP($C24,$C$13:$Y$16,E$22,FALSE)*VLOOKUP($D24,'Units per home'!$A$40:$U$42,'SC-New'!E$22-1,FALSE)</f>
        <v>2521.8034992464022</v>
      </c>
      <c r="F24" s="41">
        <f>$A24*$B24*VLOOKUP($C24,$C$13:$Y$16,F$22,FALSE)*VLOOKUP($D24,'Units per home'!$A$40:$U$42,'SC-New'!F$22-1,FALSE)</f>
        <v>2469.3560639494963</v>
      </c>
      <c r="G24" s="41">
        <f>$A24*$B24*VLOOKUP($C24,$C$13:$Y$16,G$22,FALSE)*VLOOKUP($D24,'Units per home'!$A$40:$U$42,'SC-New'!G$22-1,FALSE)</f>
        <v>2423.5245755231076</v>
      </c>
      <c r="H24" s="41">
        <f>$A24*$B24*VLOOKUP($C24,$C$13:$Y$16,H$22,FALSE)*VLOOKUP($D24,'Units per home'!$A$40:$U$42,'SC-New'!H$22-1,FALSE)</f>
        <v>2323.4302177558352</v>
      </c>
      <c r="I24" s="41">
        <f>$A24*$B24*VLOOKUP($C24,$C$13:$Y$16,I$22,FALSE)*VLOOKUP($D24,'Units per home'!$A$40:$U$42,'SC-New'!I$22-1,FALSE)</f>
        <v>2168.3546325496441</v>
      </c>
      <c r="J24" s="41">
        <f>$A24*$B24*VLOOKUP($C24,$C$13:$Y$16,J$22,FALSE)*VLOOKUP($D24,'Units per home'!$A$40:$U$42,'SC-New'!J$22-1,FALSE)</f>
        <v>2071.6483882312918</v>
      </c>
      <c r="K24" s="41">
        <f>$A24*$B24*VLOOKUP($C24,$C$13:$Y$16,K$22,FALSE)*VLOOKUP($D24,'Units per home'!$A$40:$U$42,'SC-New'!K$22-1,FALSE)</f>
        <v>2034.1473565069127</v>
      </c>
      <c r="L24" s="41">
        <f>$A24*$B24*VLOOKUP($C24,$C$13:$Y$16,L$22,FALSE)*VLOOKUP($D24,'Units per home'!$A$40:$U$42,'SC-New'!L$22-1,FALSE)</f>
        <v>2052.9500693824225</v>
      </c>
      <c r="M24" s="41">
        <f>$A24*$B24*VLOOKUP($C24,$C$13:$Y$16,M$22,FALSE)*VLOOKUP($D24,'Units per home'!$A$40:$U$42,'SC-New'!M$22-1,FALSE)</f>
        <v>2083.4115515370759</v>
      </c>
      <c r="N24" s="41">
        <f>$A24*$B24*VLOOKUP($C24,$C$13:$Y$16,N$22,FALSE)*VLOOKUP($D24,'Units per home'!$A$40:$U$42,'SC-New'!N$22-1,FALSE)</f>
        <v>2120.0279282007036</v>
      </c>
      <c r="O24" s="41">
        <f>$A24*$B24*VLOOKUP($C24,$C$13:$Y$16,O$22,FALSE)*VLOOKUP($D24,'Units per home'!$A$40:$U$42,'SC-New'!O$22-1,FALSE)</f>
        <v>2108.7841631447882</v>
      </c>
      <c r="P24" s="41">
        <f>$A24*$B24*VLOOKUP($C24,$C$13:$Y$16,P$22,FALSE)*VLOOKUP($D24,'Units per home'!$A$40:$U$42,'SC-New'!P$22-1,FALSE)</f>
        <v>2089.2638124735618</v>
      </c>
      <c r="Q24" s="41">
        <f>$A24*$B24*VLOOKUP($C24,$C$13:$Y$16,Q$22,FALSE)*VLOOKUP($D24,'Units per home'!$A$40:$U$42,'SC-New'!Q$22-1,FALSE)</f>
        <v>2072.4743539468436</v>
      </c>
      <c r="R24" s="41">
        <f>$A24*$B24*VLOOKUP($C24,$C$13:$Y$16,R$22,FALSE)*VLOOKUP($D24,'Units per home'!$A$40:$U$42,'SC-New'!R$22-1,FALSE)</f>
        <v>2029.9977761360731</v>
      </c>
      <c r="S24" s="41">
        <f>$A24*$B24*VLOOKUP($C24,$C$13:$Y$16,S$22,FALSE)*VLOOKUP($D24,'Units per home'!$A$40:$U$42,'SC-New'!S$22-1,FALSE)</f>
        <v>1985.8561111586448</v>
      </c>
      <c r="T24" s="41">
        <f>$A24*$B24*VLOOKUP($C24,$C$13:$Y$16,T$22,FALSE)*VLOOKUP($D24,'Units per home'!$A$40:$U$42,'SC-New'!T$22-1,FALSE)</f>
        <v>1921.7345454932831</v>
      </c>
      <c r="U24" s="41">
        <f>$A24*$B24*VLOOKUP($C24,$C$13:$Y$16,U$22,FALSE)*VLOOKUP($D24,'Units per home'!$A$40:$U$42,'SC-New'!U$22-1,FALSE)</f>
        <v>1865.8821957868197</v>
      </c>
      <c r="V24" s="41">
        <f>$A24*$B24*VLOOKUP($C24,$C$13:$Y$16,V$22,FALSE)*VLOOKUP($D24,'Units per home'!$A$40:$U$42,'SC-New'!V$22-1,FALSE)</f>
        <v>1819.4305395832591</v>
      </c>
      <c r="W24" s="41">
        <f>$A24*$B24*VLOOKUP($C24,$C$13:$Y$16,W$22,FALSE)*VLOOKUP($D24,'Units per home'!$A$40:$U$42,'SC-New'!W$22-1,FALSE)</f>
        <v>1762.0422351772675</v>
      </c>
      <c r="X24" s="41">
        <f>$A24*$B24*VLOOKUP($C24,$C$13:$Y$16,X$22,FALSE)*VLOOKUP($D24,'Units per home'!$A$40:$U$42,'SC-New'!X$22-1,FALSE)</f>
        <v>1755.3762929161157</v>
      </c>
      <c r="Y24" s="41"/>
      <c r="AA24" s="41">
        <f t="shared" si="3"/>
        <v>41679.496308699541</v>
      </c>
    </row>
    <row r="25" spans="1:27">
      <c r="A25" s="63">
        <f>INDEX([2]!ResApplic,MATCH($C$22,[2]APPLIC!$B$9:$B$120,0)+1,MATCH($C25,[2]APPLIC!$C$8:$F$8,0)+1)</f>
        <v>0.2475</v>
      </c>
      <c r="B25" s="77">
        <f>VLOOKUP($D25,'Units per home'!$A$18:$E$24,MATCH($C25,'Units per home'!$B$18:$E$18,0)+1,FALSE)</f>
        <v>0.44414870578030757</v>
      </c>
      <c r="C25" s="9" t="str">
        <f>C15</f>
        <v>Multifamily - High Rise</v>
      </c>
      <c r="D25" s="9" t="s">
        <v>794</v>
      </c>
      <c r="E25" s="41">
        <f>$A25*$B25*VLOOKUP($C25,$C$13:$Y$16,E$22,FALSE)*VLOOKUP($D25,'Units per home'!$A$40:$U$42,'SC-New'!E$22-1,FALSE)</f>
        <v>566.12330942576727</v>
      </c>
      <c r="F25" s="41">
        <f>$A25*$B25*VLOOKUP($C25,$C$13:$Y$16,F$22,FALSE)*VLOOKUP($D25,'Units per home'!$A$40:$U$42,'SC-New'!F$22-1,FALSE)</f>
        <v>562.15297349277932</v>
      </c>
      <c r="G25" s="41">
        <f>$A25*$B25*VLOOKUP($C25,$C$13:$Y$16,G$22,FALSE)*VLOOKUP($D25,'Units per home'!$A$40:$U$42,'SC-New'!G$22-1,FALSE)</f>
        <v>560.02325443781933</v>
      </c>
      <c r="H25" s="41">
        <f>$A25*$B25*VLOOKUP($C25,$C$13:$Y$16,H$22,FALSE)*VLOOKUP($D25,'Units per home'!$A$40:$U$42,'SC-New'!H$22-1,FALSE)</f>
        <v>524.51310196124962</v>
      </c>
      <c r="I25" s="41">
        <f>$A25*$B25*VLOOKUP($C25,$C$13:$Y$16,I$22,FALSE)*VLOOKUP($D25,'Units per home'!$A$40:$U$42,'SC-New'!I$22-1,FALSE)</f>
        <v>480.02354757150516</v>
      </c>
      <c r="J25" s="41">
        <f>$A25*$B25*VLOOKUP($C25,$C$13:$Y$16,J$22,FALSE)*VLOOKUP($D25,'Units per home'!$A$40:$U$42,'SC-New'!J$22-1,FALSE)</f>
        <v>465.48347951433567</v>
      </c>
      <c r="K25" s="41">
        <f>$A25*$B25*VLOOKUP($C25,$C$13:$Y$16,K$22,FALSE)*VLOOKUP($D25,'Units per home'!$A$40:$U$42,'SC-New'!K$22-1,FALSE)</f>
        <v>458.39894960604227</v>
      </c>
      <c r="L25" s="41">
        <f>$A25*$B25*VLOOKUP($C25,$C$13:$Y$16,L$22,FALSE)*VLOOKUP($D25,'Units per home'!$A$40:$U$42,'SC-New'!L$22-1,FALSE)</f>
        <v>468.38701086875801</v>
      </c>
      <c r="M25" s="41">
        <f>$A25*$B25*VLOOKUP($C25,$C$13:$Y$16,M$22,FALSE)*VLOOKUP($D25,'Units per home'!$A$40:$U$42,'SC-New'!M$22-1,FALSE)</f>
        <v>471.99512162039724</v>
      </c>
      <c r="N25" s="41">
        <f>$A25*$B25*VLOOKUP($C25,$C$13:$Y$16,N$22,FALSE)*VLOOKUP($D25,'Units per home'!$A$40:$U$42,'SC-New'!N$22-1,FALSE)</f>
        <v>480.24028034671528</v>
      </c>
      <c r="O25" s="41">
        <f>$A25*$B25*VLOOKUP($C25,$C$13:$Y$16,O$22,FALSE)*VLOOKUP($D25,'Units per home'!$A$40:$U$42,'SC-New'!O$22-1,FALSE)</f>
        <v>471.94288608326133</v>
      </c>
      <c r="P25" s="41">
        <f>$A25*$B25*VLOOKUP($C25,$C$13:$Y$16,P$22,FALSE)*VLOOKUP($D25,'Units per home'!$A$40:$U$42,'SC-New'!P$22-1,FALSE)</f>
        <v>466.66967960911404</v>
      </c>
      <c r="Q25" s="41">
        <f>$A25*$B25*VLOOKUP($C25,$C$13:$Y$16,Q$22,FALSE)*VLOOKUP($D25,'Units per home'!$A$40:$U$42,'SC-New'!Q$22-1,FALSE)</f>
        <v>458.92616693447269</v>
      </c>
      <c r="R25" s="41">
        <f>$A25*$B25*VLOOKUP($C25,$C$13:$Y$16,R$22,FALSE)*VLOOKUP($D25,'Units per home'!$A$40:$U$42,'SC-New'!R$22-1,FALSE)</f>
        <v>453.04194048782159</v>
      </c>
      <c r="S25" s="41">
        <f>$A25*$B25*VLOOKUP($C25,$C$13:$Y$16,S$22,FALSE)*VLOOKUP($D25,'Units per home'!$A$40:$U$42,'SC-New'!S$22-1,FALSE)</f>
        <v>445.30195893289448</v>
      </c>
      <c r="T25" s="41">
        <f>$A25*$B25*VLOOKUP($C25,$C$13:$Y$16,T$22,FALSE)*VLOOKUP($D25,'Units per home'!$A$40:$U$42,'SC-New'!T$22-1,FALSE)</f>
        <v>430.6183578613909</v>
      </c>
      <c r="U25" s="41">
        <f>$A25*$B25*VLOOKUP($C25,$C$13:$Y$16,U$22,FALSE)*VLOOKUP($D25,'Units per home'!$A$40:$U$42,'SC-New'!U$22-1,FALSE)</f>
        <v>418.60472777304335</v>
      </c>
      <c r="V25" s="41">
        <f>$A25*$B25*VLOOKUP($C25,$C$13:$Y$16,V$22,FALSE)*VLOOKUP($D25,'Units per home'!$A$40:$U$42,'SC-New'!V$22-1,FALSE)</f>
        <v>403.90274099915661</v>
      </c>
      <c r="W25" s="41">
        <f>$A25*$B25*VLOOKUP($C25,$C$13:$Y$16,W$22,FALSE)*VLOOKUP($D25,'Units per home'!$A$40:$U$42,'SC-New'!W$22-1,FALSE)</f>
        <v>397.31983359862005</v>
      </c>
      <c r="X25" s="41">
        <f>$A25*$B25*VLOOKUP($C25,$C$13:$Y$16,X$22,FALSE)*VLOOKUP($D25,'Units per home'!$A$40:$U$42,'SC-New'!X$22-1,FALSE)</f>
        <v>395.50976596262899</v>
      </c>
      <c r="Y25" s="41"/>
      <c r="AA25" s="41">
        <f t="shared" si="3"/>
        <v>9379.1790870877703</v>
      </c>
    </row>
    <row r="26" spans="1:27">
      <c r="A26" s="63">
        <f>INDEX([2]!ResApplic,MATCH($C$22,[2]APPLIC!$B$9:$B$120,0)+1,MATCH($C26,[2]APPLIC!$C$8:$F$8,0)+1)</f>
        <v>0.2475</v>
      </c>
      <c r="B26" s="77">
        <f>VLOOKUP($D26,'Units per home'!$A$18:$E$24,MATCH($C26,'Units per home'!$B$18:$E$18,0)+1,FALSE)</f>
        <v>0.70646803257015534</v>
      </c>
      <c r="C26" t="s">
        <v>51</v>
      </c>
      <c r="D26" s="9" t="s">
        <v>794</v>
      </c>
      <c r="E26" s="41">
        <f>$A26*$B26*VLOOKUP($C26,$C$13:$Y$16,E$22,FALSE)*VLOOKUP($D26,'Units per home'!$A$40:$U$42,'SC-New'!E$22-1,FALSE)</f>
        <v>322.12830839480654</v>
      </c>
      <c r="F26" s="41">
        <f>$A26*$B26*VLOOKUP($C26,$C$13:$Y$16,F$22,FALSE)*VLOOKUP($D26,'Units per home'!$A$40:$U$42,'SC-New'!F$22-1,FALSE)</f>
        <v>321.11739772275092</v>
      </c>
      <c r="G26" s="41">
        <f>$A26*$B26*VLOOKUP($C26,$C$13:$Y$16,G$22,FALSE)*VLOOKUP($D26,'Units per home'!$A$40:$U$42,'SC-New'!G$22-1,FALSE)</f>
        <v>329.38008288717765</v>
      </c>
      <c r="H26" s="41">
        <f>$A26*$B26*VLOOKUP($C26,$C$13:$Y$16,H$22,FALSE)*VLOOKUP($D26,'Units per home'!$A$40:$U$42,'SC-New'!H$22-1,FALSE)</f>
        <v>338.21030142526649</v>
      </c>
      <c r="I26" s="41">
        <f>$A26*$B26*VLOOKUP($C26,$C$13:$Y$16,I$22,FALSE)*VLOOKUP($D26,'Units per home'!$A$40:$U$42,'SC-New'!I$22-1,FALSE)</f>
        <v>324.64229899605203</v>
      </c>
      <c r="J26" s="41">
        <f>$A26*$B26*VLOOKUP($C26,$C$13:$Y$16,J$22,FALSE)*VLOOKUP($D26,'Units per home'!$A$40:$U$42,'SC-New'!J$22-1,FALSE)</f>
        <v>316.63841258490794</v>
      </c>
      <c r="K26" s="41">
        <f>$A26*$B26*VLOOKUP($C26,$C$13:$Y$16,K$22,FALSE)*VLOOKUP($D26,'Units per home'!$A$40:$U$42,'SC-New'!K$22-1,FALSE)</f>
        <v>314.79803534155758</v>
      </c>
      <c r="L26" s="41">
        <f>$A26*$B26*VLOOKUP($C26,$C$13:$Y$16,L$22,FALSE)*VLOOKUP($D26,'Units per home'!$A$40:$U$42,'SC-New'!L$22-1,FALSE)</f>
        <v>313.66564848483466</v>
      </c>
      <c r="M26" s="41">
        <f>$A26*$B26*VLOOKUP($C26,$C$13:$Y$16,M$22,FALSE)*VLOOKUP($D26,'Units per home'!$A$40:$U$42,'SC-New'!M$22-1,FALSE)</f>
        <v>312.46550861733738</v>
      </c>
      <c r="N26" s="41">
        <f>$A26*$B26*VLOOKUP($C26,$C$13:$Y$16,N$22,FALSE)*VLOOKUP($D26,'Units per home'!$A$40:$U$42,'SC-New'!N$22-1,FALSE)</f>
        <v>309.73945143704799</v>
      </c>
      <c r="O26" s="41">
        <f>$A26*$B26*VLOOKUP($C26,$C$13:$Y$16,O$22,FALSE)*VLOOKUP($D26,'Units per home'!$A$40:$U$42,'SC-New'!O$22-1,FALSE)</f>
        <v>305.15971707279851</v>
      </c>
      <c r="P26" s="41">
        <f>$A26*$B26*VLOOKUP($C26,$C$13:$Y$16,P$22,FALSE)*VLOOKUP($D26,'Units per home'!$A$40:$U$42,'SC-New'!P$22-1,FALSE)</f>
        <v>301.93405033188077</v>
      </c>
      <c r="Q26" s="41">
        <f>$A26*$B26*VLOOKUP($C26,$C$13:$Y$16,Q$22,FALSE)*VLOOKUP($D26,'Units per home'!$A$40:$U$42,'SC-New'!Q$22-1,FALSE)</f>
        <v>299.45444667775729</v>
      </c>
      <c r="R26" s="41">
        <f>$A26*$B26*VLOOKUP($C26,$C$13:$Y$16,R$22,FALSE)*VLOOKUP($D26,'Units per home'!$A$40:$U$42,'SC-New'!R$22-1,FALSE)</f>
        <v>296.87461964748934</v>
      </c>
      <c r="S26" s="41">
        <f>$A26*$B26*VLOOKUP($C26,$C$13:$Y$16,S$22,FALSE)*VLOOKUP($D26,'Units per home'!$A$40:$U$42,'SC-New'!S$22-1,FALSE)</f>
        <v>294.06877637149029</v>
      </c>
      <c r="T26" s="41">
        <f>$A26*$B26*VLOOKUP($C26,$C$13:$Y$16,T$22,FALSE)*VLOOKUP($D26,'Units per home'!$A$40:$U$42,'SC-New'!T$22-1,FALSE)</f>
        <v>290.37472033753693</v>
      </c>
      <c r="U26" s="41">
        <f>$A26*$B26*VLOOKUP($C26,$C$13:$Y$16,U$22,FALSE)*VLOOKUP($D26,'Units per home'!$A$40:$U$42,'SC-New'!U$22-1,FALSE)</f>
        <v>286.63035103952382</v>
      </c>
      <c r="V26" s="41">
        <f>$A26*$B26*VLOOKUP($C26,$C$13:$Y$16,V$22,FALSE)*VLOOKUP($D26,'Units per home'!$A$40:$U$42,'SC-New'!V$22-1,FALSE)</f>
        <v>283.11464602591667</v>
      </c>
      <c r="W26" s="41">
        <f>$A26*$B26*VLOOKUP($C26,$C$13:$Y$16,W$22,FALSE)*VLOOKUP($D26,'Units per home'!$A$40:$U$42,'SC-New'!W$22-1,FALSE)</f>
        <v>279.6523132448059</v>
      </c>
      <c r="X26" s="41">
        <f>$A26*$B26*VLOOKUP($C26,$C$13:$Y$16,X$22,FALSE)*VLOOKUP($D26,'Units per home'!$A$40:$U$42,'SC-New'!X$22-1,FALSE)</f>
        <v>279.68531971546491</v>
      </c>
      <c r="Y26" s="41"/>
      <c r="AA26" s="41">
        <f t="shared" si="3"/>
        <v>6119.7344063564042</v>
      </c>
    </row>
    <row r="27" spans="1:27">
      <c r="A27" s="63">
        <f>INDEX([2]!ResApplic,MATCH($C$22,[2]APPLIC!$B$9:$B$120,0)+1,MATCH($C27,[2]APPLIC!$C$8:$F$8,0)+1)</f>
        <v>0.33660000000000001</v>
      </c>
      <c r="B27" s="77">
        <f>VLOOKUP($D27,'Units per home'!$A$18:$E$24,MATCH($C27,'Units per home'!$B$18:$E$18,0)+1,FALSE)</f>
        <v>2.6054137843968896</v>
      </c>
      <c r="C27" s="9" t="str">
        <f>C23</f>
        <v>Single Family</v>
      </c>
      <c r="D27" s="9" t="s">
        <v>795</v>
      </c>
      <c r="E27" s="41">
        <f>$A27*$B27*VLOOKUP($C27,$C$13:$Y$16,E$22,FALSE)*VLOOKUP($D27,'Units per home'!$A$40:$U$42,'SC-New'!E$22-1,FALSE)</f>
        <v>73215.696570819186</v>
      </c>
      <c r="F27" s="41">
        <f>$A27*$B27*VLOOKUP($C27,$C$13:$Y$16,F$22,FALSE)*VLOOKUP($D27,'Units per home'!$A$40:$U$42,'SC-New'!F$22-1,FALSE)</f>
        <v>74499.097138661353</v>
      </c>
      <c r="G27" s="41">
        <f>$A27*$B27*VLOOKUP($C27,$C$13:$Y$16,G$22,FALSE)*VLOOKUP($D27,'Units per home'!$A$40:$U$42,'SC-New'!G$22-1,FALSE)</f>
        <v>73810.002781213174</v>
      </c>
      <c r="H27" s="41">
        <f>$A27*$B27*VLOOKUP($C27,$C$13:$Y$16,H$22,FALSE)*VLOOKUP($D27,'Units per home'!$A$40:$U$42,'SC-New'!H$22-1,FALSE)</f>
        <v>73718.567353422477</v>
      </c>
      <c r="I27" s="41">
        <f>$A27*$B27*VLOOKUP($C27,$C$13:$Y$16,I$22,FALSE)*VLOOKUP($D27,'Units per home'!$A$40:$U$42,'SC-New'!I$22-1,FALSE)</f>
        <v>82525.639866819751</v>
      </c>
      <c r="J27" s="41">
        <f>$A27*$B27*VLOOKUP($C27,$C$13:$Y$16,J$22,FALSE)*VLOOKUP($D27,'Units per home'!$A$40:$U$42,'SC-New'!J$22-1,FALSE)</f>
        <v>78993.459617726199</v>
      </c>
      <c r="K27" s="41">
        <f>$A27*$B27*VLOOKUP($C27,$C$13:$Y$16,K$22,FALSE)*VLOOKUP($D27,'Units per home'!$A$40:$U$42,'SC-New'!K$22-1,FALSE)</f>
        <v>77138.588704748603</v>
      </c>
      <c r="L27" s="41">
        <f>$A27*$B27*VLOOKUP($C27,$C$13:$Y$16,L$22,FALSE)*VLOOKUP($D27,'Units per home'!$A$40:$U$42,'SC-New'!L$22-1,FALSE)</f>
        <v>77128.978164102213</v>
      </c>
      <c r="M27" s="41">
        <f>$A27*$B27*VLOOKUP($C27,$C$13:$Y$16,M$22,FALSE)*VLOOKUP($D27,'Units per home'!$A$40:$U$42,'SC-New'!M$22-1,FALSE)</f>
        <v>76686.650469362954</v>
      </c>
      <c r="N27" s="41">
        <f>$A27*$B27*VLOOKUP($C27,$C$13:$Y$16,N$22,FALSE)*VLOOKUP($D27,'Units per home'!$A$40:$U$42,'SC-New'!N$22-1,FALSE)</f>
        <v>78393.739440161153</v>
      </c>
      <c r="O27" s="41">
        <f>$A27*$B27*VLOOKUP($C27,$C$13:$Y$16,O$22,FALSE)*VLOOKUP($D27,'Units per home'!$A$40:$U$42,'SC-New'!O$22-1,FALSE)</f>
        <v>79275.114621020854</v>
      </c>
      <c r="P27" s="41">
        <f>$A27*$B27*VLOOKUP($C27,$C$13:$Y$16,P$22,FALSE)*VLOOKUP($D27,'Units per home'!$A$40:$U$42,'SC-New'!P$22-1,FALSE)</f>
        <v>78583.176566706636</v>
      </c>
      <c r="Q27" s="41">
        <f>$A27*$B27*VLOOKUP($C27,$C$13:$Y$16,Q$22,FALSE)*VLOOKUP($D27,'Units per home'!$A$40:$U$42,'SC-New'!Q$22-1,FALSE)</f>
        <v>76806.212831379395</v>
      </c>
      <c r="R27" s="41">
        <f>$A27*$B27*VLOOKUP($C27,$C$13:$Y$16,R$22,FALSE)*VLOOKUP($D27,'Units per home'!$A$40:$U$42,'SC-New'!R$22-1,FALSE)</f>
        <v>77184.15026552268</v>
      </c>
      <c r="S27" s="41">
        <f>$A27*$B27*VLOOKUP($C27,$C$13:$Y$16,S$22,FALSE)*VLOOKUP($D27,'Units per home'!$A$40:$U$42,'SC-New'!S$22-1,FALSE)</f>
        <v>78385.54614369644</v>
      </c>
      <c r="T27" s="41">
        <f>$A27*$B27*VLOOKUP($C27,$C$13:$Y$16,T$22,FALSE)*VLOOKUP($D27,'Units per home'!$A$40:$U$42,'SC-New'!T$22-1,FALSE)</f>
        <v>78232.509880620128</v>
      </c>
      <c r="U27" s="41">
        <f>$A27*$B27*VLOOKUP($C27,$C$13:$Y$16,U$22,FALSE)*VLOOKUP($D27,'Units per home'!$A$40:$U$42,'SC-New'!U$22-1,FALSE)</f>
        <v>75819.647144549745</v>
      </c>
      <c r="V27" s="41">
        <f>$A27*$B27*VLOOKUP($C27,$C$13:$Y$16,V$22,FALSE)*VLOOKUP($D27,'Units per home'!$A$40:$U$42,'SC-New'!V$22-1,FALSE)</f>
        <v>75858.853377238964</v>
      </c>
      <c r="W27" s="41">
        <f>$A27*$B27*VLOOKUP($C27,$C$13:$Y$16,W$22,FALSE)*VLOOKUP($D27,'Units per home'!$A$40:$U$42,'SC-New'!W$22-1,FALSE)</f>
        <v>76218.207821265096</v>
      </c>
      <c r="X27" s="41">
        <f>$A27*$B27*VLOOKUP($C27,$C$13:$Y$16,X$22,FALSE)*VLOOKUP($D27,'Units per home'!$A$40:$U$42,'SC-New'!X$22-1,FALSE)</f>
        <v>76902.924235857674</v>
      </c>
      <c r="Y27" s="41"/>
      <c r="AA27" s="41">
        <f t="shared" ref="AA27:AA30" si="4">SUM(E27:Y27)</f>
        <v>1539376.7629948948</v>
      </c>
    </row>
    <row r="28" spans="1:27">
      <c r="A28" s="63">
        <f>INDEX([2]!ResApplic,MATCH($C$22,[2]APPLIC!$B$9:$B$120,0)+1,MATCH($C28,[2]APPLIC!$C$8:$F$8,0)+1)</f>
        <v>0.2475</v>
      </c>
      <c r="B28" s="77">
        <f>VLOOKUP($D28,'Units per home'!$A$18:$E$24,MATCH($C28,'Units per home'!$B$18:$E$18,0)+1,FALSE)</f>
        <v>1.5145007606068333</v>
      </c>
      <c r="C28" s="9" t="str">
        <f t="shared" ref="C28:C30" si="5">C24</f>
        <v>Multifamily - Low Rise</v>
      </c>
      <c r="D28" s="9" t="s">
        <v>795</v>
      </c>
      <c r="E28" s="41">
        <f>$A28*$B28*VLOOKUP($C28,$C$13:$Y$16,E$22,FALSE)*VLOOKUP($D28,'Units per home'!$A$40:$U$42,'SC-New'!E$22-1,FALSE)</f>
        <v>11621.940347541124</v>
      </c>
      <c r="F28" s="41">
        <f>$A28*$B28*VLOOKUP($C28,$C$13:$Y$16,F$22,FALSE)*VLOOKUP($D28,'Units per home'!$A$40:$U$42,'SC-New'!F$22-1,FALSE)</f>
        <v>12223.257845697064</v>
      </c>
      <c r="G28" s="41">
        <f>$A28*$B28*VLOOKUP($C28,$C$13:$Y$16,G$22,FALSE)*VLOOKUP($D28,'Units per home'!$A$40:$U$42,'SC-New'!G$22-1,FALSE)</f>
        <v>12662.419515865507</v>
      </c>
      <c r="H28" s="41">
        <f>$A28*$B28*VLOOKUP($C28,$C$13:$Y$16,H$22,FALSE)*VLOOKUP($D28,'Units per home'!$A$40:$U$42,'SC-New'!H$22-1,FALSE)</f>
        <v>12656.115721577082</v>
      </c>
      <c r="I28" s="41">
        <f>$A28*$B28*VLOOKUP($C28,$C$13:$Y$16,I$22,FALSE)*VLOOKUP($D28,'Units per home'!$A$40:$U$42,'SC-New'!I$22-1,FALSE)</f>
        <v>13723.481101574338</v>
      </c>
      <c r="J28" s="41">
        <f>$A28*$B28*VLOOKUP($C28,$C$13:$Y$16,J$22,FALSE)*VLOOKUP($D28,'Units per home'!$A$40:$U$42,'SC-New'!J$22-1,FALSE)</f>
        <v>13291.718589963424</v>
      </c>
      <c r="K28" s="41">
        <f>$A28*$B28*VLOOKUP($C28,$C$13:$Y$16,K$22,FALSE)*VLOOKUP($D28,'Units per home'!$A$40:$U$42,'SC-New'!K$22-1,FALSE)</f>
        <v>13230.220243235844</v>
      </c>
      <c r="L28" s="41">
        <f>$A28*$B28*VLOOKUP($C28,$C$13:$Y$16,L$22,FALSE)*VLOOKUP($D28,'Units per home'!$A$40:$U$42,'SC-New'!L$22-1,FALSE)</f>
        <v>13539.300895557555</v>
      </c>
      <c r="M28" s="41">
        <f>$A28*$B28*VLOOKUP($C28,$C$13:$Y$16,M$22,FALSE)*VLOOKUP($D28,'Units per home'!$A$40:$U$42,'SC-New'!M$22-1,FALSE)</f>
        <v>13932.829083892208</v>
      </c>
      <c r="N28" s="41">
        <f>$A28*$B28*VLOOKUP($C28,$C$13:$Y$16,N$22,FALSE)*VLOOKUP($D28,'Units per home'!$A$40:$U$42,'SC-New'!N$22-1,FALSE)</f>
        <v>14374.641423263954</v>
      </c>
      <c r="O28" s="41">
        <f>$A28*$B28*VLOOKUP($C28,$C$13:$Y$16,O$22,FALSE)*VLOOKUP($D28,'Units per home'!$A$40:$U$42,'SC-New'!O$22-1,FALSE)</f>
        <v>14495.711169546279</v>
      </c>
      <c r="P28" s="41">
        <f>$A28*$B28*VLOOKUP($C28,$C$13:$Y$16,P$22,FALSE)*VLOOKUP($D28,'Units per home'!$A$40:$U$42,'SC-New'!P$22-1,FALSE)</f>
        <v>14560.063785166049</v>
      </c>
      <c r="Q28" s="41">
        <f>$A28*$B28*VLOOKUP($C28,$C$13:$Y$16,Q$22,FALSE)*VLOOKUP($D28,'Units per home'!$A$40:$U$42,'SC-New'!Q$22-1,FALSE)</f>
        <v>14641.46328947704</v>
      </c>
      <c r="R28" s="41">
        <f>$A28*$B28*VLOOKUP($C28,$C$13:$Y$16,R$22,FALSE)*VLOOKUP($D28,'Units per home'!$A$40:$U$42,'SC-New'!R$22-1,FALSE)</f>
        <v>14538.266540922243</v>
      </c>
      <c r="S28" s="41">
        <f>$A28*$B28*VLOOKUP($C28,$C$13:$Y$16,S$22,FALSE)*VLOOKUP($D28,'Units per home'!$A$40:$U$42,'SC-New'!S$22-1,FALSE)</f>
        <v>14418.352805835155</v>
      </c>
      <c r="T28" s="41">
        <f>$A28*$B28*VLOOKUP($C28,$C$13:$Y$16,T$22,FALSE)*VLOOKUP($D28,'Units per home'!$A$40:$U$42,'SC-New'!T$22-1,FALSE)</f>
        <v>14156.156605799126</v>
      </c>
      <c r="U28" s="41">
        <f>$A28*$B28*VLOOKUP($C28,$C$13:$Y$16,U$22,FALSE)*VLOOKUP($D28,'Units per home'!$A$40:$U$42,'SC-New'!U$22-1,FALSE)</f>
        <v>13947.029469370529</v>
      </c>
      <c r="V28" s="41">
        <f>$A28*$B28*VLOOKUP($C28,$C$13:$Y$16,V$22,FALSE)*VLOOKUP($D28,'Units per home'!$A$40:$U$42,'SC-New'!V$22-1,FALSE)</f>
        <v>13800.94918986144</v>
      </c>
      <c r="W28" s="41">
        <f>$A28*$B28*VLOOKUP($C28,$C$13:$Y$16,W$22,FALSE)*VLOOKUP($D28,'Units per home'!$A$40:$U$42,'SC-New'!W$22-1,FALSE)</f>
        <v>13564.89811166332</v>
      </c>
      <c r="X28" s="41">
        <f>$A28*$B28*VLOOKUP($C28,$C$13:$Y$16,X$22,FALSE)*VLOOKUP($D28,'Units per home'!$A$40:$U$42,'SC-New'!X$22-1,FALSE)</f>
        <v>13543.040071828129</v>
      </c>
      <c r="Y28" s="41"/>
      <c r="AA28" s="41">
        <f t="shared" si="4"/>
        <v>272921.85580763745</v>
      </c>
    </row>
    <row r="29" spans="1:27">
      <c r="A29" s="63">
        <f>INDEX([2]!ResApplic,MATCH($C$22,[2]APPLIC!$B$9:$B$120,0)+1,MATCH($C29,[2]APPLIC!$C$8:$F$8,0)+1)</f>
        <v>0.2475</v>
      </c>
      <c r="B29" s="77">
        <f>VLOOKUP($D29,'Units per home'!$A$18:$E$24,MATCH($C29,'Units per home'!$B$18:$E$18,0)+1,FALSE)</f>
        <v>1.5145007606068333</v>
      </c>
      <c r="C29" s="9" t="str">
        <f t="shared" si="5"/>
        <v>Multifamily - High Rise</v>
      </c>
      <c r="D29" s="9" t="s">
        <v>795</v>
      </c>
      <c r="E29" s="41">
        <f>$A29*$B29*VLOOKUP($C29,$C$13:$Y$16,E$22,FALSE)*VLOOKUP($D29,'Units per home'!$A$40:$U$42,'SC-New'!E$22-1,FALSE)</f>
        <v>2609.0261725249366</v>
      </c>
      <c r="F29" s="41">
        <f>$A29*$B29*VLOOKUP($C29,$C$13:$Y$16,F$22,FALSE)*VLOOKUP($D29,'Units per home'!$A$40:$U$42,'SC-New'!F$22-1,FALSE)</f>
        <v>2782.6447728795756</v>
      </c>
      <c r="G29" s="41">
        <f>$A29*$B29*VLOOKUP($C29,$C$13:$Y$16,G$22,FALSE)*VLOOKUP($D29,'Units per home'!$A$40:$U$42,'SC-New'!G$22-1,FALSE)</f>
        <v>2926.0067993332982</v>
      </c>
      <c r="H29" s="41">
        <f>$A29*$B29*VLOOKUP($C29,$C$13:$Y$16,H$22,FALSE)*VLOOKUP($D29,'Units per home'!$A$40:$U$42,'SC-New'!H$22-1,FALSE)</f>
        <v>2857.1112078919082</v>
      </c>
      <c r="I29" s="41">
        <f>$A29*$B29*VLOOKUP($C29,$C$13:$Y$16,I$22,FALSE)*VLOOKUP($D29,'Units per home'!$A$40:$U$42,'SC-New'!I$22-1,FALSE)</f>
        <v>3038.0612029602585</v>
      </c>
      <c r="J29" s="41">
        <f>$A29*$B29*VLOOKUP($C29,$C$13:$Y$16,J$22,FALSE)*VLOOKUP($D29,'Units per home'!$A$40:$U$42,'SC-New'!J$22-1,FALSE)</f>
        <v>2986.5470671226617</v>
      </c>
      <c r="K29" s="41">
        <f>$A29*$B29*VLOOKUP($C29,$C$13:$Y$16,K$22,FALSE)*VLOOKUP($D29,'Units per home'!$A$40:$U$42,'SC-New'!K$22-1,FALSE)</f>
        <v>2981.4551257340522</v>
      </c>
      <c r="L29" s="41">
        <f>$A29*$B29*VLOOKUP($C29,$C$13:$Y$16,L$22,FALSE)*VLOOKUP($D29,'Units per home'!$A$40:$U$42,'SC-New'!L$22-1,FALSE)</f>
        <v>3089.0340541163869</v>
      </c>
      <c r="M29" s="41">
        <f>$A29*$B29*VLOOKUP($C29,$C$13:$Y$16,M$22,FALSE)*VLOOKUP($D29,'Units per home'!$A$40:$U$42,'SC-New'!M$22-1,FALSE)</f>
        <v>3156.4706229626954</v>
      </c>
      <c r="N29" s="41">
        <f>$A29*$B29*VLOOKUP($C29,$C$13:$Y$16,N$22,FALSE)*VLOOKUP($D29,'Units per home'!$A$40:$U$42,'SC-New'!N$22-1,FALSE)</f>
        <v>3256.2221163051827</v>
      </c>
      <c r="O29" s="41">
        <f>$A29*$B29*VLOOKUP($C29,$C$13:$Y$16,O$22,FALSE)*VLOOKUP($D29,'Units per home'!$A$40:$U$42,'SC-New'!O$22-1,FALSE)</f>
        <v>3244.1194716594273</v>
      </c>
      <c r="P29" s="41">
        <f>$A29*$B29*VLOOKUP($C29,$C$13:$Y$16,P$22,FALSE)*VLOOKUP($D29,'Units per home'!$A$40:$U$42,'SC-New'!P$22-1,FALSE)</f>
        <v>3252.2174850035549</v>
      </c>
      <c r="Q29" s="41">
        <f>$A29*$B29*VLOOKUP($C29,$C$13:$Y$16,Q$22,FALSE)*VLOOKUP($D29,'Units per home'!$A$40:$U$42,'SC-New'!Q$22-1,FALSE)</f>
        <v>3242.1875874869497</v>
      </c>
      <c r="R29" s="41">
        <f>$A29*$B29*VLOOKUP($C29,$C$13:$Y$16,R$22,FALSE)*VLOOKUP($D29,'Units per home'!$A$40:$U$42,'SC-New'!R$22-1,FALSE)</f>
        <v>3244.5574879226301</v>
      </c>
      <c r="S29" s="41">
        <f>$A29*$B29*VLOOKUP($C29,$C$13:$Y$16,S$22,FALSE)*VLOOKUP($D29,'Units per home'!$A$40:$U$42,'SC-New'!S$22-1,FALSE)</f>
        <v>3233.1248537830602</v>
      </c>
      <c r="T29" s="41">
        <f>$A29*$B29*VLOOKUP($C29,$C$13:$Y$16,T$22,FALSE)*VLOOKUP($D29,'Units per home'!$A$40:$U$42,'SC-New'!T$22-1,FALSE)</f>
        <v>3172.0827028444583</v>
      </c>
      <c r="U29" s="41">
        <f>$A29*$B29*VLOOKUP($C29,$C$13:$Y$16,U$22,FALSE)*VLOOKUP($D29,'Units per home'!$A$40:$U$42,'SC-New'!U$22-1,FALSE)</f>
        <v>3128.9716400378252</v>
      </c>
      <c r="V29" s="41">
        <f>$A29*$B29*VLOOKUP($C29,$C$13:$Y$16,V$22,FALSE)*VLOOKUP($D29,'Units per home'!$A$40:$U$42,'SC-New'!V$22-1,FALSE)</f>
        <v>3063.7285045528074</v>
      </c>
      <c r="W29" s="41">
        <f>$A29*$B29*VLOOKUP($C29,$C$13:$Y$16,W$22,FALSE)*VLOOKUP($D29,'Units per home'!$A$40:$U$42,'SC-New'!W$22-1,FALSE)</f>
        <v>3058.7252410360602</v>
      </c>
      <c r="X29" s="41">
        <f>$A29*$B29*VLOOKUP($C29,$C$13:$Y$16,X$22,FALSE)*VLOOKUP($D29,'Units per home'!$A$40:$U$42,'SC-New'!X$22-1,FALSE)</f>
        <v>3051.4281358630701</v>
      </c>
      <c r="Y29" s="41"/>
      <c r="AA29" s="41">
        <f t="shared" si="4"/>
        <v>61373.722252020802</v>
      </c>
    </row>
    <row r="30" spans="1:27">
      <c r="A30" s="63">
        <f>INDEX([2]!ResApplic,MATCH($C$22,[2]APPLIC!$B$9:$B$120,0)+1,MATCH($C30,[2]APPLIC!$C$8:$F$8,0)+1)</f>
        <v>0.2475</v>
      </c>
      <c r="B30" s="77">
        <f>VLOOKUP($D30,'Units per home'!$A$18:$E$24,MATCH($C30,'Units per home'!$B$18:$E$18,0)+1,FALSE)</f>
        <v>2.0454162110233622</v>
      </c>
      <c r="C30" s="9" t="str">
        <f t="shared" si="5"/>
        <v>Manufactured</v>
      </c>
      <c r="D30" s="9" t="s">
        <v>795</v>
      </c>
      <c r="E30" s="41">
        <f>$A30*$B30*VLOOKUP($C30,$C$13:$Y$16,E$22,FALSE)*VLOOKUP($D30,'Units per home'!$A$40:$U$42,'SC-New'!E$22-1,FALSE)</f>
        <v>1260.5044255385958</v>
      </c>
      <c r="F30" s="41">
        <f>$A30*$B30*VLOOKUP($C30,$C$13:$Y$16,F$22,FALSE)*VLOOKUP($D30,'Units per home'!$A$40:$U$42,'SC-New'!F$22-1,FALSE)</f>
        <v>1349.6314068717043</v>
      </c>
      <c r="G30" s="41">
        <f>$A30*$B30*VLOOKUP($C30,$C$13:$Y$16,G$22,FALSE)*VLOOKUP($D30,'Units per home'!$A$40:$U$42,'SC-New'!G$22-1,FALSE)</f>
        <v>1461.2169060463248</v>
      </c>
      <c r="H30" s="41">
        <f>$A30*$B30*VLOOKUP($C30,$C$13:$Y$16,H$22,FALSE)*VLOOKUP($D30,'Units per home'!$A$40:$U$42,'SC-New'!H$22-1,FALSE)</f>
        <v>1564.2483989633065</v>
      </c>
      <c r="I30" s="41">
        <f>$A30*$B30*VLOOKUP($C30,$C$13:$Y$16,I$22,FALSE)*VLOOKUP($D30,'Units per home'!$A$40:$U$42,'SC-New'!I$22-1,FALSE)</f>
        <v>1744.5650410009089</v>
      </c>
      <c r="J30" s="41">
        <f>$A30*$B30*VLOOKUP($C30,$C$13:$Y$16,J$22,FALSE)*VLOOKUP($D30,'Units per home'!$A$40:$U$42,'SC-New'!J$22-1,FALSE)</f>
        <v>1724.9510482906294</v>
      </c>
      <c r="K30" s="41">
        <f>$A30*$B30*VLOOKUP($C30,$C$13:$Y$16,K$22,FALSE)*VLOOKUP($D30,'Units per home'!$A$40:$U$42,'SC-New'!K$22-1,FALSE)</f>
        <v>1738.4602317997694</v>
      </c>
      <c r="L30" s="41">
        <f>$A30*$B30*VLOOKUP($C30,$C$13:$Y$16,L$22,FALSE)*VLOOKUP($D30,'Units per home'!$A$40:$U$42,'SC-New'!L$22-1,FALSE)</f>
        <v>1756.4382897504065</v>
      </c>
      <c r="M30" s="41">
        <f>$A30*$B30*VLOOKUP($C30,$C$13:$Y$16,M$22,FALSE)*VLOOKUP($D30,'Units per home'!$A$40:$U$42,'SC-New'!M$22-1,FALSE)</f>
        <v>1774.2483521526817</v>
      </c>
      <c r="N30" s="41">
        <f>$A30*$B30*VLOOKUP($C30,$C$13:$Y$16,N$22,FALSE)*VLOOKUP($D30,'Units per home'!$A$40:$U$42,'SC-New'!N$22-1,FALSE)</f>
        <v>1783.1999633415671</v>
      </c>
      <c r="O30" s="41">
        <f>$A30*$B30*VLOOKUP($C30,$C$13:$Y$16,O$22,FALSE)*VLOOKUP($D30,'Units per home'!$A$40:$U$42,'SC-New'!O$22-1,FALSE)</f>
        <v>1781.0769492111247</v>
      </c>
      <c r="P30" s="41">
        <f>$A30*$B30*VLOOKUP($C30,$C$13:$Y$16,P$22,FALSE)*VLOOKUP($D30,'Units per home'!$A$40:$U$42,'SC-New'!P$22-1,FALSE)</f>
        <v>1786.6116941180339</v>
      </c>
      <c r="Q30" s="41">
        <f>$A30*$B30*VLOOKUP($C30,$C$13:$Y$16,Q$22,FALSE)*VLOOKUP($D30,'Units per home'!$A$40:$U$42,'SC-New'!Q$22-1,FALSE)</f>
        <v>1796.2805531096458</v>
      </c>
      <c r="R30" s="41">
        <f>$A30*$B30*VLOOKUP($C30,$C$13:$Y$16,R$22,FALSE)*VLOOKUP($D30,'Units per home'!$A$40:$U$42,'SC-New'!R$22-1,FALSE)</f>
        <v>1805.2535973949798</v>
      </c>
      <c r="S30" s="41">
        <f>$A30*$B30*VLOOKUP($C30,$C$13:$Y$16,S$22,FALSE)*VLOOKUP($D30,'Units per home'!$A$40:$U$42,'SC-New'!S$22-1,FALSE)</f>
        <v>1812.862513802691</v>
      </c>
      <c r="T30" s="41">
        <f>$A30*$B30*VLOOKUP($C30,$C$13:$Y$16,T$22,FALSE)*VLOOKUP($D30,'Units per home'!$A$40:$U$42,'SC-New'!T$22-1,FALSE)</f>
        <v>1816.1798361630695</v>
      </c>
      <c r="U30" s="41">
        <f>$A30*$B30*VLOOKUP($C30,$C$13:$Y$16,U$22,FALSE)*VLOOKUP($D30,'Units per home'!$A$40:$U$42,'SC-New'!U$22-1,FALSE)</f>
        <v>1819.1468437982155</v>
      </c>
      <c r="V30" s="41">
        <f>$A30*$B30*VLOOKUP($C30,$C$13:$Y$16,V$22,FALSE)*VLOOKUP($D30,'Units per home'!$A$40:$U$42,'SC-New'!V$22-1,FALSE)</f>
        <v>1823.4081743499266</v>
      </c>
      <c r="W30" s="41">
        <f>$A30*$B30*VLOOKUP($C30,$C$13:$Y$16,W$22,FALSE)*VLOOKUP($D30,'Units per home'!$A$40:$U$42,'SC-New'!W$22-1,FALSE)</f>
        <v>1827.9601425523886</v>
      </c>
      <c r="X30" s="41">
        <f>$A30*$B30*VLOOKUP($C30,$C$13:$Y$16,X$22,FALSE)*VLOOKUP($D30,'Units per home'!$A$40:$U$42,'SC-New'!X$22-1,FALSE)</f>
        <v>1832.161234989652</v>
      </c>
      <c r="Y30" s="41"/>
      <c r="AA30" s="41">
        <f t="shared" si="4"/>
        <v>34258.405603245614</v>
      </c>
    </row>
    <row r="31" spans="1:27">
      <c r="A31" s="63">
        <f>INDEX([2]!ResApplic,MATCH($C$22,[2]APPLIC!$B$9:$B$120,0)+1,MATCH($C31,[2]APPLIC!$C$8:$F$8,0)+1)</f>
        <v>0.33660000000000001</v>
      </c>
      <c r="B31" s="77">
        <f>VLOOKUP($D31,'Units per home'!$A$18:$E$24,MATCH($C31,'Units per home'!$B$18:$E$18,0)+1,FALSE)</f>
        <v>3.5696975918565244</v>
      </c>
      <c r="C31" s="9" t="str">
        <f>C23</f>
        <v>Single Family</v>
      </c>
      <c r="D31" s="9" t="s">
        <v>793</v>
      </c>
      <c r="E31" s="41">
        <f>$A31*$B31*VLOOKUP($C31,$C$13:$Y$16,E$22,FALSE)*VLOOKUP($D31,'Units per home'!$A$40:$U$42,'SC-New'!E$22-1,FALSE)</f>
        <v>87267.692985344591</v>
      </c>
      <c r="F31" s="41">
        <f>$A31*$B31*VLOOKUP($C31,$C$13:$Y$16,F$22,FALSE)*VLOOKUP($D31,'Units per home'!$A$40:$U$42,'SC-New'!F$22-1,FALSE)</f>
        <v>86193.037523348597</v>
      </c>
      <c r="G31" s="41">
        <f>$A31*$B31*VLOOKUP($C31,$C$13:$Y$16,G$22,FALSE)*VLOOKUP($D31,'Units per home'!$A$40:$U$42,'SC-New'!G$22-1,FALSE)</f>
        <v>83563.663221665192</v>
      </c>
      <c r="H31" s="41">
        <f>$A31*$B31*VLOOKUP($C31,$C$13:$Y$16,H$22,FALSE)*VLOOKUP($D31,'Units per home'!$A$40:$U$42,'SC-New'!H$22-1,FALSE)</f>
        <v>82114.640462609168</v>
      </c>
      <c r="I31" s="41">
        <f>$A31*$B31*VLOOKUP($C31,$C$13:$Y$16,I$22,FALSE)*VLOOKUP($D31,'Units per home'!$A$40:$U$42,'SC-New'!I$22-1,FALSE)</f>
        <v>86993.866787113831</v>
      </c>
      <c r="J31" s="41">
        <f>$A31*$B31*VLOOKUP($C31,$C$13:$Y$16,J$22,FALSE)*VLOOKUP($D31,'Units per home'!$A$40:$U$42,'SC-New'!J$22-1,FALSE)</f>
        <v>82874.972588686273</v>
      </c>
      <c r="K31" s="41">
        <f>$A31*$B31*VLOOKUP($C31,$C$13:$Y$16,K$22,FALSE)*VLOOKUP($D31,'Units per home'!$A$40:$U$42,'SC-New'!K$22-1,FALSE)</f>
        <v>80548.749981099201</v>
      </c>
      <c r="L31" s="41">
        <f>$A31*$B31*VLOOKUP($C31,$C$13:$Y$16,L$22,FALSE)*VLOOKUP($D31,'Units per home'!$A$40:$U$42,'SC-New'!L$22-1,FALSE)</f>
        <v>80156.551860182473</v>
      </c>
      <c r="M31" s="41">
        <f>$A31*$B31*VLOOKUP($C31,$C$13:$Y$16,M$22,FALSE)*VLOOKUP($D31,'Units per home'!$A$40:$U$42,'SC-New'!M$22-1,FALSE)</f>
        <v>79321.318200240232</v>
      </c>
      <c r="N31" s="41">
        <f>$A31*$B31*VLOOKUP($C31,$C$13:$Y$16,N$22,FALSE)*VLOOKUP($D31,'Units per home'!$A$40:$U$42,'SC-New'!N$22-1,FALSE)</f>
        <v>80711.893371131257</v>
      </c>
      <c r="O31" s="41">
        <f>$A31*$B31*VLOOKUP($C31,$C$13:$Y$16,O$22,FALSE)*VLOOKUP($D31,'Units per home'!$A$40:$U$42,'SC-New'!O$22-1,FALSE)</f>
        <v>81247.582047439224</v>
      </c>
      <c r="P31" s="41">
        <f>$A31*$B31*VLOOKUP($C31,$C$13:$Y$16,P$22,FALSE)*VLOOKUP($D31,'Units per home'!$A$40:$U$42,'SC-New'!P$22-1,FALSE)</f>
        <v>80174.293477386804</v>
      </c>
      <c r="Q31" s="41">
        <f>$A31*$B31*VLOOKUP($C31,$C$13:$Y$16,Q$22,FALSE)*VLOOKUP($D31,'Units per home'!$A$40:$U$42,'SC-New'!Q$22-1,FALSE)</f>
        <v>78012.483043764412</v>
      </c>
      <c r="R31" s="41">
        <f>$A31*$B31*VLOOKUP($C31,$C$13:$Y$16,R$22,FALSE)*VLOOKUP($D31,'Units per home'!$A$40:$U$42,'SC-New'!R$22-1,FALSE)</f>
        <v>78050.729937465687</v>
      </c>
      <c r="S31" s="41">
        <f>$A31*$B31*VLOOKUP($C31,$C$13:$Y$16,S$22,FALSE)*VLOOKUP($D31,'Units per home'!$A$40:$U$42,'SC-New'!S$22-1,FALSE)</f>
        <v>78917.674530414894</v>
      </c>
      <c r="T31" s="41">
        <f>$A31*$B31*VLOOKUP($C31,$C$13:$Y$16,T$22,FALSE)*VLOOKUP($D31,'Units per home'!$A$40:$U$42,'SC-New'!T$22-1,FALSE)</f>
        <v>78402.018784177781</v>
      </c>
      <c r="U31" s="41">
        <f>$A31*$B31*VLOOKUP($C31,$C$13:$Y$16,U$22,FALSE)*VLOOKUP($D31,'Units per home'!$A$40:$U$42,'SC-New'!U$22-1,FALSE)</f>
        <v>75635.180803524127</v>
      </c>
      <c r="V31" s="41">
        <f>$A31*$B31*VLOOKUP($C31,$C$13:$Y$16,V$22,FALSE)*VLOOKUP($D31,'Units per home'!$A$40:$U$42,'SC-New'!V$22-1,FALSE)</f>
        <v>75328.787658371453</v>
      </c>
      <c r="W31" s="41">
        <f>$A31*$B31*VLOOKUP($C31,$C$13:$Y$16,W$22,FALSE)*VLOOKUP($D31,'Units per home'!$A$40:$U$42,'SC-New'!W$22-1,FALSE)</f>
        <v>75340.846043494283</v>
      </c>
      <c r="X31" s="41">
        <f>$A31*$B31*VLOOKUP($C31,$C$13:$Y$16,X$22,FALSE)*VLOOKUP($D31,'Units per home'!$A$40:$U$42,'SC-New'!X$22-1,FALSE)</f>
        <v>75966.92185025166</v>
      </c>
      <c r="Y31" s="41"/>
      <c r="AA31" s="41">
        <f t="shared" ref="AA31:AA34" si="6">SUM(E31:Y31)</f>
        <v>1606822.9051577111</v>
      </c>
    </row>
    <row r="32" spans="1:27">
      <c r="A32" s="63">
        <f>INDEX([2]!ResApplic,MATCH($C$22,[2]APPLIC!$B$9:$B$120,0)+1,MATCH($C32,[2]APPLIC!$C$8:$F$8,0)+1)</f>
        <v>0.2475</v>
      </c>
      <c r="B32" s="77">
        <f>VLOOKUP($D32,'Units per home'!$A$18:$E$24,MATCH($C32,'Units per home'!$B$18:$E$18,0)+1,FALSE)</f>
        <v>1.9586494663871408</v>
      </c>
      <c r="C32" s="9" t="str">
        <f t="shared" ref="C32:C34" si="7">C24</f>
        <v>Multifamily - Low Rise</v>
      </c>
      <c r="D32" s="9" t="s">
        <v>793</v>
      </c>
      <c r="E32" s="41">
        <f>$A32*$B32*VLOOKUP($C32,$C$13:$Y$16,E$22,FALSE)*VLOOKUP($D32,'Units per home'!$A$40:$U$42,'SC-New'!E$22-1,FALSE)</f>
        <v>13075.564324289475</v>
      </c>
      <c r="F32" s="41">
        <f>$A32*$B32*VLOOKUP($C32,$C$13:$Y$16,F$22,FALSE)*VLOOKUP($D32,'Units per home'!$A$40:$U$42,'SC-New'!F$22-1,FALSE)</f>
        <v>13348.751631858784</v>
      </c>
      <c r="G32" s="41">
        <f>$A32*$B32*VLOOKUP($C32,$C$13:$Y$16,G$22,FALSE)*VLOOKUP($D32,'Units per home'!$A$40:$U$42,'SC-New'!G$22-1,FALSE)</f>
        <v>13531.671601599428</v>
      </c>
      <c r="H32" s="41">
        <f>$A32*$B32*VLOOKUP($C32,$C$13:$Y$16,H$22,FALSE)*VLOOKUP($D32,'Units per home'!$A$40:$U$42,'SC-New'!H$22-1,FALSE)</f>
        <v>13306.892527370113</v>
      </c>
      <c r="I32" s="41">
        <f>$A32*$B32*VLOOKUP($C32,$C$13:$Y$16,I$22,FALSE)*VLOOKUP($D32,'Units per home'!$A$40:$U$42,'SC-New'!I$22-1,FALSE)</f>
        <v>13655.15161434511</v>
      </c>
      <c r="J32" s="41">
        <f>$A32*$B32*VLOOKUP($C32,$C$13:$Y$16,J$22,FALSE)*VLOOKUP($D32,'Units per home'!$A$40:$U$42,'SC-New'!J$22-1,FALSE)</f>
        <v>13162.727910543084</v>
      </c>
      <c r="K32" s="41">
        <f>$A32*$B32*VLOOKUP($C32,$C$13:$Y$16,K$22,FALSE)*VLOOKUP($D32,'Units per home'!$A$40:$U$42,'SC-New'!K$22-1,FALSE)</f>
        <v>13040.273289245992</v>
      </c>
      <c r="L32" s="41">
        <f>$A32*$B32*VLOOKUP($C32,$C$13:$Y$16,L$22,FALSE)*VLOOKUP($D32,'Units per home'!$A$40:$U$42,'SC-New'!L$22-1,FALSE)</f>
        <v>13281.593746705472</v>
      </c>
      <c r="M32" s="41">
        <f>$A32*$B32*VLOOKUP($C32,$C$13:$Y$16,M$22,FALSE)*VLOOKUP($D32,'Units per home'!$A$40:$U$42,'SC-New'!M$22-1,FALSE)</f>
        <v>13603.227665823058</v>
      </c>
      <c r="N32" s="41">
        <f>$A32*$B32*VLOOKUP($C32,$C$13:$Y$16,N$22,FALSE)*VLOOKUP($D32,'Units per home'!$A$40:$U$42,'SC-New'!N$22-1,FALSE)</f>
        <v>13969.654885965303</v>
      </c>
      <c r="O32" s="41">
        <f>$A32*$B32*VLOOKUP($C32,$C$13:$Y$16,O$22,FALSE)*VLOOKUP($D32,'Units per home'!$A$40:$U$42,'SC-New'!O$22-1,FALSE)</f>
        <v>14023.150548759288</v>
      </c>
      <c r="P32" s="41">
        <f>$A32*$B32*VLOOKUP($C32,$C$13:$Y$16,P$22,FALSE)*VLOOKUP($D32,'Units per home'!$A$40:$U$42,'SC-New'!P$22-1,FALSE)</f>
        <v>14021.721657376731</v>
      </c>
      <c r="Q32" s="41">
        <f>$A32*$B32*VLOOKUP($C32,$C$13:$Y$16,Q$22,FALSE)*VLOOKUP($D32,'Units per home'!$A$40:$U$42,'SC-New'!Q$22-1,FALSE)</f>
        <v>14037.337305351452</v>
      </c>
      <c r="R32" s="41">
        <f>$A32*$B32*VLOOKUP($C32,$C$13:$Y$16,R$22,FALSE)*VLOOKUP($D32,'Units per home'!$A$40:$U$42,'SC-New'!R$22-1,FALSE)</f>
        <v>13876.948341316109</v>
      </c>
      <c r="S32" s="41">
        <f>$A32*$B32*VLOOKUP($C32,$C$13:$Y$16,S$22,FALSE)*VLOOKUP($D32,'Units per home'!$A$40:$U$42,'SC-New'!S$22-1,FALSE)</f>
        <v>13702.078207625937</v>
      </c>
      <c r="T32" s="41">
        <f>$A32*$B32*VLOOKUP($C32,$C$13:$Y$16,T$22,FALSE)*VLOOKUP($D32,'Units per home'!$A$40:$U$42,'SC-New'!T$22-1,FALSE)</f>
        <v>13391.149032759386</v>
      </c>
      <c r="U32" s="41">
        <f>$A32*$B32*VLOOKUP($C32,$C$13:$Y$16,U$22,FALSE)*VLOOKUP($D32,'Units per home'!$A$40:$U$42,'SC-New'!U$22-1,FALSE)</f>
        <v>13132.769205278988</v>
      </c>
      <c r="V32" s="41">
        <f>$A32*$B32*VLOOKUP($C32,$C$13:$Y$16,V$22,FALSE)*VLOOKUP($D32,'Units per home'!$A$40:$U$42,'SC-New'!V$22-1,FALSE)</f>
        <v>12935.885535115587</v>
      </c>
      <c r="W32" s="41">
        <f>$A32*$B32*VLOOKUP($C32,$C$13:$Y$16,W$22,FALSE)*VLOOKUP($D32,'Units per home'!$A$40:$U$42,'SC-New'!W$22-1,FALSE)</f>
        <v>12656.70912393559</v>
      </c>
      <c r="X32" s="41">
        <f>$A32*$B32*VLOOKUP($C32,$C$13:$Y$16,X$22,FALSE)*VLOOKUP($D32,'Units per home'!$A$40:$U$42,'SC-New'!X$22-1,FALSE)</f>
        <v>12627.876959757879</v>
      </c>
      <c r="Y32" s="41"/>
      <c r="AA32" s="41">
        <f t="shared" si="6"/>
        <v>268381.13511502277</v>
      </c>
    </row>
    <row r="33" spans="1:69">
      <c r="A33" s="63">
        <f>INDEX([2]!ResApplic,MATCH($C$22,[2]APPLIC!$B$9:$B$120,0)+1,MATCH($C33,[2]APPLIC!$C$8:$F$8,0)+1)</f>
        <v>0.2475</v>
      </c>
      <c r="B33" s="77">
        <f>VLOOKUP($D33,'Units per home'!$A$18:$E$24,MATCH($C33,'Units per home'!$B$18:$E$18,0)+1,FALSE)</f>
        <v>1.9586494663871408</v>
      </c>
      <c r="C33" s="9" t="str">
        <f t="shared" si="7"/>
        <v>Multifamily - High Rise</v>
      </c>
      <c r="D33" s="9" t="s">
        <v>793</v>
      </c>
      <c r="E33" s="41">
        <f>$A33*$B33*VLOOKUP($C33,$C$13:$Y$16,E$22,FALSE)*VLOOKUP($D33,'Units per home'!$A$40:$U$42,'SC-New'!E$22-1,FALSE)</f>
        <v>2935.3523183262805</v>
      </c>
      <c r="F33" s="41">
        <f>$A33*$B33*VLOOKUP($C33,$C$13:$Y$16,F$22,FALSE)*VLOOKUP($D33,'Units per home'!$A$40:$U$42,'SC-New'!F$22-1,FALSE)</f>
        <v>3038.8652863062684</v>
      </c>
      <c r="G33" s="41">
        <f>$A33*$B33*VLOOKUP($C33,$C$13:$Y$16,G$22,FALSE)*VLOOKUP($D33,'Units per home'!$A$40:$U$42,'SC-New'!G$22-1,FALSE)</f>
        <v>3126.8718480710431</v>
      </c>
      <c r="H33" s="41">
        <f>$A33*$B33*VLOOKUP($C33,$C$13:$Y$16,H$22,FALSE)*VLOOKUP($D33,'Units per home'!$A$40:$U$42,'SC-New'!H$22-1,FALSE)</f>
        <v>3004.0237161662621</v>
      </c>
      <c r="I33" s="41">
        <f>$A33*$B33*VLOOKUP($C33,$C$13:$Y$16,I$22,FALSE)*VLOOKUP($D33,'Units per home'!$A$40:$U$42,'SC-New'!I$22-1,FALSE)</f>
        <v>3022.9346353909359</v>
      </c>
      <c r="J33" s="41">
        <f>$A33*$B33*VLOOKUP($C33,$C$13:$Y$16,J$22,FALSE)*VLOOKUP($D33,'Units per home'!$A$40:$U$42,'SC-New'!J$22-1,FALSE)</f>
        <v>2957.5638522959598</v>
      </c>
      <c r="K33" s="41">
        <f>$A33*$B33*VLOOKUP($C33,$C$13:$Y$16,K$22,FALSE)*VLOOKUP($D33,'Units per home'!$A$40:$U$42,'SC-New'!K$22-1,FALSE)</f>
        <v>2938.6502208134293</v>
      </c>
      <c r="L33" s="41">
        <f>$A33*$B33*VLOOKUP($C33,$C$13:$Y$16,L$22,FALSE)*VLOOKUP($D33,'Units per home'!$A$40:$U$42,'SC-New'!L$22-1,FALSE)</f>
        <v>3030.237358117517</v>
      </c>
      <c r="M33" s="41">
        <f>$A33*$B33*VLOOKUP($C33,$C$13:$Y$16,M$22,FALSE)*VLOOKUP($D33,'Units per home'!$A$40:$U$42,'SC-New'!M$22-1,FALSE)</f>
        <v>3081.7997009871365</v>
      </c>
      <c r="N33" s="41">
        <f>$A33*$B33*VLOOKUP($C33,$C$13:$Y$16,N$22,FALSE)*VLOOKUP($D33,'Units per home'!$A$40:$U$42,'SC-New'!N$22-1,FALSE)</f>
        <v>3164.4823587190567</v>
      </c>
      <c r="O33" s="41">
        <f>$A33*$B33*VLOOKUP($C33,$C$13:$Y$16,O$22,FALSE)*VLOOKUP($D33,'Units per home'!$A$40:$U$42,'SC-New'!O$22-1,FALSE)</f>
        <v>3138.3610791594942</v>
      </c>
      <c r="P33" s="41">
        <f>$A33*$B33*VLOOKUP($C33,$C$13:$Y$16,P$22,FALSE)*VLOOKUP($D33,'Units per home'!$A$40:$U$42,'SC-New'!P$22-1,FALSE)</f>
        <v>3131.970368868379</v>
      </c>
      <c r="Q33" s="41">
        <f>$A33*$B33*VLOOKUP($C33,$C$13:$Y$16,Q$22,FALSE)*VLOOKUP($D33,'Units per home'!$A$40:$U$42,'SC-New'!Q$22-1,FALSE)</f>
        <v>3108.4106740538473</v>
      </c>
      <c r="R33" s="41">
        <f>$A33*$B33*VLOOKUP($C33,$C$13:$Y$16,R$22,FALSE)*VLOOKUP($D33,'Units per home'!$A$40:$U$42,'SC-New'!R$22-1,FALSE)</f>
        <v>3096.9687151902044</v>
      </c>
      <c r="S33" s="41">
        <f>$A33*$B33*VLOOKUP($C33,$C$13:$Y$16,S$22,FALSE)*VLOOKUP($D33,'Units per home'!$A$40:$U$42,'SC-New'!S$22-1,FALSE)</f>
        <v>3072.509751850856</v>
      </c>
      <c r="T33" s="41">
        <f>$A33*$B33*VLOOKUP($C33,$C$13:$Y$16,T$22,FALSE)*VLOOKUP($D33,'Units per home'!$A$40:$U$42,'SC-New'!T$22-1,FALSE)</f>
        <v>3000.66136599726</v>
      </c>
      <c r="U33" s="41">
        <f>$A33*$B33*VLOOKUP($C33,$C$13:$Y$16,U$22,FALSE)*VLOOKUP($D33,'Units per home'!$A$40:$U$42,'SC-New'!U$22-1,FALSE)</f>
        <v>2946.2949432152195</v>
      </c>
      <c r="V33" s="41">
        <f>$A33*$B33*VLOOKUP($C33,$C$13:$Y$16,V$22,FALSE)*VLOOKUP($D33,'Units per home'!$A$40:$U$42,'SC-New'!V$22-1,FALSE)</f>
        <v>2871.6895265929074</v>
      </c>
      <c r="W33" s="41">
        <f>$A33*$B33*VLOOKUP($C33,$C$13:$Y$16,W$22,FALSE)*VLOOKUP($D33,'Units per home'!$A$40:$U$42,'SC-New'!W$22-1,FALSE)</f>
        <v>2853.9392885337475</v>
      </c>
      <c r="X33" s="41">
        <f>$A33*$B33*VLOOKUP($C33,$C$13:$Y$16,X$22,FALSE)*VLOOKUP($D33,'Units per home'!$A$40:$U$42,'SC-New'!X$22-1,FALSE)</f>
        <v>2845.2296417092966</v>
      </c>
      <c r="Y33" s="41"/>
      <c r="AA33" s="41">
        <f t="shared" si="6"/>
        <v>60366.816650365094</v>
      </c>
    </row>
    <row r="34" spans="1:69">
      <c r="A34" s="63">
        <f>INDEX([2]!ResApplic,MATCH($C$22,[2]APPLIC!$B$9:$B$120,0)+1,MATCH($C34,[2]APPLIC!$C$8:$F$8,0)+1)</f>
        <v>0.2475</v>
      </c>
      <c r="B34" s="77">
        <f>VLOOKUP($D34,'Units per home'!$A$18:$E$24,MATCH($C34,'Units per home'!$B$18:$E$18,0)+1,FALSE)</f>
        <v>2.7518842435935174</v>
      </c>
      <c r="C34" s="9" t="str">
        <f t="shared" si="7"/>
        <v>Manufactured</v>
      </c>
      <c r="D34" s="9" t="s">
        <v>793</v>
      </c>
      <c r="E34" s="41">
        <f>$A34*$B34*VLOOKUP($C34,$C$13:$Y$16,E$22,FALSE)*VLOOKUP($D34,'Units per home'!$A$40:$U$42,'SC-New'!E$22-1,FALSE)</f>
        <v>1475.3240410895364</v>
      </c>
      <c r="F34" s="41">
        <f>$A34*$B34*VLOOKUP($C34,$C$13:$Y$16,F$22,FALSE)*VLOOKUP($D34,'Units per home'!$A$40:$U$42,'SC-New'!F$22-1,FALSE)</f>
        <v>1533.3104680613396</v>
      </c>
      <c r="G34" s="41">
        <f>$A34*$B34*VLOOKUP($C34,$C$13:$Y$16,G$22,FALSE)*VLOOKUP($D34,'Units per home'!$A$40:$U$42,'SC-New'!G$22-1,FALSE)</f>
        <v>1624.4662203528319</v>
      </c>
      <c r="H34" s="41">
        <f>$A34*$B34*VLOOKUP($C34,$C$13:$Y$16,H$22,FALSE)*VLOOKUP($D34,'Units per home'!$A$40:$U$42,'SC-New'!H$22-1,FALSE)</f>
        <v>1710.9730798599335</v>
      </c>
      <c r="I34" s="41">
        <f>$A34*$B34*VLOOKUP($C34,$C$13:$Y$16,I$22,FALSE)*VLOOKUP($D34,'Units per home'!$A$40:$U$42,'SC-New'!I$22-1,FALSE)</f>
        <v>1805.8457382060276</v>
      </c>
      <c r="J34" s="41">
        <f>$A34*$B34*VLOOKUP($C34,$C$13:$Y$16,J$22,FALSE)*VLOOKUP($D34,'Units per home'!$A$40:$U$42,'SC-New'!J$22-1,FALSE)</f>
        <v>1777.0628428959046</v>
      </c>
      <c r="K34" s="41">
        <f>$A34*$B34*VLOOKUP($C34,$C$13:$Y$16,K$22,FALSE)*VLOOKUP($D34,'Units per home'!$A$40:$U$42,'SC-New'!K$22-1,FALSE)</f>
        <v>1782.5660250040266</v>
      </c>
      <c r="L34" s="41">
        <f>$A34*$B34*VLOOKUP($C34,$C$13:$Y$16,L$22,FALSE)*VLOOKUP($D34,'Units per home'!$A$40:$U$42,'SC-New'!L$22-1,FALSE)</f>
        <v>1792.4543056040436</v>
      </c>
      <c r="M34" s="41">
        <f>$A34*$B34*VLOOKUP($C34,$C$13:$Y$16,M$22,FALSE)*VLOOKUP($D34,'Units per home'!$A$40:$U$42,'SC-New'!M$22-1,FALSE)</f>
        <v>1802.0976182081029</v>
      </c>
      <c r="N34" s="41">
        <f>$A34*$B34*VLOOKUP($C34,$C$13:$Y$16,N$22,FALSE)*VLOOKUP($D34,'Units per home'!$A$40:$U$42,'SC-New'!N$22-1,FALSE)</f>
        <v>1802.8099607158197</v>
      </c>
      <c r="O34" s="41">
        <f>$A34*$B34*VLOOKUP($C34,$C$13:$Y$16,O$22,FALSE)*VLOOKUP($D34,'Units per home'!$A$40:$U$42,'SC-New'!O$22-1,FALSE)</f>
        <v>1792.4621662360996</v>
      </c>
      <c r="P34" s="41">
        <f>$A34*$B34*VLOOKUP($C34,$C$13:$Y$16,P$22,FALSE)*VLOOKUP($D34,'Units per home'!$A$40:$U$42,'SC-New'!P$22-1,FALSE)</f>
        <v>1789.9029411903373</v>
      </c>
      <c r="Q34" s="41">
        <f>$A34*$B34*VLOOKUP($C34,$C$13:$Y$16,Q$22,FALSE)*VLOOKUP($D34,'Units per home'!$A$40:$U$42,'SC-New'!Q$22-1,FALSE)</f>
        <v>1791.5777746140386</v>
      </c>
      <c r="R34" s="41">
        <f>$A34*$B34*VLOOKUP($C34,$C$13:$Y$16,R$22,FALSE)*VLOOKUP($D34,'Units per home'!$A$40:$U$42,'SC-New'!R$22-1,FALSE)</f>
        <v>1792.5893380786781</v>
      </c>
      <c r="S34" s="41">
        <f>$A34*$B34*VLOOKUP($C34,$C$13:$Y$16,S$22,FALSE)*VLOOKUP($D34,'Units per home'!$A$40:$U$42,'SC-New'!S$22-1,FALSE)</f>
        <v>1792.2430617322532</v>
      </c>
      <c r="T34" s="41">
        <f>$A34*$B34*VLOOKUP($C34,$C$13:$Y$16,T$22,FALSE)*VLOOKUP($D34,'Units per home'!$A$40:$U$42,'SC-New'!T$22-1,FALSE)</f>
        <v>1787.2799351402693</v>
      </c>
      <c r="U34" s="41">
        <f>$A34*$B34*VLOOKUP($C34,$C$13:$Y$16,U$22,FALSE)*VLOOKUP($D34,'Units per home'!$A$40:$U$42,'SC-New'!U$22-1,FALSE)</f>
        <v>1781.9831615440464</v>
      </c>
      <c r="V34" s="41">
        <f>$A34*$B34*VLOOKUP($C34,$C$13:$Y$16,V$22,FALSE)*VLOOKUP($D34,'Units per home'!$A$40:$U$42,'SC-New'!V$22-1,FALSE)</f>
        <v>1778.0024276948932</v>
      </c>
      <c r="W34" s="41">
        <f>$A34*$B34*VLOOKUP($C34,$C$13:$Y$16,W$22,FALSE)*VLOOKUP($D34,'Units per home'!$A$40:$U$42,'SC-New'!W$22-1,FALSE)</f>
        <v>1774.3211541102567</v>
      </c>
      <c r="X34" s="41">
        <f>$A34*$B34*VLOOKUP($C34,$C$13:$Y$16,X$22,FALSE)*VLOOKUP($D34,'Units per home'!$A$40:$U$42,'SC-New'!X$22-1,FALSE)</f>
        <v>1777.2114943307502</v>
      </c>
      <c r="Y34" s="41"/>
      <c r="AA34" s="41">
        <f t="shared" si="6"/>
        <v>34964.483754669185</v>
      </c>
    </row>
    <row r="35" spans="1:69">
      <c r="E35" s="41"/>
      <c r="F35" s="41"/>
      <c r="G35" s="41"/>
      <c r="H35" s="41"/>
      <c r="I35" s="41"/>
      <c r="J35" s="41"/>
      <c r="K35" s="41"/>
      <c r="L35" s="41"/>
      <c r="M35" s="41"/>
      <c r="N35" s="41"/>
      <c r="O35" s="41"/>
      <c r="P35" s="41"/>
      <c r="Q35" s="41"/>
      <c r="R35" s="41"/>
      <c r="S35" s="41"/>
      <c r="T35" s="41"/>
      <c r="U35" s="41"/>
      <c r="V35" s="41"/>
      <c r="W35" s="41"/>
      <c r="X35" s="41"/>
      <c r="Y35" s="41"/>
    </row>
    <row r="36" spans="1:69">
      <c r="E36" s="41">
        <f>SUM(E23:E34)</f>
        <v>216920.77242878001</v>
      </c>
      <c r="F36" s="41">
        <f t="shared" ref="F36:X36" si="8">SUM(F23:F34)</f>
        <v>217315.24795042121</v>
      </c>
      <c r="G36" s="41">
        <f t="shared" si="8"/>
        <v>213847.76358564052</v>
      </c>
      <c r="H36" s="41">
        <f t="shared" si="8"/>
        <v>211198.23365724846</v>
      </c>
      <c r="I36" s="41">
        <f t="shared" si="8"/>
        <v>225938.56296395417</v>
      </c>
      <c r="J36" s="41">
        <f t="shared" si="8"/>
        <v>216160.78054104725</v>
      </c>
      <c r="K36" s="41">
        <f t="shared" si="8"/>
        <v>211174.05014121672</v>
      </c>
      <c r="L36" s="41">
        <f t="shared" si="8"/>
        <v>211369.0010526586</v>
      </c>
      <c r="M36" s="41">
        <f t="shared" si="8"/>
        <v>210698.38845777771</v>
      </c>
      <c r="N36" s="41">
        <f t="shared" si="8"/>
        <v>214957.99213123784</v>
      </c>
      <c r="O36" s="41">
        <f t="shared" si="8"/>
        <v>216438.01357825572</v>
      </c>
      <c r="P36" s="41">
        <f t="shared" si="8"/>
        <v>214388.61018374196</v>
      </c>
      <c r="Q36" s="41">
        <f t="shared" si="8"/>
        <v>209987.31932753581</v>
      </c>
      <c r="R36" s="41">
        <f t="shared" si="8"/>
        <v>209970.67558794568</v>
      </c>
      <c r="S36" s="41">
        <f t="shared" si="8"/>
        <v>211684.64599410127</v>
      </c>
      <c r="T36" s="41">
        <f t="shared" si="8"/>
        <v>210003.84437449585</v>
      </c>
      <c r="U36" s="41">
        <f t="shared" si="8"/>
        <v>203583.42421436668</v>
      </c>
      <c r="V36" s="41">
        <f t="shared" si="8"/>
        <v>202588.99331825215</v>
      </c>
      <c r="W36" s="41">
        <f t="shared" si="8"/>
        <v>202229.37711793082</v>
      </c>
      <c r="X36" s="41">
        <f t="shared" si="8"/>
        <v>203556.94617314651</v>
      </c>
      <c r="Y36" s="41"/>
      <c r="AA36" s="41">
        <f>SUM(E36:Y36)</f>
        <v>4234012.6427797545</v>
      </c>
    </row>
    <row r="37" spans="1:69">
      <c r="E37" s="41"/>
      <c r="F37" s="41"/>
      <c r="G37" s="41"/>
      <c r="H37" s="41"/>
      <c r="I37" s="41"/>
      <c r="J37" s="41"/>
      <c r="K37" s="41"/>
      <c r="L37" s="41"/>
      <c r="M37" s="41"/>
      <c r="N37" s="41"/>
      <c r="O37" s="41"/>
      <c r="P37" s="41"/>
      <c r="Q37" s="41"/>
      <c r="R37" s="41"/>
      <c r="S37" s="41"/>
      <c r="T37" s="41"/>
      <c r="U37" s="41"/>
      <c r="V37" s="41"/>
      <c r="W37" s="41"/>
      <c r="X37" s="41"/>
      <c r="Y37" s="41"/>
    </row>
    <row r="39" spans="1:69" ht="15.75" thickBot="1">
      <c r="A39" s="62" t="str">
        <f>CONCATENATE("# UNITS ACHIEVABLE BY YEAR FOR MEASURE - ",C40)</f>
        <v># UNITS ACHIEVABLE BY YEAR FOR MEASURE - Advanced Power Strips - New</v>
      </c>
      <c r="D39" s="71" t="s">
        <v>62</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row>
    <row r="40" spans="1:69" ht="15.75" thickBot="1">
      <c r="C40" s="71" t="str">
        <f>CONCATENATE(C8," - ",C7)</f>
        <v>Advanced Power Strips - New</v>
      </c>
      <c r="D40" s="71"/>
      <c r="E40" s="75">
        <f>VLOOKUP($C$40,[2]ACHIEV!$B$9:$X$100,MATCH(E$11,$E$11:$Y$11,0)+2,FALSE)</f>
        <v>5.5320496977002724E-3</v>
      </c>
      <c r="F40" s="75">
        <f>VLOOKUP($C$40,[2]ACHIEV!$B$9:$X$100,MATCH(F$11,$E$11:$Y$11,0)+2,FALSE)</f>
        <v>1.4227918344261844E-2</v>
      </c>
      <c r="G40" s="75">
        <f>VLOOKUP($C$40,[2]ACHIEV!$B$9:$X$100,MATCH(G$11,$E$11:$Y$11,0)+2,FALSE)</f>
        <v>3.1619655637384989E-2</v>
      </c>
      <c r="H40" s="75">
        <f>VLOOKUP($C$40,[2]ACHIEV!$B$9:$X$100,MATCH(H$11,$E$11:$Y$11,0)+2,FALSE)</f>
        <v>6.2055195900350503E-2</v>
      </c>
      <c r="I40" s="75">
        <f>VLOOKUP($C$40,[2]ACHIEV!$B$9:$X$100,MATCH(I$11,$E$11:$Y$11,0)+2,FALSE)</f>
        <v>0.10939936964274129</v>
      </c>
      <c r="J40" s="75">
        <f>VLOOKUP($C$40,[2]ACHIEV!$B$9:$X$100,MATCH(J$11,$E$11:$Y$11,0)+2,FALSE)</f>
        <v>0.17568121288208835</v>
      </c>
      <c r="K40" s="75">
        <f>VLOOKUP($C$40,[2]ACHIEV!$B$9:$X$100,MATCH(K$11,$E$11:$Y$11,0)+2,FALSE)</f>
        <v>0.26003992245943919</v>
      </c>
      <c r="L40" s="75">
        <f>VLOOKUP($C$40,[2]ACHIEV!$B$9:$X$100,MATCH(L$11,$E$11:$Y$11,0)+2,FALSE)</f>
        <v>0.3584584169663485</v>
      </c>
      <c r="M40" s="75">
        <f>VLOOKUP($C$40,[2]ACHIEV!$B$9:$X$100,MATCH(M$11,$E$11:$Y$11,0)+2,FALSE)</f>
        <v>0.46444756489686617</v>
      </c>
      <c r="N40" s="75">
        <f>VLOOKUP($C$40,[2]ACHIEV!$B$9:$X$100,MATCH(N$11,$E$11:$Y$11,0)+2,FALSE)</f>
        <v>0.57043671282738384</v>
      </c>
      <c r="O40" s="75">
        <f>VLOOKUP($C$40,[2]ACHIEV!$B$9:$X$100,MATCH(O$11,$E$11:$Y$11,0)+2,FALSE)</f>
        <v>0.66935991756253377</v>
      </c>
      <c r="P40" s="75">
        <f>VLOOKUP($C$40,[2]ACHIEV!$B$9:$X$100,MATCH(P$11,$E$11:$Y$11,0)+2,FALSE)</f>
        <v>0.75591772170578986</v>
      </c>
      <c r="Q40" s="75">
        <f>VLOOKUP($C$40,[2]ACHIEV!$B$9:$X$100,MATCH(Q$11,$E$11:$Y$11,0)+2,FALSE)</f>
        <v>0.82720061923553012</v>
      </c>
      <c r="R40" s="75">
        <f>VLOOKUP($C$40,[2]ACHIEV!$B$9:$X$100,MATCH(R$11,$E$11:$Y$11,0)+2,FALSE)</f>
        <v>0.88264287286977261</v>
      </c>
      <c r="S40" s="75">
        <f>VLOOKUP($C$40,[2]ACHIEV!$B$9:$X$100,MATCH(S$11,$E$11:$Y$11,0)+2,FALSE)</f>
        <v>0.92349505975816193</v>
      </c>
      <c r="T40" s="75">
        <f>VLOOKUP($C$40,[2]ACHIEV!$B$9:$X$100,MATCH(T$11,$E$11:$Y$11,0)+2,FALSE)</f>
        <v>0.95209159058003434</v>
      </c>
      <c r="U40" s="75">
        <f>VLOOKUP($C$40,[2]ACHIEV!$B$9:$X$100,MATCH(U$11,$E$11:$Y$11,0)+2,FALSE)</f>
        <v>0.97115594446128262</v>
      </c>
      <c r="V40" s="75">
        <f>VLOOKUP($C$40,[2]ACHIEV!$B$9:$X$100,MATCH(V$11,$E$11:$Y$11,0)+2,FALSE)</f>
        <v>0.98328780602207699</v>
      </c>
      <c r="W40" s="75">
        <f>VLOOKUP($C$40,[2]ACHIEV!$B$9:$X$100,MATCH(W$11,$E$11:$Y$11,0)+2,FALSE)</f>
        <v>0.99067241740690848</v>
      </c>
      <c r="X40" s="75">
        <f>VLOOKUP($C$40,[2]ACHIEV!$B$9:$X$100,MATCH(X$11,$E$11:$Y$11,0)+2,FALSE)</f>
        <v>0.99498010738139331</v>
      </c>
      <c r="Y40" s="75"/>
      <c r="AA40" s="542">
        <v>0.85</v>
      </c>
    </row>
    <row r="41" spans="1:69">
      <c r="B41" s="9" t="str">
        <f>C41&amp;D41</f>
        <v>Single FamilyOccupancy sensing advanced power strip</v>
      </c>
      <c r="C41" s="9" t="str">
        <f>C23</f>
        <v>Single Family</v>
      </c>
      <c r="D41" s="9" t="str">
        <f>$D$23</f>
        <v>Occupancy sensing advanced power strip</v>
      </c>
      <c r="E41" s="41">
        <f>E23*E$40*$AA$40</f>
        <v>94.278151905643483</v>
      </c>
      <c r="F41" s="41">
        <f t="shared" ref="F41:X41" si="9">F23*F$40*$AA$40</f>
        <v>229.70862655978442</v>
      </c>
      <c r="G41" s="41">
        <f t="shared" si="9"/>
        <v>479.17182690619774</v>
      </c>
      <c r="H41" s="41">
        <f t="shared" si="9"/>
        <v>900.89135982466519</v>
      </c>
      <c r="I41" s="41">
        <f t="shared" si="9"/>
        <v>1530.2342971123114</v>
      </c>
      <c r="J41" s="41">
        <f t="shared" si="9"/>
        <v>2320.2754898520138</v>
      </c>
      <c r="K41" s="41">
        <f t="shared" si="9"/>
        <v>3308.3788938671842</v>
      </c>
      <c r="L41" s="41">
        <f t="shared" si="9"/>
        <v>4497.0394256572818</v>
      </c>
      <c r="M41" s="41">
        <f t="shared" si="9"/>
        <v>5713.2128649893084</v>
      </c>
      <c r="N41" s="41">
        <f t="shared" si="9"/>
        <v>7074.9210829724234</v>
      </c>
      <c r="O41" s="41">
        <f t="shared" si="9"/>
        <v>8280.8968238177386</v>
      </c>
      <c r="P41" s="41">
        <f t="shared" si="9"/>
        <v>9143.7069740728675</v>
      </c>
      <c r="Q41" s="41">
        <f t="shared" si="9"/>
        <v>9647.1731275701532</v>
      </c>
      <c r="R41" s="41">
        <f t="shared" si="9"/>
        <v>10204.324700912426</v>
      </c>
      <c r="S41" s="41">
        <f t="shared" si="9"/>
        <v>10695.248573961822</v>
      </c>
      <c r="T41" s="41">
        <f t="shared" si="9"/>
        <v>10846.814665411192</v>
      </c>
      <c r="U41" s="41">
        <f t="shared" si="9"/>
        <v>10567.236371175621</v>
      </c>
      <c r="V41" s="41">
        <f t="shared" si="9"/>
        <v>10548.765514557279</v>
      </c>
      <c r="W41" s="41">
        <f t="shared" si="9"/>
        <v>10521.478451148343</v>
      </c>
      <c r="X41" s="41">
        <f t="shared" si="9"/>
        <v>10638.968069808328</v>
      </c>
      <c r="Y41" s="41"/>
      <c r="AA41" s="41">
        <f t="shared" ref="AA41:AA44" si="10">SUM(E41:Y41)</f>
        <v>127242.72529208258</v>
      </c>
    </row>
    <row r="42" spans="1:69">
      <c r="B42" s="9" t="str">
        <f t="shared" ref="B42:B52" si="11">C42&amp;D42</f>
        <v>Multifamily - Low RiseOccupancy sensing advanced power strip</v>
      </c>
      <c r="C42" s="9" t="str">
        <f>C24</f>
        <v>Multifamily - Low Rise</v>
      </c>
      <c r="D42" s="9" t="str">
        <f>$D$23</f>
        <v>Occupancy sensing advanced power strip</v>
      </c>
      <c r="E42" s="41">
        <f t="shared" ref="E42:X42" si="12">E24*E$40*$AA$40</f>
        <v>11.858130942815716</v>
      </c>
      <c r="F42" s="41">
        <f t="shared" si="12"/>
        <v>29.863726974664072</v>
      </c>
      <c r="G42" s="41">
        <f t="shared" si="12"/>
        <v>65.136360630763249</v>
      </c>
      <c r="H42" s="41">
        <f t="shared" si="12"/>
        <v>122.55377972508751</v>
      </c>
      <c r="I42" s="41">
        <f t="shared" si="12"/>
        <v>201.63413546842162</v>
      </c>
      <c r="J42" s="41">
        <f t="shared" si="12"/>
        <v>309.35724628324226</v>
      </c>
      <c r="K42" s="41">
        <f t="shared" si="12"/>
        <v>449.61559272856113</v>
      </c>
      <c r="L42" s="41">
        <f t="shared" si="12"/>
        <v>625.51264718451171</v>
      </c>
      <c r="M42" s="41">
        <f t="shared" si="12"/>
        <v>822.49010852098718</v>
      </c>
      <c r="N42" s="41">
        <f t="shared" si="12"/>
        <v>1027.9404980952995</v>
      </c>
      <c r="O42" s="41">
        <f t="shared" si="12"/>
        <v>1199.8052545598064</v>
      </c>
      <c r="P42" s="41">
        <f t="shared" si="12"/>
        <v>1342.4148099922622</v>
      </c>
      <c r="Q42" s="41">
        <f t="shared" si="12"/>
        <v>1457.1992585943965</v>
      </c>
      <c r="R42" s="41">
        <f t="shared" si="12"/>
        <v>1522.9986086907941</v>
      </c>
      <c r="S42" s="41">
        <f t="shared" si="12"/>
        <v>1558.8390618387291</v>
      </c>
      <c r="T42" s="41">
        <f t="shared" si="12"/>
        <v>1555.2172050776044</v>
      </c>
      <c r="U42" s="41">
        <f t="shared" si="12"/>
        <v>1540.2531981874145</v>
      </c>
      <c r="V42" s="41">
        <f t="shared" si="12"/>
        <v>1520.6702839549287</v>
      </c>
      <c r="W42" s="41">
        <f t="shared" si="12"/>
        <v>1483.7656445917155</v>
      </c>
      <c r="X42" s="41">
        <f t="shared" si="12"/>
        <v>1484.5798185573644</v>
      </c>
      <c r="Y42" s="41"/>
      <c r="AA42" s="41">
        <f t="shared" si="10"/>
        <v>18331.705370599371</v>
      </c>
    </row>
    <row r="43" spans="1:69">
      <c r="B43" s="9" t="str">
        <f t="shared" si="11"/>
        <v>Multifamily - High RiseOccupancy sensing advanced power strip</v>
      </c>
      <c r="C43" s="9" t="s">
        <v>50</v>
      </c>
      <c r="D43" s="9" t="str">
        <f t="shared" ref="D43:D44" si="13">$D$23</f>
        <v>Occupancy sensing advanced power strip</v>
      </c>
      <c r="E43" s="41">
        <f t="shared" ref="E43:X43" si="14">E25*E$40*$AA$40</f>
        <v>2.6620489403544099</v>
      </c>
      <c r="F43" s="41">
        <f t="shared" si="14"/>
        <v>6.7985266132633679</v>
      </c>
      <c r="G43" s="41">
        <f t="shared" si="14"/>
        <v>15.051581086113758</v>
      </c>
      <c r="H43" s="41">
        <f t="shared" si="14"/>
        <v>27.666448800329981</v>
      </c>
      <c r="I43" s="41">
        <f t="shared" si="14"/>
        <v>44.637132490295834</v>
      </c>
      <c r="J43" s="41">
        <f t="shared" si="14"/>
        <v>69.510196919005224</v>
      </c>
      <c r="K43" s="41">
        <f t="shared" si="14"/>
        <v>101.32172321438706</v>
      </c>
      <c r="L43" s="41">
        <f t="shared" si="14"/>
        <v>142.71267647707262</v>
      </c>
      <c r="M43" s="41">
        <f t="shared" si="14"/>
        <v>186.33443714782464</v>
      </c>
      <c r="N43" s="41">
        <f t="shared" si="14"/>
        <v>232.8546838550393</v>
      </c>
      <c r="O43" s="41">
        <f t="shared" si="14"/>
        <v>268.51470362447861</v>
      </c>
      <c r="P43" s="41">
        <f t="shared" si="14"/>
        <v>299.84929884939851</v>
      </c>
      <c r="Q43" s="41">
        <f t="shared" si="14"/>
        <v>322.68040805084649</v>
      </c>
      <c r="R43" s="41">
        <f t="shared" si="14"/>
        <v>339.89310390026725</v>
      </c>
      <c r="S43" s="41">
        <f t="shared" si="14"/>
        <v>349.54903529888594</v>
      </c>
      <c r="T43" s="41">
        <f t="shared" si="14"/>
        <v>348.48989967883199</v>
      </c>
      <c r="U43" s="41">
        <f t="shared" si="14"/>
        <v>345.55089929292978</v>
      </c>
      <c r="V43" s="41">
        <f t="shared" si="14"/>
        <v>337.57974403685932</v>
      </c>
      <c r="W43" s="41">
        <f t="shared" si="14"/>
        <v>334.57173002962719</v>
      </c>
      <c r="X43" s="41">
        <f t="shared" si="14"/>
        <v>334.49569699670337</v>
      </c>
      <c r="Y43" s="41"/>
      <c r="AA43" s="41">
        <f t="shared" si="10"/>
        <v>4110.7239753025151</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c r="B44" s="9" t="str">
        <f t="shared" si="11"/>
        <v>ManufacturedOccupancy sensing advanced power strip</v>
      </c>
      <c r="C44" s="9" t="str">
        <f>C26</f>
        <v>Manufactured</v>
      </c>
      <c r="D44" s="9" t="str">
        <f t="shared" si="13"/>
        <v>Occupancy sensing advanced power strip</v>
      </c>
      <c r="E44" s="41">
        <f t="shared" ref="E44:X44" si="15">E26*E$40*$AA$40</f>
        <v>1.5147253394147611</v>
      </c>
      <c r="F44" s="41">
        <f t="shared" si="15"/>
        <v>3.8835072966629816</v>
      </c>
      <c r="G44" s="41">
        <f t="shared" si="15"/>
        <v>8.8526520755</v>
      </c>
      <c r="H44" s="41">
        <f t="shared" si="15"/>
        <v>17.839550533892279</v>
      </c>
      <c r="I44" s="41">
        <f t="shared" si="15"/>
        <v>30.18831343910767</v>
      </c>
      <c r="J44" s="41">
        <f t="shared" si="15"/>
        <v>47.283307312779378</v>
      </c>
      <c r="K44" s="41">
        <f t="shared" si="15"/>
        <v>69.581048195512068</v>
      </c>
      <c r="L44" s="41">
        <f t="shared" si="15"/>
        <v>95.570678040707406</v>
      </c>
      <c r="M44" s="41">
        <f t="shared" si="15"/>
        <v>123.35526790284563</v>
      </c>
      <c r="N44" s="41">
        <f t="shared" si="15"/>
        <v>150.18374133410074</v>
      </c>
      <c r="O44" s="41">
        <f t="shared" si="15"/>
        <v>173.62243060376636</v>
      </c>
      <c r="P44" s="41">
        <f t="shared" si="15"/>
        <v>194.00170451743509</v>
      </c>
      <c r="Q44" s="41">
        <f t="shared" si="15"/>
        <v>210.55256816597279</v>
      </c>
      <c r="R44" s="41">
        <f t="shared" si="15"/>
        <v>222.72912709261385</v>
      </c>
      <c r="S44" s="41">
        <f t="shared" si="15"/>
        <v>230.83540287696911</v>
      </c>
      <c r="T44" s="41">
        <f t="shared" si="15"/>
        <v>234.99382994783844</v>
      </c>
      <c r="U44" s="41">
        <f t="shared" si="15"/>
        <v>236.60835388379908</v>
      </c>
      <c r="V44" s="41">
        <f t="shared" si="15"/>
        <v>236.62570227200945</v>
      </c>
      <c r="W44" s="41">
        <f t="shared" si="15"/>
        <v>235.48725821631598</v>
      </c>
      <c r="X44" s="41">
        <f t="shared" si="15"/>
        <v>236.53913002696871</v>
      </c>
      <c r="Y44" s="41"/>
      <c r="AA44" s="41">
        <f t="shared" si="10"/>
        <v>2760.2482990742124</v>
      </c>
    </row>
    <row r="45" spans="1:69">
      <c r="B45" s="9" t="str">
        <f t="shared" si="11"/>
        <v>Single FamilyInfrared sensing advanced power strip</v>
      </c>
      <c r="C45" s="9" t="str">
        <f>C41</f>
        <v>Single Family</v>
      </c>
      <c r="D45" s="9" t="str">
        <f>$D$27</f>
        <v>Infrared sensing advanced power strip</v>
      </c>
      <c r="E45" s="41">
        <f t="shared" ref="E45:X45" si="16">E27*E$40*$AA$40</f>
        <v>344.27794126928791</v>
      </c>
      <c r="F45" s="41">
        <f t="shared" si="16"/>
        <v>900.97201018858902</v>
      </c>
      <c r="G45" s="41">
        <f t="shared" si="16"/>
        <v>1983.7698399559306</v>
      </c>
      <c r="H45" s="41">
        <f t="shared" si="16"/>
        <v>3888.4271178183421</v>
      </c>
      <c r="I45" s="41">
        <f t="shared" si="16"/>
        <v>7674.0150336748666</v>
      </c>
      <c r="J45" s="41">
        <f t="shared" si="16"/>
        <v>11796.016776085244</v>
      </c>
      <c r="K45" s="41">
        <f t="shared" si="16"/>
        <v>17050.24573160139</v>
      </c>
      <c r="L45" s="41">
        <f t="shared" si="16"/>
        <v>23500.401702695719</v>
      </c>
      <c r="M45" s="41">
        <f t="shared" si="16"/>
        <v>30274.388860003834</v>
      </c>
      <c r="N45" s="41">
        <f t="shared" si="16"/>
        <v>38010.866977618163</v>
      </c>
      <c r="O45" s="41">
        <f t="shared" si="16"/>
        <v>45104.046559363895</v>
      </c>
      <c r="P45" s="41">
        <f t="shared" si="16"/>
        <v>50492.053425502389</v>
      </c>
      <c r="Q45" s="41">
        <f t="shared" si="16"/>
        <v>54004.024792965014</v>
      </c>
      <c r="R45" s="41">
        <f t="shared" si="16"/>
        <v>57907.134110817184</v>
      </c>
      <c r="S45" s="41">
        <f t="shared" si="16"/>
        <v>61530.364927126742</v>
      </c>
      <c r="T45" s="41">
        <f t="shared" si="16"/>
        <v>63311.837552211691</v>
      </c>
      <c r="U45" s="41">
        <f t="shared" si="16"/>
        <v>62587.795876678436</v>
      </c>
      <c r="V45" s="41">
        <f t="shared" si="16"/>
        <v>63402.422678957366</v>
      </c>
      <c r="W45" s="41">
        <f t="shared" si="16"/>
        <v>64181.184763807614</v>
      </c>
      <c r="X45" s="41">
        <f t="shared" si="16"/>
        <v>65039.347842016294</v>
      </c>
      <c r="Y45" s="41"/>
      <c r="AA45" s="41">
        <f t="shared" ref="AA45:AA48" si="17">SUM(E45:Y45)</f>
        <v>722983.5945203579</v>
      </c>
    </row>
    <row r="46" spans="1:69">
      <c r="B46" s="9" t="str">
        <f t="shared" si="11"/>
        <v>Multifamily - Low RiseInfrared sensing advanced power strip</v>
      </c>
      <c r="C46" s="9" t="str">
        <f t="shared" ref="C46:C52" si="18">C42</f>
        <v>Multifamily - Low Rise</v>
      </c>
      <c r="D46" s="9" t="str">
        <f>$D$27</f>
        <v>Infrared sensing advanced power strip</v>
      </c>
      <c r="E46" s="41">
        <f t="shared" ref="E46:X46" si="19">E28*E$40*$AA$40</f>
        <v>54.649178848359647</v>
      </c>
      <c r="F46" s="41">
        <f t="shared" si="19"/>
        <v>147.82478735002042</v>
      </c>
      <c r="G46" s="41">
        <f t="shared" si="19"/>
        <v>340.32414293360489</v>
      </c>
      <c r="H46" s="41">
        <f t="shared" si="19"/>
        <v>667.57107937397598</v>
      </c>
      <c r="I46" s="41">
        <f t="shared" si="19"/>
        <v>1276.1391545438596</v>
      </c>
      <c r="J46" s="41">
        <f t="shared" si="19"/>
        <v>1984.8394566963491</v>
      </c>
      <c r="K46" s="41">
        <f t="shared" si="19"/>
        <v>2924.3276292464989</v>
      </c>
      <c r="L46" s="41">
        <f t="shared" si="19"/>
        <v>4125.2849109747312</v>
      </c>
      <c r="M46" s="41">
        <f t="shared" si="19"/>
        <v>5500.4082591172746</v>
      </c>
      <c r="N46" s="41">
        <f t="shared" si="19"/>
        <v>6969.8497213251812</v>
      </c>
      <c r="O46" s="41">
        <f t="shared" si="19"/>
        <v>8247.4208284391279</v>
      </c>
      <c r="P46" s="41">
        <f t="shared" si="19"/>
        <v>9355.2787077176436</v>
      </c>
      <c r="Q46" s="41">
        <f t="shared" si="19"/>
        <v>10294.713374634235</v>
      </c>
      <c r="R46" s="41">
        <f t="shared" si="19"/>
        <v>10907.282744292184</v>
      </c>
      <c r="S46" s="41">
        <f t="shared" si="19"/>
        <v>11317.985948133148</v>
      </c>
      <c r="T46" s="41">
        <f t="shared" si="19"/>
        <v>11456.264010418048</v>
      </c>
      <c r="U46" s="41">
        <f t="shared" si="19"/>
        <v>11513.029490242496</v>
      </c>
      <c r="V46" s="41">
        <f t="shared" si="19"/>
        <v>11534.759292432864</v>
      </c>
      <c r="W46" s="41">
        <f t="shared" si="19"/>
        <v>11422.614843535923</v>
      </c>
      <c r="X46" s="41">
        <f t="shared" si="19"/>
        <v>11453.797145197355</v>
      </c>
      <c r="Y46" s="41"/>
      <c r="AA46" s="41">
        <f t="shared" si="17"/>
        <v>131494.36470545287</v>
      </c>
    </row>
    <row r="47" spans="1:69">
      <c r="B47" s="9" t="str">
        <f t="shared" si="11"/>
        <v>Multifamily - High RiseInfrared sensing advanced power strip</v>
      </c>
      <c r="C47" s="9" t="str">
        <f t="shared" si="18"/>
        <v>Multifamily - High Rise</v>
      </c>
      <c r="D47" s="9" t="str">
        <f t="shared" ref="D47:D48" si="20">$D$27</f>
        <v>Infrared sensing advanced power strip</v>
      </c>
      <c r="E47" s="41">
        <f t="shared" ref="E47:X47" si="21">E29*E$40*$AA$40</f>
        <v>12.268273081657373</v>
      </c>
      <c r="F47" s="41">
        <f t="shared" si="21"/>
        <v>33.652556218175</v>
      </c>
      <c r="G47" s="41">
        <f t="shared" si="21"/>
        <v>78.64142827943104</v>
      </c>
      <c r="H47" s="41">
        <f t="shared" si="21"/>
        <v>150.70380635759651</v>
      </c>
      <c r="I47" s="41">
        <f t="shared" si="21"/>
        <v>282.50768345893249</v>
      </c>
      <c r="J47" s="41">
        <f t="shared" si="21"/>
        <v>445.97817941931993</v>
      </c>
      <c r="K47" s="41">
        <f t="shared" si="21"/>
        <v>659.00275575535329</v>
      </c>
      <c r="L47" s="41">
        <f t="shared" si="21"/>
        <v>941.19671844464654</v>
      </c>
      <c r="M47" s="41">
        <f t="shared" si="21"/>
        <v>1246.1128303279904</v>
      </c>
      <c r="N47" s="41">
        <f t="shared" si="21"/>
        <v>1578.8483442218121</v>
      </c>
      <c r="O47" s="41">
        <f t="shared" si="21"/>
        <v>1845.7610107960199</v>
      </c>
      <c r="P47" s="41">
        <f t="shared" si="21"/>
        <v>2089.6475069922781</v>
      </c>
      <c r="Q47" s="41">
        <f t="shared" si="21"/>
        <v>2279.6486430399109</v>
      </c>
      <c r="R47" s="41">
        <f t="shared" si="21"/>
        <v>2434.2177109814884</v>
      </c>
      <c r="S47" s="41">
        <f t="shared" si="21"/>
        <v>2537.9086055424877</v>
      </c>
      <c r="T47" s="41">
        <f t="shared" si="21"/>
        <v>2567.0962761022056</v>
      </c>
      <c r="U47" s="41">
        <f t="shared" si="21"/>
        <v>2582.9114970324772</v>
      </c>
      <c r="V47" s="41">
        <f t="shared" si="21"/>
        <v>2560.6478475656745</v>
      </c>
      <c r="W47" s="41">
        <f t="shared" si="21"/>
        <v>2575.6655194126142</v>
      </c>
      <c r="X47" s="41">
        <f t="shared" si="21"/>
        <v>2580.6937501444959</v>
      </c>
      <c r="Y47" s="41"/>
      <c r="AA47" s="41">
        <f t="shared" si="17"/>
        <v>29483.110943174568</v>
      </c>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1:69">
      <c r="B48" s="9" t="str">
        <f t="shared" si="11"/>
        <v>ManufacturedInfrared sensing advanced power strip</v>
      </c>
      <c r="C48" s="9" t="str">
        <f t="shared" si="18"/>
        <v>Manufactured</v>
      </c>
      <c r="D48" s="9" t="str">
        <f t="shared" si="20"/>
        <v>Infrared sensing advanced power strip</v>
      </c>
      <c r="E48" s="41">
        <f t="shared" ref="E48:X48" si="22">E30*E$40*$AA$40</f>
        <v>5.9271971573130475</v>
      </c>
      <c r="F48" s="41">
        <f t="shared" si="22"/>
        <v>16.322078634048566</v>
      </c>
      <c r="G48" s="41">
        <f t="shared" si="22"/>
        <v>39.272699073603434</v>
      </c>
      <c r="H48" s="41">
        <f t="shared" si="22"/>
        <v>82.509279709305972</v>
      </c>
      <c r="I48" s="41">
        <f t="shared" si="22"/>
        <v>162.22616841832314</v>
      </c>
      <c r="J48" s="41">
        <f t="shared" si="22"/>
        <v>257.58526847703843</v>
      </c>
      <c r="K48" s="41">
        <f t="shared" si="22"/>
        <v>384.25870429462611</v>
      </c>
      <c r="L48" s="41">
        <f t="shared" si="22"/>
        <v>535.16857551655949</v>
      </c>
      <c r="M48" s="41">
        <f t="shared" si="22"/>
        <v>700.4385276776519</v>
      </c>
      <c r="N48" s="41">
        <f t="shared" si="22"/>
        <v>864.62231659210363</v>
      </c>
      <c r="O48" s="41">
        <f t="shared" si="22"/>
        <v>1013.3542919120143</v>
      </c>
      <c r="P48" s="41">
        <f t="shared" si="22"/>
        <v>1147.9517251820319</v>
      </c>
      <c r="Q48" s="41">
        <f t="shared" si="22"/>
        <v>1263.0017279750834</v>
      </c>
      <c r="R48" s="41">
        <f t="shared" si="22"/>
        <v>1354.3850882437173</v>
      </c>
      <c r="S48" s="41">
        <f t="shared" si="22"/>
        <v>1423.0441391899155</v>
      </c>
      <c r="T48" s="41">
        <f t="shared" si="22"/>
        <v>1469.7941166431006</v>
      </c>
      <c r="U48" s="41">
        <f t="shared" si="22"/>
        <v>1501.6739805222246</v>
      </c>
      <c r="V48" s="41">
        <f t="shared" si="22"/>
        <v>1523.9947697533712</v>
      </c>
      <c r="W48" s="41">
        <f t="shared" si="22"/>
        <v>1539.273239343974</v>
      </c>
      <c r="X48" s="41">
        <f t="shared" si="22"/>
        <v>1549.5193849805255</v>
      </c>
      <c r="Y48" s="41"/>
      <c r="AA48" s="41">
        <f t="shared" si="17"/>
        <v>16834.323279296535</v>
      </c>
    </row>
    <row r="49" spans="1:80">
      <c r="B49" s="9" t="str">
        <f t="shared" si="11"/>
        <v>Single FamilyLoad sensing advanced power strip</v>
      </c>
      <c r="C49" s="9" t="str">
        <f t="shared" si="18"/>
        <v>Single Family</v>
      </c>
      <c r="D49" s="9" t="str">
        <f>$D$31</f>
        <v>Load sensing advanced power strip</v>
      </c>
      <c r="E49" s="41">
        <f t="shared" ref="E49:X49" si="23">E31*E$40*$AA$40</f>
        <v>410.35383240878934</v>
      </c>
      <c r="F49" s="41">
        <f t="shared" si="23"/>
        <v>1042.3953747671858</v>
      </c>
      <c r="G49" s="41">
        <f t="shared" si="23"/>
        <v>2245.9161166373465</v>
      </c>
      <c r="H49" s="41">
        <f t="shared" si="23"/>
        <v>4331.294085164951</v>
      </c>
      <c r="I49" s="41">
        <f t="shared" si="23"/>
        <v>8089.5130609006319</v>
      </c>
      <c r="J49" s="41">
        <f t="shared" si="23"/>
        <v>12375.639346657694</v>
      </c>
      <c r="K49" s="41">
        <f t="shared" si="23"/>
        <v>17804.007094396322</v>
      </c>
      <c r="L49" s="41">
        <f t="shared" si="23"/>
        <v>24422.872085889725</v>
      </c>
      <c r="M49" s="41">
        <f t="shared" si="23"/>
        <v>31314.504120134388</v>
      </c>
      <c r="N49" s="41">
        <f t="shared" si="23"/>
        <v>39134.873069597059</v>
      </c>
      <c r="O49" s="41">
        <f t="shared" si="23"/>
        <v>46226.293598214746</v>
      </c>
      <c r="P49" s="41">
        <f t="shared" si="23"/>
        <v>51514.393875077963</v>
      </c>
      <c r="Q49" s="41">
        <f t="shared" si="23"/>
        <v>54852.178139617732</v>
      </c>
      <c r="R49" s="41">
        <f t="shared" si="23"/>
        <v>58557.282426349353</v>
      </c>
      <c r="S49" s="41">
        <f t="shared" si="23"/>
        <v>61948.070172974571</v>
      </c>
      <c r="T49" s="41">
        <f t="shared" si="23"/>
        <v>63449.017353576521</v>
      </c>
      <c r="U49" s="41">
        <f t="shared" si="23"/>
        <v>62435.522130584388</v>
      </c>
      <c r="V49" s="41">
        <f t="shared" si="23"/>
        <v>62959.396594867525</v>
      </c>
      <c r="W49" s="41">
        <f t="shared" si="23"/>
        <v>63442.383367481663</v>
      </c>
      <c r="X49" s="41">
        <f t="shared" si="23"/>
        <v>64247.739650997719</v>
      </c>
      <c r="Y49" s="41"/>
      <c r="AA49" s="41">
        <f t="shared" ref="AA49:AA52" si="24">SUM(E49:Y49)</f>
        <v>730803.64549629623</v>
      </c>
    </row>
    <row r="50" spans="1:80">
      <c r="B50" s="9" t="str">
        <f t="shared" si="11"/>
        <v>Multifamily - Low RiseLoad sensing advanced power strip</v>
      </c>
      <c r="C50" s="9" t="str">
        <f t="shared" si="18"/>
        <v>Multifamily - Low Rise</v>
      </c>
      <c r="D50" s="9" t="str">
        <f>$D$31</f>
        <v>Load sensing advanced power strip</v>
      </c>
      <c r="E50" s="41">
        <f t="shared" ref="E50:X50" si="25">E32*E$40*$AA$40</f>
        <v>61.484470917329148</v>
      </c>
      <c r="F50" s="41">
        <f t="shared" si="25"/>
        <v>161.43620598353098</v>
      </c>
      <c r="G50" s="41">
        <f t="shared" si="25"/>
        <v>363.68677680464236</v>
      </c>
      <c r="H50" s="41">
        <f t="shared" si="25"/>
        <v>701.89754921923316</v>
      </c>
      <c r="I50" s="41">
        <f t="shared" si="25"/>
        <v>1269.7852321376038</v>
      </c>
      <c r="J50" s="41">
        <f t="shared" si="25"/>
        <v>1965.5774035369566</v>
      </c>
      <c r="K50" s="41">
        <f t="shared" si="25"/>
        <v>2882.3429067376101</v>
      </c>
      <c r="L50" s="41">
        <f t="shared" si="25"/>
        <v>4046.764208849067</v>
      </c>
      <c r="M50" s="41">
        <f t="shared" si="25"/>
        <v>5370.2880695098202</v>
      </c>
      <c r="N50" s="41">
        <f t="shared" si="25"/>
        <v>6773.4834106105918</v>
      </c>
      <c r="O50" s="41">
        <f t="shared" si="25"/>
        <v>7978.5546609918383</v>
      </c>
      <c r="P50" s="41">
        <f t="shared" si="25"/>
        <v>9009.3777061914079</v>
      </c>
      <c r="Q50" s="41">
        <f t="shared" si="25"/>
        <v>9869.9399946940175</v>
      </c>
      <c r="R50" s="41">
        <f t="shared" si="25"/>
        <v>10411.131118047975</v>
      </c>
      <c r="S50" s="41">
        <f t="shared" si="25"/>
        <v>10755.731303188144</v>
      </c>
      <c r="T50" s="41">
        <f t="shared" si="25"/>
        <v>10837.160324950046</v>
      </c>
      <c r="U50" s="41">
        <f t="shared" si="25"/>
        <v>10840.871848803048</v>
      </c>
      <c r="V50" s="41">
        <f t="shared" si="25"/>
        <v>10811.743730760048</v>
      </c>
      <c r="W50" s="41">
        <f t="shared" si="25"/>
        <v>10657.854730591544</v>
      </c>
      <c r="X50" s="41">
        <f t="shared" si="25"/>
        <v>10679.81341740608</v>
      </c>
      <c r="Y50" s="41"/>
      <c r="AA50" s="41">
        <f t="shared" si="24"/>
        <v>125448.92506993054</v>
      </c>
    </row>
    <row r="51" spans="1:80">
      <c r="B51" s="9" t="str">
        <f t="shared" si="11"/>
        <v>Multifamily - High RiseLoad sensing advanced power strip</v>
      </c>
      <c r="C51" s="9" t="str">
        <f t="shared" si="18"/>
        <v>Multifamily - High Rise</v>
      </c>
      <c r="D51" s="9" t="str">
        <f t="shared" ref="D51:D52" si="26">$D$31</f>
        <v>Load sensing advanced power strip</v>
      </c>
      <c r="E51" s="41">
        <f t="shared" ref="E51:X51" si="27">E33*E$40*$AA$40</f>
        <v>13.80273766945459</v>
      </c>
      <c r="F51" s="41">
        <f t="shared" si="27"/>
        <v>36.751218079860855</v>
      </c>
      <c r="G51" s="41">
        <f t="shared" si="27"/>
        <v>84.040019399503976</v>
      </c>
      <c r="H51" s="41">
        <f t="shared" si="27"/>
        <v>158.45298816659687</v>
      </c>
      <c r="I51" s="41">
        <f t="shared" si="27"/>
        <v>281.10107204553157</v>
      </c>
      <c r="J51" s="41">
        <f t="shared" si="27"/>
        <v>441.65014403543944</v>
      </c>
      <c r="K51" s="41">
        <f t="shared" si="27"/>
        <v>649.54141922237727</v>
      </c>
      <c r="L51" s="41">
        <f t="shared" si="27"/>
        <v>923.28197345963099</v>
      </c>
      <c r="M51" s="41">
        <f t="shared" si="27"/>
        <v>1216.6342116298611</v>
      </c>
      <c r="N51" s="41">
        <f t="shared" si="27"/>
        <v>1534.366377331753</v>
      </c>
      <c r="O51" s="41">
        <f t="shared" si="27"/>
        <v>1785.5891462435141</v>
      </c>
      <c r="P51" s="41">
        <f t="shared" si="27"/>
        <v>2012.3851198322729</v>
      </c>
      <c r="Q51" s="41">
        <f t="shared" si="27"/>
        <v>2185.5873492533228</v>
      </c>
      <c r="R51" s="41">
        <f t="shared" si="27"/>
        <v>2323.489759368797</v>
      </c>
      <c r="S51" s="41">
        <f t="shared" si="27"/>
        <v>2411.8304403590851</v>
      </c>
      <c r="T51" s="41">
        <f t="shared" si="27"/>
        <v>2428.3687848327313</v>
      </c>
      <c r="U51" s="41">
        <f t="shared" si="27"/>
        <v>2432.1150710037259</v>
      </c>
      <c r="V51" s="41">
        <f t="shared" si="27"/>
        <v>2400.1427000530994</v>
      </c>
      <c r="W51" s="41">
        <f t="shared" si="27"/>
        <v>2403.2210939886381</v>
      </c>
      <c r="X51" s="41">
        <f t="shared" si="27"/>
        <v>2406.3048602677432</v>
      </c>
      <c r="Y51" s="41"/>
      <c r="AA51" s="41">
        <f t="shared" si="24"/>
        <v>28128.65648624294</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row>
    <row r="52" spans="1:80">
      <c r="B52" s="9" t="str">
        <f t="shared" si="11"/>
        <v>ManufacturedLoad sensing advanced power strip</v>
      </c>
      <c r="C52" s="9" t="str">
        <f t="shared" si="18"/>
        <v>Manufactured</v>
      </c>
      <c r="D52" s="9" t="str">
        <f t="shared" si="26"/>
        <v>Load sensing advanced power strip</v>
      </c>
      <c r="E52" s="41">
        <f t="shared" ref="E52:X52" si="28">E34*E$40*$AA$40</f>
        <v>6.9373310281914176</v>
      </c>
      <c r="F52" s="41">
        <f t="shared" si="28"/>
        <v>18.543443715581848</v>
      </c>
      <c r="G52" s="41">
        <f t="shared" si="28"/>
        <v>43.660303109802769</v>
      </c>
      <c r="H52" s="41">
        <f t="shared" si="28"/>
        <v>90.248554203294091</v>
      </c>
      <c r="I52" s="41">
        <f t="shared" si="28"/>
        <v>167.92462761700469</v>
      </c>
      <c r="J52" s="41">
        <f t="shared" si="28"/>
        <v>265.36707226649787</v>
      </c>
      <c r="K52" s="41">
        <f t="shared" si="28"/>
        <v>394.00758128274612</v>
      </c>
      <c r="L52" s="41">
        <f t="shared" si="28"/>
        <v>546.14228294063969</v>
      </c>
      <c r="M52" s="41">
        <f t="shared" si="28"/>
        <v>711.43287291071647</v>
      </c>
      <c r="N52" s="41">
        <f t="shared" si="28"/>
        <v>874.13063966671757</v>
      </c>
      <c r="O52" s="41">
        <f t="shared" si="28"/>
        <v>1019.8319786518928</v>
      </c>
      <c r="P52" s="41">
        <f t="shared" si="28"/>
        <v>1150.0664503722282</v>
      </c>
      <c r="Q52" s="41">
        <f t="shared" si="28"/>
        <v>1259.6951078839438</v>
      </c>
      <c r="R52" s="41">
        <f t="shared" si="28"/>
        <v>1344.8837727518653</v>
      </c>
      <c r="S52" s="41">
        <f t="shared" si="28"/>
        <v>1406.8584713862415</v>
      </c>
      <c r="T52" s="41">
        <f t="shared" si="28"/>
        <v>1446.4060668205577</v>
      </c>
      <c r="U52" s="41">
        <f t="shared" si="28"/>
        <v>1470.9960092238991</v>
      </c>
      <c r="V52" s="41">
        <f t="shared" si="28"/>
        <v>1486.0448902955322</v>
      </c>
      <c r="W52" s="41">
        <f t="shared" si="28"/>
        <v>1494.1053729488301</v>
      </c>
      <c r="X52" s="41">
        <f t="shared" si="28"/>
        <v>1503.0465709483578</v>
      </c>
      <c r="Y52" s="41"/>
      <c r="AA52" s="41">
        <f t="shared" si="24"/>
        <v>16700.329400024544</v>
      </c>
    </row>
    <row r="53" spans="1:80">
      <c r="E53" s="41"/>
      <c r="F53" s="41"/>
      <c r="G53" s="41"/>
      <c r="H53" s="41"/>
      <c r="I53" s="41"/>
      <c r="J53" s="41"/>
      <c r="K53" s="41"/>
      <c r="L53" s="41"/>
      <c r="M53" s="41"/>
      <c r="N53" s="41"/>
      <c r="O53" s="41"/>
      <c r="P53" s="41"/>
      <c r="Q53" s="41"/>
      <c r="R53" s="41"/>
      <c r="S53" s="41"/>
      <c r="T53" s="41"/>
      <c r="U53" s="41"/>
      <c r="V53" s="41"/>
      <c r="W53" s="41"/>
      <c r="X53" s="41"/>
      <c r="Y53" s="41"/>
    </row>
    <row r="54" spans="1:80">
      <c r="E54" s="41">
        <f t="shared" ref="E54:X54" si="29">SUM(E41:E44)</f>
        <v>110.31305712822838</v>
      </c>
      <c r="F54" s="41">
        <f t="shared" si="29"/>
        <v>270.25438744437486</v>
      </c>
      <c r="G54" s="41">
        <f t="shared" si="29"/>
        <v>568.21242069857476</v>
      </c>
      <c r="H54" s="41">
        <f t="shared" si="29"/>
        <v>1068.9511388839749</v>
      </c>
      <c r="I54" s="41">
        <f t="shared" si="29"/>
        <v>1806.6938785101365</v>
      </c>
      <c r="J54" s="41">
        <f t="shared" si="29"/>
        <v>2746.4262403670405</v>
      </c>
      <c r="K54" s="41">
        <f t="shared" si="29"/>
        <v>3928.8972580056447</v>
      </c>
      <c r="L54" s="41">
        <f t="shared" si="29"/>
        <v>5360.8354273595733</v>
      </c>
      <c r="M54" s="41">
        <f t="shared" si="29"/>
        <v>6845.3926785609647</v>
      </c>
      <c r="N54" s="41">
        <f t="shared" si="29"/>
        <v>8485.900006256863</v>
      </c>
      <c r="O54" s="41">
        <f t="shared" si="29"/>
        <v>9922.8392126057879</v>
      </c>
      <c r="P54" s="41">
        <f t="shared" si="29"/>
        <v>10979.972787431963</v>
      </c>
      <c r="Q54" s="41">
        <f t="shared" si="29"/>
        <v>11637.60536238137</v>
      </c>
      <c r="R54" s="41">
        <f t="shared" si="29"/>
        <v>12289.945540596102</v>
      </c>
      <c r="S54" s="41">
        <f t="shared" si="29"/>
        <v>12834.472073976407</v>
      </c>
      <c r="T54" s="41">
        <f t="shared" si="29"/>
        <v>12985.515600115466</v>
      </c>
      <c r="U54" s="41">
        <f t="shared" si="29"/>
        <v>12689.648822539764</v>
      </c>
      <c r="V54" s="41">
        <f t="shared" si="29"/>
        <v>12643.641244821076</v>
      </c>
      <c r="W54" s="41">
        <f t="shared" si="29"/>
        <v>12575.303083986</v>
      </c>
      <c r="X54" s="41">
        <f t="shared" si="29"/>
        <v>12694.582715389366</v>
      </c>
      <c r="Y54" s="41"/>
      <c r="AA54" s="41">
        <f>SUM(E54:Y54)</f>
        <v>152445.40293705868</v>
      </c>
    </row>
    <row r="56" spans="1:80">
      <c r="AA56"/>
      <c r="AB56"/>
      <c r="AC56"/>
      <c r="AD56"/>
    </row>
    <row r="57" spans="1:80" ht="15">
      <c r="A57" s="62" t="s">
        <v>64</v>
      </c>
      <c r="C57" s="71" t="str">
        <f>C8</f>
        <v>Advanced Power Strips</v>
      </c>
      <c r="D57" s="71"/>
      <c r="E57" s="9" t="s">
        <v>899</v>
      </c>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ht="15">
      <c r="A58" s="71" t="s">
        <v>65</v>
      </c>
      <c r="B58" s="71" t="str">
        <f>M_Input!K23</f>
        <v>Conservation Load Shapes</v>
      </c>
      <c r="C58" s="71">
        <v>1</v>
      </c>
      <c r="D58" s="71"/>
      <c r="E58" s="65">
        <f t="shared" ref="E58:X58" si="30">E11</f>
        <v>2016</v>
      </c>
      <c r="F58" s="66">
        <f t="shared" si="30"/>
        <v>2017</v>
      </c>
      <c r="G58" s="66">
        <f t="shared" si="30"/>
        <v>2018</v>
      </c>
      <c r="H58" s="66">
        <f t="shared" si="30"/>
        <v>2019</v>
      </c>
      <c r="I58" s="66">
        <f t="shared" si="30"/>
        <v>2020</v>
      </c>
      <c r="J58" s="66">
        <f t="shared" si="30"/>
        <v>2021</v>
      </c>
      <c r="K58" s="66">
        <f t="shared" si="30"/>
        <v>2022</v>
      </c>
      <c r="L58" s="66">
        <f t="shared" si="30"/>
        <v>2023</v>
      </c>
      <c r="M58" s="66">
        <f t="shared" si="30"/>
        <v>2024</v>
      </c>
      <c r="N58" s="66">
        <f t="shared" si="30"/>
        <v>2025</v>
      </c>
      <c r="O58" s="66">
        <f t="shared" si="30"/>
        <v>2026</v>
      </c>
      <c r="P58" s="66">
        <f t="shared" si="30"/>
        <v>2027</v>
      </c>
      <c r="Q58" s="66">
        <f t="shared" si="30"/>
        <v>2028</v>
      </c>
      <c r="R58" s="66">
        <f t="shared" si="30"/>
        <v>2029</v>
      </c>
      <c r="S58" s="66">
        <f t="shared" si="30"/>
        <v>2030</v>
      </c>
      <c r="T58" s="66">
        <f t="shared" si="30"/>
        <v>2031</v>
      </c>
      <c r="U58" s="66">
        <f t="shared" si="30"/>
        <v>2032</v>
      </c>
      <c r="V58" s="66">
        <f t="shared" si="30"/>
        <v>2033</v>
      </c>
      <c r="W58" s="66">
        <f t="shared" si="30"/>
        <v>2034</v>
      </c>
      <c r="X58" s="66">
        <f t="shared" si="30"/>
        <v>2035</v>
      </c>
      <c r="Y58" s="67" t="s">
        <v>61</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545" t="s">
        <v>46</v>
      </c>
      <c r="B59" s="71" t="s">
        <v>66</v>
      </c>
      <c r="C59" s="71" t="s">
        <v>67</v>
      </c>
      <c r="D59" s="71" t="s">
        <v>68</v>
      </c>
      <c r="E59" s="68" t="str">
        <f>CONCATENATE("aMW_",E$11)</f>
        <v>aMW_2016</v>
      </c>
      <c r="F59" s="69" t="str">
        <f t="shared" ref="F59:X59" si="31">CONCATENATE("aMW_",F$11)</f>
        <v>aMW_2017</v>
      </c>
      <c r="G59" s="69" t="str">
        <f t="shared" si="31"/>
        <v>aMW_2018</v>
      </c>
      <c r="H59" s="69" t="str">
        <f t="shared" si="31"/>
        <v>aMW_2019</v>
      </c>
      <c r="I59" s="69" t="str">
        <f t="shared" si="31"/>
        <v>aMW_2020</v>
      </c>
      <c r="J59" s="69" t="str">
        <f t="shared" si="31"/>
        <v>aMW_2021</v>
      </c>
      <c r="K59" s="69" t="str">
        <f t="shared" si="31"/>
        <v>aMW_2022</v>
      </c>
      <c r="L59" s="69" t="str">
        <f t="shared" si="31"/>
        <v>aMW_2023</v>
      </c>
      <c r="M59" s="69" t="str">
        <f t="shared" si="31"/>
        <v>aMW_2024</v>
      </c>
      <c r="N59" s="69" t="str">
        <f t="shared" si="31"/>
        <v>aMW_2025</v>
      </c>
      <c r="O59" s="69" t="str">
        <f t="shared" si="31"/>
        <v>aMW_2026</v>
      </c>
      <c r="P59" s="69" t="str">
        <f t="shared" si="31"/>
        <v>aMW_2027</v>
      </c>
      <c r="Q59" s="69" t="str">
        <f t="shared" si="31"/>
        <v>aMW_2028</v>
      </c>
      <c r="R59" s="69" t="str">
        <f t="shared" si="31"/>
        <v>aMW_2029</v>
      </c>
      <c r="S59" s="69" t="str">
        <f t="shared" si="31"/>
        <v>aMW_2030</v>
      </c>
      <c r="T59" s="69" t="str">
        <f t="shared" si="31"/>
        <v>aMW_2031</v>
      </c>
      <c r="U59" s="69" t="str">
        <f t="shared" si="31"/>
        <v>aMW_2032</v>
      </c>
      <c r="V59" s="69" t="str">
        <f t="shared" si="31"/>
        <v>aMW_2033</v>
      </c>
      <c r="W59" s="69" t="str">
        <f t="shared" si="31"/>
        <v>aMW_2034</v>
      </c>
      <c r="X59" s="69" t="str">
        <f t="shared" si="31"/>
        <v>aMW_2035</v>
      </c>
      <c r="Y59" s="70" t="s">
        <v>61</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64">
        <f t="shared" ref="A60:A71" si="32">VLOOKUP($D60,MeasureOutput,3,FALSE)</f>
        <v>42.910133077431247</v>
      </c>
      <c r="B60" s="64">
        <f t="shared" ref="B60:B71" si="33">VLOOKUP($D60,MeasureOutput,11,FALSE)</f>
        <v>-8.9100081856585778</v>
      </c>
      <c r="C60" s="9" t="str">
        <f>C23</f>
        <v>Single Family</v>
      </c>
      <c r="D60" s="9" t="str">
        <f>$D$23</f>
        <v>Occupancy sensing advanced power strip</v>
      </c>
      <c r="E60" s="36">
        <f>VLOOKUP($C60&amp;$D60,$B$41:$Y$52,E$39+1,FALSE)*$C$58*$A60/8760/1000</f>
        <v>4.61813703717516E-4</v>
      </c>
      <c r="F60" s="36">
        <f t="shared" ref="F60:U71" si="34">VLOOKUP($C60&amp;$D60,$B$41:$Y$52,F$39+1,FALSE)*$C$58*$A60/8760/1000</f>
        <v>1.1252086455153319E-3</v>
      </c>
      <c r="G60" s="36">
        <f t="shared" si="34"/>
        <v>2.3471834314498625E-3</v>
      </c>
      <c r="H60" s="36">
        <f t="shared" si="34"/>
        <v>4.4129415683087196E-3</v>
      </c>
      <c r="I60" s="36">
        <f t="shared" si="34"/>
        <v>7.4957257224587612E-3</v>
      </c>
      <c r="J60" s="36">
        <f t="shared" si="34"/>
        <v>1.1365676945873504E-2</v>
      </c>
      <c r="K60" s="36">
        <f t="shared" si="34"/>
        <v>1.6205819475617087E-2</v>
      </c>
      <c r="L60" s="36">
        <f t="shared" si="34"/>
        <v>2.2028374453128875E-2</v>
      </c>
      <c r="M60" s="36">
        <f t="shared" si="34"/>
        <v>2.7985699125157928E-2</v>
      </c>
      <c r="N60" s="36">
        <f t="shared" si="34"/>
        <v>3.4655913833638211E-2</v>
      </c>
      <c r="O60" s="36">
        <f t="shared" si="34"/>
        <v>4.0563285925855806E-2</v>
      </c>
      <c r="P60" s="36">
        <f t="shared" si="34"/>
        <v>4.4789689849144172E-2</v>
      </c>
      <c r="Q60" s="36">
        <f t="shared" si="34"/>
        <v>4.7255877023407986E-2</v>
      </c>
      <c r="R60" s="36">
        <f t="shared" si="34"/>
        <v>4.9985037771857421E-2</v>
      </c>
      <c r="S60" s="36">
        <f t="shared" si="34"/>
        <v>5.2389787626131119E-2</v>
      </c>
      <c r="T60" s="36">
        <f t="shared" si="34"/>
        <v>5.3132221547834139E-2</v>
      </c>
      <c r="U60" s="36">
        <f t="shared" si="34"/>
        <v>5.1762730473495153E-2</v>
      </c>
      <c r="V60" s="36">
        <f t="shared" ref="V60:X71" si="35">VLOOKUP($C60&amp;$D60,$B$41:$Y$52,V$39+1,FALSE)*$C$58*$A60/8760/1000</f>
        <v>5.1672252515099361E-2</v>
      </c>
      <c r="W60" s="36">
        <f t="shared" si="35"/>
        <v>5.153858909932655E-2</v>
      </c>
      <c r="X60" s="36">
        <f t="shared" si="35"/>
        <v>5.2114102246805613E-2</v>
      </c>
      <c r="Y60" s="36">
        <f>SUM(E60:X60)</f>
        <v>0.62328793098382307</v>
      </c>
      <c r="AA60" s="41">
        <f>SUM(E60:X60)</f>
        <v>0.62328793098382307</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4">
        <f t="shared" si="32"/>
        <v>42.910133077431247</v>
      </c>
      <c r="B61" s="64">
        <f t="shared" si="33"/>
        <v>-8.9100081856585778</v>
      </c>
      <c r="C61" s="9" t="str">
        <f t="shared" ref="C61:C71" si="36">C24</f>
        <v>Multifamily - Low Rise</v>
      </c>
      <c r="D61" s="9" t="str">
        <f>$D$23</f>
        <v>Occupancy sensing advanced power strip</v>
      </c>
      <c r="E61" s="36">
        <f t="shared" ref="E61:E71" si="37">VLOOKUP($C61&amp;$D61,$B$41:$Y$52,E$39+1,FALSE)*$C$58*$A61/8760/1000</f>
        <v>5.8086070411624162E-5</v>
      </c>
      <c r="F61" s="36">
        <f t="shared" si="34"/>
        <v>1.4628498843275212E-4</v>
      </c>
      <c r="G61" s="36">
        <f t="shared" si="34"/>
        <v>3.1906505740246635E-4</v>
      </c>
      <c r="H61" s="36">
        <f t="shared" si="34"/>
        <v>6.003195202221119E-4</v>
      </c>
      <c r="I61" s="36">
        <f t="shared" si="34"/>
        <v>9.8768808058250813E-4</v>
      </c>
      <c r="J61" s="36">
        <f t="shared" si="34"/>
        <v>1.5153607998266666E-3</v>
      </c>
      <c r="K61" s="36">
        <f t="shared" si="34"/>
        <v>2.2024046709669736E-3</v>
      </c>
      <c r="L61" s="36">
        <f t="shared" si="34"/>
        <v>3.0640217959250794E-3</v>
      </c>
      <c r="M61" s="36">
        <f t="shared" si="34"/>
        <v>4.0288995446925149E-3</v>
      </c>
      <c r="N61" s="36">
        <f t="shared" si="34"/>
        <v>5.0352812293322216E-3</v>
      </c>
      <c r="O61" s="36">
        <f t="shared" si="34"/>
        <v>5.8771464771875071E-3</v>
      </c>
      <c r="P61" s="36">
        <f t="shared" si="34"/>
        <v>6.5757075504432137E-3</v>
      </c>
      <c r="Q61" s="36">
        <f t="shared" si="34"/>
        <v>7.1379696468743953E-3</v>
      </c>
      <c r="R61" s="36">
        <f t="shared" si="34"/>
        <v>7.4602823031580607E-3</v>
      </c>
      <c r="S61" s="36">
        <f t="shared" si="34"/>
        <v>7.6358437887897191E-3</v>
      </c>
      <c r="T61" s="36">
        <f t="shared" si="34"/>
        <v>7.6181024239943707E-3</v>
      </c>
      <c r="U61" s="36">
        <f t="shared" si="34"/>
        <v>7.5448024779864202E-3</v>
      </c>
      <c r="V61" s="36">
        <f t="shared" si="35"/>
        <v>7.4488771976485334E-3</v>
      </c>
      <c r="W61" s="36">
        <f t="shared" si="35"/>
        <v>7.2681028841496643E-3</v>
      </c>
      <c r="X61" s="36">
        <f t="shared" si="35"/>
        <v>7.2720910477585892E-3</v>
      </c>
      <c r="Y61" s="36">
        <f t="shared" ref="Y61:Y71" si="38">SUM(E61:X61)</f>
        <v>8.979633755578538E-2</v>
      </c>
      <c r="AA61" s="41">
        <f>SUM(E61:X61)</f>
        <v>8.979633755578538E-2</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4">
        <f t="shared" si="32"/>
        <v>42.910133077431247</v>
      </c>
      <c r="B62" s="64">
        <f t="shared" si="33"/>
        <v>-8.9100081856585778</v>
      </c>
      <c r="C62" s="9" t="str">
        <f t="shared" si="36"/>
        <v>Multifamily - High Rise</v>
      </c>
      <c r="D62" s="9" t="str">
        <f t="shared" ref="D62:D63" si="39">$D$23</f>
        <v>Occupancy sensing advanced power strip</v>
      </c>
      <c r="E62" s="36">
        <f t="shared" si="37"/>
        <v>1.3039825832105316E-5</v>
      </c>
      <c r="F62" s="36">
        <f t="shared" si="34"/>
        <v>3.330201845954213E-5</v>
      </c>
      <c r="G62" s="36">
        <f t="shared" si="34"/>
        <v>7.372892093959914E-5</v>
      </c>
      <c r="H62" s="36">
        <f t="shared" si="34"/>
        <v>1.3552180363037643E-4</v>
      </c>
      <c r="I62" s="36">
        <f t="shared" si="34"/>
        <v>2.1865128942391828E-4</v>
      </c>
      <c r="J62" s="36">
        <f t="shared" si="34"/>
        <v>3.4048993151061254E-4</v>
      </c>
      <c r="K62" s="36">
        <f t="shared" si="34"/>
        <v>4.9631605328356214E-4</v>
      </c>
      <c r="L62" s="36">
        <f t="shared" si="34"/>
        <v>6.9906620313556829E-4</v>
      </c>
      <c r="M62" s="36">
        <f t="shared" si="34"/>
        <v>9.127437779590644E-4</v>
      </c>
      <c r="N62" s="36">
        <f t="shared" si="34"/>
        <v>1.140619346109922E-3</v>
      </c>
      <c r="O62" s="36">
        <f t="shared" si="34"/>
        <v>1.3152969938097477E-3</v>
      </c>
      <c r="P62" s="36">
        <f t="shared" si="34"/>
        <v>1.4687869083107468E-3</v>
      </c>
      <c r="Q62" s="36">
        <f t="shared" si="34"/>
        <v>1.5806232021622877E-3</v>
      </c>
      <c r="R62" s="36">
        <f t="shared" si="34"/>
        <v>1.6649381644362595E-3</v>
      </c>
      <c r="S62" s="36">
        <f t="shared" si="34"/>
        <v>1.7122369431236198E-3</v>
      </c>
      <c r="T62" s="36">
        <f t="shared" si="34"/>
        <v>1.7070488551780075E-3</v>
      </c>
      <c r="U62" s="36">
        <f t="shared" si="34"/>
        <v>1.6926524056718791E-3</v>
      </c>
      <c r="V62" s="36">
        <f t="shared" si="35"/>
        <v>1.6536063631126499E-3</v>
      </c>
      <c r="W62" s="36">
        <f t="shared" si="35"/>
        <v>1.638871856109327E-3</v>
      </c>
      <c r="X62" s="36">
        <f t="shared" si="35"/>
        <v>1.638499414606925E-3</v>
      </c>
      <c r="Y62" s="36">
        <f t="shared" si="38"/>
        <v>2.0136040276805718E-2</v>
      </c>
      <c r="AA62" s="41">
        <f t="shared" ref="AA62:AA71" si="40">SUM(E62:X62)</f>
        <v>2.0136040276805718E-2</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4">
        <f t="shared" si="32"/>
        <v>42.910133077431247</v>
      </c>
      <c r="B63" s="64">
        <f t="shared" si="33"/>
        <v>-8.9100081856585778</v>
      </c>
      <c r="C63" s="9" t="str">
        <f t="shared" si="36"/>
        <v>Manufactured</v>
      </c>
      <c r="D63" s="9" t="str">
        <f t="shared" si="39"/>
        <v>Occupancy sensing advanced power strip</v>
      </c>
      <c r="E63" s="36">
        <f t="shared" si="37"/>
        <v>7.419756380142079E-6</v>
      </c>
      <c r="F63" s="36">
        <f t="shared" si="34"/>
        <v>1.9023038231390842E-5</v>
      </c>
      <c r="G63" s="36">
        <f t="shared" si="34"/>
        <v>4.3363981580810832E-5</v>
      </c>
      <c r="H63" s="36">
        <f t="shared" si="34"/>
        <v>8.7385557928182337E-5</v>
      </c>
      <c r="I63" s="36">
        <f t="shared" si="34"/>
        <v>1.4787494829398586E-4</v>
      </c>
      <c r="J63" s="36">
        <f t="shared" si="34"/>
        <v>2.3161335720689967E-4</v>
      </c>
      <c r="K63" s="36">
        <f t="shared" si="34"/>
        <v>3.4083699060919863E-4</v>
      </c>
      <c r="L63" s="36">
        <f t="shared" si="34"/>
        <v>4.6814503573368614E-4</v>
      </c>
      <c r="M63" s="36">
        <f t="shared" si="34"/>
        <v>6.0424554355174528E-4</v>
      </c>
      <c r="N63" s="36">
        <f t="shared" si="34"/>
        <v>7.3566259437360436E-4</v>
      </c>
      <c r="O63" s="36">
        <f t="shared" si="34"/>
        <v>8.5047506877108285E-4</v>
      </c>
      <c r="P63" s="36">
        <f t="shared" si="34"/>
        <v>9.5030125092370257E-4</v>
      </c>
      <c r="Q63" s="36">
        <f t="shared" si="34"/>
        <v>1.0313742830818271E-3</v>
      </c>
      <c r="R63" s="36">
        <f t="shared" si="34"/>
        <v>1.0910201465484199E-3</v>
      </c>
      <c r="S63" s="36">
        <f t="shared" si="34"/>
        <v>1.1307280658028767E-3</v>
      </c>
      <c r="T63" s="36">
        <f t="shared" si="34"/>
        <v>1.1510977757348169E-3</v>
      </c>
      <c r="U63" s="36">
        <f t="shared" si="34"/>
        <v>1.1590063872586489E-3</v>
      </c>
      <c r="V63" s="36">
        <f t="shared" si="35"/>
        <v>1.1590913668986932E-3</v>
      </c>
      <c r="W63" s="36">
        <f t="shared" si="35"/>
        <v>1.1535147931622755E-3</v>
      </c>
      <c r="X63" s="36">
        <f t="shared" si="35"/>
        <v>1.1586672999403013E-3</v>
      </c>
      <c r="Y63" s="36">
        <f t="shared" si="38"/>
        <v>1.3520847242012291E-2</v>
      </c>
      <c r="AA63" s="41">
        <f t="shared" si="40"/>
        <v>1.3520847242012291E-2</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64">
        <f t="shared" si="32"/>
        <v>268.66551402974153</v>
      </c>
      <c r="B64" s="64">
        <f t="shared" si="33"/>
        <v>46.658919133400126</v>
      </c>
      <c r="C64" s="9" t="str">
        <f t="shared" si="36"/>
        <v>Single Family</v>
      </c>
      <c r="D64" s="9" t="str">
        <f>$D$27</f>
        <v>Infrared sensing advanced power strip</v>
      </c>
      <c r="E64" s="36">
        <f t="shared" si="37"/>
        <v>1.0558859595914885E-2</v>
      </c>
      <c r="F64" s="36">
        <f t="shared" si="34"/>
        <v>2.763243244791402E-2</v>
      </c>
      <c r="G64" s="36">
        <f t="shared" si="34"/>
        <v>6.0841386274938153E-2</v>
      </c>
      <c r="H64" s="36">
        <f t="shared" si="34"/>
        <v>0.11925642355888712</v>
      </c>
      <c r="I64" s="36">
        <f t="shared" si="34"/>
        <v>0.23535881206555048</v>
      </c>
      <c r="J64" s="36">
        <f t="shared" si="34"/>
        <v>0.3617788710788124</v>
      </c>
      <c r="K64" s="36">
        <f t="shared" si="34"/>
        <v>0.52292386230754495</v>
      </c>
      <c r="L64" s="36">
        <f t="shared" si="34"/>
        <v>0.72074743189042911</v>
      </c>
      <c r="M64" s="36">
        <f t="shared" si="34"/>
        <v>0.92850276769511542</v>
      </c>
      <c r="N64" s="36">
        <f t="shared" si="34"/>
        <v>1.1657772962623187</v>
      </c>
      <c r="O64" s="36">
        <f t="shared" si="34"/>
        <v>1.3833221294169971</v>
      </c>
      <c r="P64" s="36">
        <f t="shared" si="34"/>
        <v>1.548570032874403</v>
      </c>
      <c r="Q64" s="36">
        <f t="shared" si="34"/>
        <v>1.6562807169722435</v>
      </c>
      <c r="R64" s="36">
        <f t="shared" si="34"/>
        <v>1.7759874374282965</v>
      </c>
      <c r="S64" s="36">
        <f t="shared" si="34"/>
        <v>1.8871104020073157</v>
      </c>
      <c r="T64" s="36">
        <f t="shared" si="34"/>
        <v>1.9417474178233387</v>
      </c>
      <c r="U64" s="36">
        <f t="shared" si="34"/>
        <v>1.9195413642918207</v>
      </c>
      <c r="V64" s="36">
        <f t="shared" si="35"/>
        <v>1.9445256255448655</v>
      </c>
      <c r="W64" s="36">
        <f t="shared" si="35"/>
        <v>1.9684099310052725</v>
      </c>
      <c r="X64" s="36">
        <f t="shared" si="35"/>
        <v>1.9947294315221995</v>
      </c>
      <c r="Y64" s="36">
        <f t="shared" si="38"/>
        <v>22.173602632064178</v>
      </c>
      <c r="AA64" s="41">
        <f t="shared" si="40"/>
        <v>22.173602632064178</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64">
        <f t="shared" si="32"/>
        <v>268.66551402974153</v>
      </c>
      <c r="B65" s="64">
        <f t="shared" si="33"/>
        <v>46.658919133400126</v>
      </c>
      <c r="C65" s="9" t="str">
        <f t="shared" si="36"/>
        <v>Multifamily - Low Rise</v>
      </c>
      <c r="D65" s="9" t="str">
        <f>$D$27</f>
        <v>Infrared sensing advanced power strip</v>
      </c>
      <c r="E65" s="36">
        <f t="shared" si="37"/>
        <v>1.6760673203878793E-3</v>
      </c>
      <c r="F65" s="36">
        <f t="shared" si="34"/>
        <v>4.5337240273664921E-3</v>
      </c>
      <c r="G65" s="36">
        <f t="shared" si="34"/>
        <v>1.0437598264610526E-2</v>
      </c>
      <c r="H65" s="36">
        <f t="shared" si="34"/>
        <v>2.0474124108607154E-2</v>
      </c>
      <c r="I65" s="36">
        <f t="shared" si="34"/>
        <v>3.9138650905137642E-2</v>
      </c>
      <c r="J65" s="36">
        <f t="shared" si="34"/>
        <v>6.0874190970301077E-2</v>
      </c>
      <c r="K65" s="36">
        <f t="shared" si="34"/>
        <v>8.9687897911288367E-2</v>
      </c>
      <c r="L65" s="36">
        <f t="shared" si="34"/>
        <v>0.12652075241166241</v>
      </c>
      <c r="M65" s="36">
        <f t="shared" si="34"/>
        <v>0.16869520688460937</v>
      </c>
      <c r="N65" s="36">
        <f t="shared" si="34"/>
        <v>0.2137623582294384</v>
      </c>
      <c r="O65" s="36">
        <f t="shared" si="34"/>
        <v>0.25294492651737388</v>
      </c>
      <c r="P65" s="36">
        <f t="shared" si="34"/>
        <v>0.28692246151831702</v>
      </c>
      <c r="Q65" s="36">
        <f t="shared" si="34"/>
        <v>0.31573452746403674</v>
      </c>
      <c r="R65" s="36">
        <f t="shared" si="34"/>
        <v>0.33452177227888008</v>
      </c>
      <c r="S65" s="36">
        <f t="shared" si="34"/>
        <v>0.34711786672792055</v>
      </c>
      <c r="T65" s="36">
        <f t="shared" si="34"/>
        <v>0.35135879671454257</v>
      </c>
      <c r="U65" s="36">
        <f t="shared" si="34"/>
        <v>0.35309977009538507</v>
      </c>
      <c r="V65" s="36">
        <f t="shared" si="35"/>
        <v>0.35376621398525265</v>
      </c>
      <c r="W65" s="36">
        <f t="shared" si="35"/>
        <v>0.35032679092492403</v>
      </c>
      <c r="X65" s="36">
        <f t="shared" si="35"/>
        <v>0.35128313899621388</v>
      </c>
      <c r="Y65" s="36">
        <f t="shared" si="38"/>
        <v>4.0328768362562553</v>
      </c>
      <c r="AA65" s="41">
        <f t="shared" si="40"/>
        <v>4.0328768362562553</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64">
        <f t="shared" si="32"/>
        <v>268.66551402974153</v>
      </c>
      <c r="B66" s="64">
        <f t="shared" si="33"/>
        <v>46.658919133400126</v>
      </c>
      <c r="C66" s="9" t="str">
        <f t="shared" si="36"/>
        <v>Multifamily - High Rise</v>
      </c>
      <c r="D66" s="9" t="str">
        <f t="shared" ref="D66:D67" si="41">$D$27</f>
        <v>Infrared sensing advanced power strip</v>
      </c>
      <c r="E66" s="36">
        <f t="shared" si="37"/>
        <v>3.7626277325807301E-4</v>
      </c>
      <c r="F66" s="36">
        <f t="shared" si="34"/>
        <v>1.0321097391290824E-3</v>
      </c>
      <c r="G66" s="36">
        <f t="shared" si="34"/>
        <v>2.4118995151514149E-3</v>
      </c>
      <c r="H66" s="36">
        <f t="shared" si="34"/>
        <v>4.6220223289157878E-3</v>
      </c>
      <c r="I66" s="36">
        <f t="shared" si="34"/>
        <v>8.6643917801193619E-3</v>
      </c>
      <c r="J66" s="36">
        <f t="shared" si="34"/>
        <v>1.3677963107276241E-2</v>
      </c>
      <c r="K66" s="36">
        <f t="shared" si="34"/>
        <v>2.0211337228542032E-2</v>
      </c>
      <c r="L66" s="36">
        <f t="shared" si="34"/>
        <v>2.8866107324661744E-2</v>
      </c>
      <c r="M66" s="36">
        <f t="shared" si="34"/>
        <v>3.821775617569928E-2</v>
      </c>
      <c r="N66" s="36">
        <f t="shared" si="34"/>
        <v>4.8422614380748789E-2</v>
      </c>
      <c r="O66" s="36">
        <f t="shared" si="34"/>
        <v>5.6608713554973517E-2</v>
      </c>
      <c r="P66" s="36">
        <f t="shared" si="34"/>
        <v>6.4088609772494101E-2</v>
      </c>
      <c r="Q66" s="36">
        <f t="shared" si="34"/>
        <v>6.9915864667753472E-2</v>
      </c>
      <c r="R66" s="36">
        <f t="shared" si="34"/>
        <v>7.4656432943052783E-2</v>
      </c>
      <c r="S66" s="36">
        <f t="shared" si="34"/>
        <v>7.7836589048924321E-2</v>
      </c>
      <c r="T66" s="36">
        <f t="shared" si="34"/>
        <v>7.8731762623611229E-2</v>
      </c>
      <c r="U66" s="36">
        <f t="shared" si="34"/>
        <v>7.9216808794926902E-2</v>
      </c>
      <c r="V66" s="36">
        <f t="shared" si="35"/>
        <v>7.8533992033719538E-2</v>
      </c>
      <c r="W66" s="36">
        <f t="shared" si="35"/>
        <v>7.8994577710236435E-2</v>
      </c>
      <c r="X66" s="36">
        <f t="shared" si="35"/>
        <v>7.9148791431040227E-2</v>
      </c>
      <c r="Y66" s="36">
        <f t="shared" si="38"/>
        <v>0.90423460693423441</v>
      </c>
      <c r="AA66" s="41">
        <f t="shared" si="40"/>
        <v>0.90423460693423441</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67" s="64">
        <f t="shared" si="32"/>
        <v>268.66551402974153</v>
      </c>
      <c r="B67" s="64">
        <f t="shared" si="33"/>
        <v>46.658919133400126</v>
      </c>
      <c r="C67" s="9" t="str">
        <f t="shared" si="36"/>
        <v>Manufactured</v>
      </c>
      <c r="D67" s="9" t="str">
        <f t="shared" si="41"/>
        <v>Infrared sensing advanced power strip</v>
      </c>
      <c r="E67" s="36">
        <f t="shared" si="37"/>
        <v>1.8178464281108821E-4</v>
      </c>
      <c r="F67" s="36">
        <f t="shared" si="34"/>
        <v>5.0059128381855242E-4</v>
      </c>
      <c r="G67" s="36">
        <f t="shared" si="34"/>
        <v>1.2044771557014864E-3</v>
      </c>
      <c r="H67" s="36">
        <f t="shared" si="34"/>
        <v>2.5305248910187685E-3</v>
      </c>
      <c r="I67" s="36">
        <f t="shared" si="34"/>
        <v>4.9754083250210289E-3</v>
      </c>
      <c r="J67" s="36">
        <f t="shared" si="34"/>
        <v>7.9000317993005147E-3</v>
      </c>
      <c r="K67" s="36">
        <f t="shared" si="34"/>
        <v>1.1785052775081984E-2</v>
      </c>
      <c r="L67" s="36">
        <f t="shared" si="34"/>
        <v>1.6413395026680478E-2</v>
      </c>
      <c r="M67" s="36">
        <f t="shared" si="34"/>
        <v>2.1482154918350649E-2</v>
      </c>
      <c r="N67" s="36">
        <f t="shared" si="34"/>
        <v>2.6517602640274366E-2</v>
      </c>
      <c r="O67" s="36">
        <f t="shared" si="34"/>
        <v>3.1079149740957317E-2</v>
      </c>
      <c r="P67" s="36">
        <f t="shared" si="34"/>
        <v>3.5207196384401736E-2</v>
      </c>
      <c r="Q67" s="36">
        <f t="shared" si="34"/>
        <v>3.8735731560145842E-2</v>
      </c>
      <c r="R67" s="36">
        <f t="shared" si="34"/>
        <v>4.1538420767946942E-2</v>
      </c>
      <c r="S67" s="36">
        <f t="shared" si="34"/>
        <v>4.3644164970601564E-2</v>
      </c>
      <c r="T67" s="36">
        <f t="shared" si="34"/>
        <v>4.5077967107969012E-2</v>
      </c>
      <c r="U67" s="36">
        <f t="shared" si="34"/>
        <v>4.6055709118960217E-2</v>
      </c>
      <c r="V67" s="36">
        <f t="shared" si="35"/>
        <v>4.6740278332697158E-2</v>
      </c>
      <c r="W67" s="36">
        <f t="shared" si="35"/>
        <v>4.7208862566275586E-2</v>
      </c>
      <c r="X67" s="36">
        <f t="shared" si="35"/>
        <v>4.7523107541648617E-2</v>
      </c>
      <c r="Y67" s="36">
        <f t="shared" si="38"/>
        <v>0.51630161154966292</v>
      </c>
      <c r="AA67" s="41">
        <f t="shared" si="40"/>
        <v>0.51630161154966292</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68" s="64">
        <f t="shared" si="32"/>
        <v>32.182599808073434</v>
      </c>
      <c r="B68" s="64">
        <f t="shared" si="33"/>
        <v>236.63736937731289</v>
      </c>
      <c r="C68" s="9" t="str">
        <f t="shared" si="36"/>
        <v>Single Family</v>
      </c>
      <c r="D68" s="9" t="str">
        <f>$D$31</f>
        <v>Load sensing advanced power strip</v>
      </c>
      <c r="E68" s="36">
        <f t="shared" si="37"/>
        <v>1.5075631470458108E-3</v>
      </c>
      <c r="F68" s="36">
        <f t="shared" si="34"/>
        <v>3.8295654324108524E-3</v>
      </c>
      <c r="G68" s="36">
        <f t="shared" si="34"/>
        <v>8.2510752950048071E-3</v>
      </c>
      <c r="H68" s="36">
        <f t="shared" si="34"/>
        <v>1.5912363492458805E-2</v>
      </c>
      <c r="I68" s="36">
        <f t="shared" si="34"/>
        <v>2.9719356333464408E-2</v>
      </c>
      <c r="J68" s="36">
        <f t="shared" si="34"/>
        <v>4.546578178796027E-2</v>
      </c>
      <c r="K68" s="36">
        <f t="shared" si="34"/>
        <v>6.5408588504458576E-2</v>
      </c>
      <c r="L68" s="36">
        <f t="shared" si="34"/>
        <v>8.9725059189949399E-2</v>
      </c>
      <c r="M68" s="36">
        <f t="shared" si="34"/>
        <v>0.11504362491855613</v>
      </c>
      <c r="N68" s="36">
        <f t="shared" si="34"/>
        <v>0.14377419618020462</v>
      </c>
      <c r="O68" s="36">
        <f t="shared" si="34"/>
        <v>0.16982674742943518</v>
      </c>
      <c r="P68" s="36">
        <f t="shared" si="34"/>
        <v>0.18925423772113054</v>
      </c>
      <c r="Q68" s="36">
        <f t="shared" si="34"/>
        <v>0.20151663215393509</v>
      </c>
      <c r="R68" s="36">
        <f t="shared" si="34"/>
        <v>0.21512849157254937</v>
      </c>
      <c r="S68" s="36">
        <f t="shared" si="34"/>
        <v>0.22758561087434831</v>
      </c>
      <c r="T68" s="36">
        <f t="shared" si="34"/>
        <v>0.23309980978375111</v>
      </c>
      <c r="U68" s="36">
        <f t="shared" si="34"/>
        <v>0.22937641809779794</v>
      </c>
      <c r="V68" s="36">
        <f t="shared" si="35"/>
        <v>0.23130103479114189</v>
      </c>
      <c r="W68" s="36">
        <f t="shared" si="35"/>
        <v>0.23307543776096307</v>
      </c>
      <c r="X68" s="36">
        <f t="shared" si="35"/>
        <v>0.23603416595449214</v>
      </c>
      <c r="Y68" s="36">
        <f t="shared" si="38"/>
        <v>2.6848357604210578</v>
      </c>
      <c r="AA68" s="41">
        <f t="shared" si="40"/>
        <v>2.6848357604210578</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A69" s="64">
        <f t="shared" si="32"/>
        <v>32.182599808073434</v>
      </c>
      <c r="B69" s="64">
        <f t="shared" si="33"/>
        <v>236.63736937731289</v>
      </c>
      <c r="C69" s="9" t="str">
        <f t="shared" si="36"/>
        <v>Multifamily - Low Rise</v>
      </c>
      <c r="D69" s="9" t="str">
        <f>$D$31</f>
        <v>Load sensing advanced power strip</v>
      </c>
      <c r="E69" s="36">
        <f t="shared" si="37"/>
        <v>2.2588243401181892E-4</v>
      </c>
      <c r="F69" s="36">
        <f t="shared" si="34"/>
        <v>5.930863940298729E-4</v>
      </c>
      <c r="G69" s="36">
        <f t="shared" si="34"/>
        <v>1.3361171225333252E-3</v>
      </c>
      <c r="H69" s="36">
        <f t="shared" si="34"/>
        <v>2.5786401749760394E-3</v>
      </c>
      <c r="I69" s="36">
        <f t="shared" si="34"/>
        <v>4.6649531927038957E-3</v>
      </c>
      <c r="J69" s="36">
        <f t="shared" si="34"/>
        <v>7.2211633527193989E-3</v>
      </c>
      <c r="K69" s="36">
        <f t="shared" si="34"/>
        <v>1.0589188159494934E-2</v>
      </c>
      <c r="L69" s="36">
        <f t="shared" si="34"/>
        <v>1.4867054001258494E-2</v>
      </c>
      <c r="M69" s="36">
        <f t="shared" si="34"/>
        <v>1.9729432853322577E-2</v>
      </c>
      <c r="N69" s="36">
        <f t="shared" si="34"/>
        <v>2.4884509807112449E-2</v>
      </c>
      <c r="O69" s="36">
        <f t="shared" si="34"/>
        <v>2.9311715947664307E-2</v>
      </c>
      <c r="P69" s="36">
        <f t="shared" si="34"/>
        <v>3.3098766808006469E-2</v>
      </c>
      <c r="Q69" s="36">
        <f t="shared" si="34"/>
        <v>3.6260311527275803E-2</v>
      </c>
      <c r="R69" s="36">
        <f t="shared" si="34"/>
        <v>3.8248546383734948E-2</v>
      </c>
      <c r="S69" s="36">
        <f t="shared" si="34"/>
        <v>3.9514542942200019E-2</v>
      </c>
      <c r="T69" s="36">
        <f t="shared" si="34"/>
        <v>3.9813697921666481E-2</v>
      </c>
      <c r="U69" s="36">
        <f t="shared" si="34"/>
        <v>3.9827333365369595E-2</v>
      </c>
      <c r="V69" s="36">
        <f t="shared" si="35"/>
        <v>3.9720322113527114E-2</v>
      </c>
      <c r="W69" s="36">
        <f t="shared" si="35"/>
        <v>3.9154962740549082E-2</v>
      </c>
      <c r="X69" s="36">
        <f t="shared" si="35"/>
        <v>3.9235634844437553E-2</v>
      </c>
      <c r="Y69" s="36">
        <f t="shared" si="38"/>
        <v>0.4608758620865942</v>
      </c>
      <c r="AA69" s="41">
        <f t="shared" si="40"/>
        <v>0.4608758620865942</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70" s="64">
        <f t="shared" si="32"/>
        <v>32.182599808073434</v>
      </c>
      <c r="B70" s="64">
        <f t="shared" si="33"/>
        <v>236.63736937731289</v>
      </c>
      <c r="C70" s="9" t="str">
        <f t="shared" si="36"/>
        <v>Multifamily - High Rise</v>
      </c>
      <c r="D70" s="9" t="str">
        <f t="shared" ref="D70:D71" si="42">$D$31</f>
        <v>Load sensing advanced power strip</v>
      </c>
      <c r="E70" s="36">
        <f t="shared" si="37"/>
        <v>5.0708673820990551E-5</v>
      </c>
      <c r="F70" s="36">
        <f t="shared" si="34"/>
        <v>1.3501709405518207E-4</v>
      </c>
      <c r="G70" s="36">
        <f t="shared" si="34"/>
        <v>3.0874729591289548E-4</v>
      </c>
      <c r="H70" s="36">
        <f t="shared" si="34"/>
        <v>5.8212661033778333E-4</v>
      </c>
      <c r="I70" s="36">
        <f t="shared" si="34"/>
        <v>1.03271270630842E-3</v>
      </c>
      <c r="J70" s="36">
        <f t="shared" si="34"/>
        <v>1.6225399361496048E-3</v>
      </c>
      <c r="K70" s="36">
        <f t="shared" si="34"/>
        <v>2.3862935563472407E-3</v>
      </c>
      <c r="L70" s="36">
        <f t="shared" si="34"/>
        <v>3.3919650983857967E-3</v>
      </c>
      <c r="M70" s="36">
        <f t="shared" si="34"/>
        <v>4.4696862951706324E-3</v>
      </c>
      <c r="N70" s="36">
        <f t="shared" si="34"/>
        <v>5.6369747808939731E-3</v>
      </c>
      <c r="O70" s="36">
        <f t="shared" si="34"/>
        <v>6.5599201957984611E-3</v>
      </c>
      <c r="P70" s="36">
        <f t="shared" si="34"/>
        <v>7.3931261382744222E-3</v>
      </c>
      <c r="Q70" s="36">
        <f t="shared" si="34"/>
        <v>8.0294386993844408E-3</v>
      </c>
      <c r="R70" s="36">
        <f t="shared" si="34"/>
        <v>8.5360663337811452E-3</v>
      </c>
      <c r="S70" s="36">
        <f t="shared" si="34"/>
        <v>8.860613455137667E-3</v>
      </c>
      <c r="T70" s="36">
        <f t="shared" si="34"/>
        <v>8.9213722361517565E-3</v>
      </c>
      <c r="U70" s="36">
        <f t="shared" si="34"/>
        <v>8.9351353901023986E-3</v>
      </c>
      <c r="V70" s="36">
        <f t="shared" si="35"/>
        <v>8.817674885625312E-3</v>
      </c>
      <c r="W70" s="36">
        <f t="shared" si="35"/>
        <v>8.8289843285567111E-3</v>
      </c>
      <c r="X70" s="36">
        <f t="shared" si="35"/>
        <v>8.8403135084724697E-3</v>
      </c>
      <c r="Y70" s="36">
        <f t="shared" si="38"/>
        <v>0.1033394172186673</v>
      </c>
      <c r="AA70" s="41">
        <f t="shared" si="40"/>
        <v>0.1033394172186673</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A71" s="64">
        <f t="shared" si="32"/>
        <v>32.182599808073434</v>
      </c>
      <c r="B71" s="64">
        <f t="shared" si="33"/>
        <v>236.63736937731289</v>
      </c>
      <c r="C71" s="9" t="str">
        <f t="shared" si="36"/>
        <v>Manufactured</v>
      </c>
      <c r="D71" s="9" t="str">
        <f t="shared" si="42"/>
        <v>Load sensing advanced power strip</v>
      </c>
      <c r="E71" s="36">
        <f t="shared" si="37"/>
        <v>2.5486455275846462E-5</v>
      </c>
      <c r="F71" s="36">
        <f t="shared" si="34"/>
        <v>6.8125140201153519E-5</v>
      </c>
      <c r="G71" s="36">
        <f t="shared" si="34"/>
        <v>1.6039977882214228E-4</v>
      </c>
      <c r="H71" s="36">
        <f t="shared" si="34"/>
        <v>3.3155629031756133E-4</v>
      </c>
      <c r="I71" s="36">
        <f t="shared" si="34"/>
        <v>6.1692364024176001E-4</v>
      </c>
      <c r="J71" s="36">
        <f t="shared" si="34"/>
        <v>9.74908937099635E-4</v>
      </c>
      <c r="K71" s="36">
        <f t="shared" si="34"/>
        <v>1.4475100810239249E-3</v>
      </c>
      <c r="L71" s="36">
        <f t="shared" si="34"/>
        <v>2.0064244897427187E-3</v>
      </c>
      <c r="M71" s="36">
        <f t="shared" si="34"/>
        <v>2.6136711688577118E-3</v>
      </c>
      <c r="N71" s="36">
        <f t="shared" si="34"/>
        <v>3.2113923009553895E-3</v>
      </c>
      <c r="O71" s="36">
        <f t="shared" si="34"/>
        <v>3.7466717397750633E-3</v>
      </c>
      <c r="P71" s="36">
        <f t="shared" si="34"/>
        <v>4.2251288042261378E-3</v>
      </c>
      <c r="Q71" s="36">
        <f t="shared" si="34"/>
        <v>4.6278839654357133E-3</v>
      </c>
      <c r="R71" s="36">
        <f t="shared" si="34"/>
        <v>4.940851169731194E-3</v>
      </c>
      <c r="S71" s="36">
        <f t="shared" si="34"/>
        <v>5.1685346085869107E-3</v>
      </c>
      <c r="T71" s="36">
        <f t="shared" si="34"/>
        <v>5.3138250694583942E-3</v>
      </c>
      <c r="U71" s="36">
        <f t="shared" si="34"/>
        <v>5.4041639137129959E-3</v>
      </c>
      <c r="V71" s="36">
        <f t="shared" si="35"/>
        <v>5.4594506850700339E-3</v>
      </c>
      <c r="W71" s="36">
        <f t="shared" si="35"/>
        <v>5.4890633891215186E-3</v>
      </c>
      <c r="X71" s="36">
        <f t="shared" si="35"/>
        <v>5.5219116764529735E-3</v>
      </c>
      <c r="Y71" s="36">
        <f t="shared" si="38"/>
        <v>6.1353883304108785E-2</v>
      </c>
      <c r="AA71" s="41">
        <f t="shared" si="40"/>
        <v>6.1353883304108785E-2</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AA72" s="41"/>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74">
        <f>SUMPRODUCT(B68:B71,AA68:AA71)/SUM(AA68:AA71)</f>
        <v>236.63736937731292</v>
      </c>
      <c r="E73" s="36">
        <f>SUM(E60:E71)</f>
        <v>1.5142974398867781E-2</v>
      </c>
      <c r="F73" s="36">
        <f t="shared" ref="F73:Y73" si="43">SUM(F60:F71)</f>
        <v>3.9648470249564215E-2</v>
      </c>
      <c r="G73" s="36">
        <f t="shared" si="43"/>
        <v>8.7735042094047477E-2</v>
      </c>
      <c r="H73" s="36">
        <f t="shared" si="43"/>
        <v>0.1715239499056084</v>
      </c>
      <c r="I73" s="36">
        <f t="shared" si="43"/>
        <v>0.33302114898930613</v>
      </c>
      <c r="J73" s="36">
        <f t="shared" si="43"/>
        <v>0.51296859200403677</v>
      </c>
      <c r="K73" s="36">
        <f t="shared" si="43"/>
        <v>0.743685107714259</v>
      </c>
      <c r="L73" s="36">
        <f t="shared" si="43"/>
        <v>1.0287977969206934</v>
      </c>
      <c r="M73" s="36">
        <f t="shared" si="43"/>
        <v>1.3322858889010429</v>
      </c>
      <c r="N73" s="36">
        <f t="shared" si="43"/>
        <v>1.6735544215854006</v>
      </c>
      <c r="O73" s="36">
        <f t="shared" si="43"/>
        <v>1.982006179008599</v>
      </c>
      <c r="P73" s="36">
        <f t="shared" si="43"/>
        <v>2.2225440455800753</v>
      </c>
      <c r="Q73" s="36">
        <f t="shared" si="43"/>
        <v>2.3881069511657373</v>
      </c>
      <c r="R73" s="36">
        <f t="shared" si="43"/>
        <v>2.5537592972639724</v>
      </c>
      <c r="S73" s="36">
        <f t="shared" si="43"/>
        <v>2.6997069210588829</v>
      </c>
      <c r="T73" s="36">
        <f t="shared" si="43"/>
        <v>2.7676731198832298</v>
      </c>
      <c r="U73" s="36">
        <f t="shared" si="43"/>
        <v>2.7436158948124882</v>
      </c>
      <c r="V73" s="36">
        <f t="shared" si="43"/>
        <v>2.7707984198146582</v>
      </c>
      <c r="W73" s="36">
        <f t="shared" si="43"/>
        <v>2.7930876890586465</v>
      </c>
      <c r="X73" s="36">
        <f t="shared" si="43"/>
        <v>2.8244998554840679</v>
      </c>
      <c r="Y73" s="36">
        <f t="shared" si="43"/>
        <v>31.684161765893187</v>
      </c>
      <c r="AA73" s="41">
        <f>SUM(E73:X73)</f>
        <v>31.684161765893183</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E74" s="36">
        <f>E73</f>
        <v>1.5142974398867781E-2</v>
      </c>
      <c r="F74" s="36">
        <f>F73+E74</f>
        <v>5.4791444648431997E-2</v>
      </c>
      <c r="G74" s="36">
        <f t="shared" ref="G74:X74" si="44">G73+F74</f>
        <v>0.14252648674247947</v>
      </c>
      <c r="H74" s="36">
        <f t="shared" si="44"/>
        <v>0.31405043664808785</v>
      </c>
      <c r="I74" s="36">
        <f t="shared" si="44"/>
        <v>0.64707158563739398</v>
      </c>
      <c r="J74" s="36">
        <f t="shared" si="44"/>
        <v>1.1600401776414309</v>
      </c>
      <c r="K74" s="36">
        <f t="shared" si="44"/>
        <v>1.9037252853556899</v>
      </c>
      <c r="L74" s="36">
        <f t="shared" si="44"/>
        <v>2.9325230822763833</v>
      </c>
      <c r="M74" s="36">
        <f t="shared" si="44"/>
        <v>4.264808971177426</v>
      </c>
      <c r="N74" s="36">
        <f t="shared" si="44"/>
        <v>5.9383633927628265</v>
      </c>
      <c r="O74" s="36">
        <f t="shared" si="44"/>
        <v>7.9203695717714258</v>
      </c>
      <c r="P74" s="36">
        <f t="shared" si="44"/>
        <v>10.142913617351502</v>
      </c>
      <c r="Q74" s="36">
        <f t="shared" si="44"/>
        <v>12.531020568517238</v>
      </c>
      <c r="R74" s="36">
        <f t="shared" si="44"/>
        <v>15.084779865781211</v>
      </c>
      <c r="S74" s="36">
        <f t="shared" si="44"/>
        <v>17.784486786840095</v>
      </c>
      <c r="T74" s="36">
        <f t="shared" si="44"/>
        <v>20.552159906723325</v>
      </c>
      <c r="U74" s="36">
        <f t="shared" si="44"/>
        <v>23.295775801535815</v>
      </c>
      <c r="V74" s="36">
        <f t="shared" si="44"/>
        <v>26.066574221350471</v>
      </c>
      <c r="W74" s="36">
        <f t="shared" si="44"/>
        <v>28.859661910409116</v>
      </c>
      <c r="X74" s="36">
        <f t="shared" si="44"/>
        <v>31.684161765893183</v>
      </c>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ht="15">
      <c r="A76" s="62" t="s">
        <v>69</v>
      </c>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ht="15">
      <c r="E77" s="65">
        <f t="shared" ref="E77:X77" si="45">E11</f>
        <v>2016</v>
      </c>
      <c r="F77" s="66">
        <f t="shared" si="45"/>
        <v>2017</v>
      </c>
      <c r="G77" s="66">
        <f t="shared" si="45"/>
        <v>2018</v>
      </c>
      <c r="H77" s="66">
        <f t="shared" si="45"/>
        <v>2019</v>
      </c>
      <c r="I77" s="66">
        <f t="shared" si="45"/>
        <v>2020</v>
      </c>
      <c r="J77" s="66">
        <f t="shared" si="45"/>
        <v>2021</v>
      </c>
      <c r="K77" s="66">
        <f t="shared" si="45"/>
        <v>2022</v>
      </c>
      <c r="L77" s="66">
        <f t="shared" si="45"/>
        <v>2023</v>
      </c>
      <c r="M77" s="66">
        <f t="shared" si="45"/>
        <v>2024</v>
      </c>
      <c r="N77" s="66">
        <f t="shared" si="45"/>
        <v>2025</v>
      </c>
      <c r="O77" s="66">
        <f t="shared" si="45"/>
        <v>2026</v>
      </c>
      <c r="P77" s="66">
        <f t="shared" si="45"/>
        <v>2027</v>
      </c>
      <c r="Q77" s="66">
        <f t="shared" si="45"/>
        <v>2028</v>
      </c>
      <c r="R77" s="66">
        <f t="shared" si="45"/>
        <v>2029</v>
      </c>
      <c r="S77" s="66">
        <f t="shared" si="45"/>
        <v>2030</v>
      </c>
      <c r="T77" s="66">
        <f t="shared" si="45"/>
        <v>2031</v>
      </c>
      <c r="U77" s="66">
        <f t="shared" si="45"/>
        <v>2032</v>
      </c>
      <c r="V77" s="66">
        <f t="shared" si="45"/>
        <v>2033</v>
      </c>
      <c r="W77" s="66">
        <f t="shared" si="45"/>
        <v>2034</v>
      </c>
      <c r="X77" s="66">
        <f t="shared" si="45"/>
        <v>2035</v>
      </c>
      <c r="Y77" s="67" t="s">
        <v>61</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ht="15">
      <c r="C78" s="56" t="s">
        <v>66</v>
      </c>
      <c r="D78" s="56" t="s">
        <v>66</v>
      </c>
      <c r="E78" s="68" t="str">
        <f>CONCATENATE("aMW_",E$11)</f>
        <v>aMW_2016</v>
      </c>
      <c r="F78" s="69" t="str">
        <f t="shared" ref="F78:X78" si="46">CONCATENATE("aMW_",F$11)</f>
        <v>aMW_2017</v>
      </c>
      <c r="G78" s="69" t="str">
        <f t="shared" si="46"/>
        <v>aMW_2018</v>
      </c>
      <c r="H78" s="69" t="str">
        <f t="shared" si="46"/>
        <v>aMW_2019</v>
      </c>
      <c r="I78" s="69" t="str">
        <f t="shared" si="46"/>
        <v>aMW_2020</v>
      </c>
      <c r="J78" s="69" t="str">
        <f t="shared" si="46"/>
        <v>aMW_2021</v>
      </c>
      <c r="K78" s="69" t="str">
        <f t="shared" si="46"/>
        <v>aMW_2022</v>
      </c>
      <c r="L78" s="69" t="str">
        <f t="shared" si="46"/>
        <v>aMW_2023</v>
      </c>
      <c r="M78" s="69" t="str">
        <f t="shared" si="46"/>
        <v>aMW_2024</v>
      </c>
      <c r="N78" s="69" t="str">
        <f t="shared" si="46"/>
        <v>aMW_2025</v>
      </c>
      <c r="O78" s="69" t="str">
        <f t="shared" si="46"/>
        <v>aMW_2026</v>
      </c>
      <c r="P78" s="69" t="str">
        <f t="shared" si="46"/>
        <v>aMW_2027</v>
      </c>
      <c r="Q78" s="69" t="str">
        <f t="shared" si="46"/>
        <v>aMW_2028</v>
      </c>
      <c r="R78" s="69" t="str">
        <f t="shared" si="46"/>
        <v>aMW_2029</v>
      </c>
      <c r="S78" s="69" t="str">
        <f t="shared" si="46"/>
        <v>aMW_2030</v>
      </c>
      <c r="T78" s="69" t="str">
        <f t="shared" si="46"/>
        <v>aMW_2031</v>
      </c>
      <c r="U78" s="69" t="str">
        <f t="shared" si="46"/>
        <v>aMW_2032</v>
      </c>
      <c r="V78" s="69" t="str">
        <f t="shared" si="46"/>
        <v>aMW_2033</v>
      </c>
      <c r="W78" s="69" t="str">
        <f t="shared" si="46"/>
        <v>aMW_2034</v>
      </c>
      <c r="X78" s="69" t="str">
        <f t="shared" si="46"/>
        <v>aMW_2035</v>
      </c>
      <c r="Y78" s="70" t="s">
        <v>61</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B79" s="9" t="s">
        <v>70</v>
      </c>
      <c r="C79" s="57" t="s">
        <v>71</v>
      </c>
      <c r="D79" s="57" t="s">
        <v>72</v>
      </c>
      <c r="E79" s="36">
        <f>DSUM($B$59:$X$71,E$59,$C$78:$D79)</f>
        <v>5.4035935634138752E-4</v>
      </c>
      <c r="F79" s="36">
        <f>DSUM($B$59:$X$71,F$59,$C$78:$D79)</f>
        <v>1.3238186906390169E-3</v>
      </c>
      <c r="G79" s="36">
        <f>DSUM($B$59:$X$71,G$59,$C$78:$D79)</f>
        <v>2.7833413913727388E-3</v>
      </c>
      <c r="H79" s="36">
        <f>DSUM($B$59:$X$71,H$59,$C$78:$D79)</f>
        <v>5.2361684500893905E-3</v>
      </c>
      <c r="I79" s="36">
        <f>DSUM($B$59:$X$71,I$59,$C$78:$D79)</f>
        <v>8.8499400407591744E-3</v>
      </c>
      <c r="J79" s="36">
        <f>DSUM($B$59:$X$71,J$59,$C$78:$D79)</f>
        <v>1.3453141034417684E-2</v>
      </c>
      <c r="K79" s="36">
        <f>DSUM($B$59:$X$71,K$59,$C$78:$D79)</f>
        <v>1.9245377190476823E-2</v>
      </c>
      <c r="L79" s="36">
        <f>DSUM($B$59:$X$71,L$59,$C$78:$D79)</f>
        <v>2.625960748792321E-2</v>
      </c>
      <c r="M79" s="36">
        <f>DSUM($B$59:$X$71,M$59,$C$78:$D79)</f>
        <v>3.3531587991361259E-2</v>
      </c>
      <c r="N79" s="36">
        <f>DSUM($B$59:$X$71,N$59,$C$78:$D79)</f>
        <v>4.1567477003453958E-2</v>
      </c>
      <c r="O79" s="36">
        <f>DSUM($B$59:$X$71,O$59,$C$78:$D79)</f>
        <v>4.8606204465624143E-2</v>
      </c>
      <c r="P79" s="36">
        <f>DSUM($B$59:$X$71,P$59,$C$78:$D79)</f>
        <v>5.3784485558821829E-2</v>
      </c>
      <c r="Q79" s="36">
        <f>DSUM($B$59:$X$71,Q$59,$C$78:$D79)</f>
        <v>5.7005844155526501E-2</v>
      </c>
      <c r="R79" s="36">
        <f>DSUM($B$59:$X$71,R$59,$C$78:$D79)</f>
        <v>6.0201278386000159E-2</v>
      </c>
      <c r="S79" s="36">
        <f>DSUM($B$59:$X$71,S$59,$C$78:$D79)</f>
        <v>6.2868596423847331E-2</v>
      </c>
      <c r="T79" s="36">
        <f>DSUM($B$59:$X$71,T$59,$C$78:$D79)</f>
        <v>6.3608470602741329E-2</v>
      </c>
      <c r="U79" s="36">
        <f>DSUM($B$59:$X$71,U$59,$C$78:$D79)</f>
        <v>6.2159191744412097E-2</v>
      </c>
      <c r="V79" s="36">
        <f>DSUM($B$59:$X$71,V$59,$C$78:$D79)</f>
        <v>6.1933827442759243E-2</v>
      </c>
      <c r="W79" s="36">
        <f>DSUM($B$59:$X$71,W$59,$C$78:$D79)</f>
        <v>6.1599078632747814E-2</v>
      </c>
      <c r="X79" s="36">
        <f>DSUM($B$59:$X$71,X$59,$C$78:$D79)</f>
        <v>6.2183360009111434E-2</v>
      </c>
      <c r="Y79" s="36">
        <f>SUM(E79:X79)</f>
        <v>0.7467411560584265</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B80" s="9" t="s">
        <v>1123</v>
      </c>
      <c r="C80" s="57" t="s">
        <v>74</v>
      </c>
      <c r="D80" s="57" t="s">
        <v>75</v>
      </c>
      <c r="E80" s="36">
        <f>DSUM($B$59:$X$71,E$59,$C$78:$D80)</f>
        <v>5.4035935634138752E-4</v>
      </c>
      <c r="F80" s="36">
        <f>DSUM($B$59:$X$71,F$59,$C$78:$D80)</f>
        <v>1.3238186906390169E-3</v>
      </c>
      <c r="G80" s="36">
        <f>DSUM($B$59:$X$71,G$59,$C$78:$D80)</f>
        <v>2.7833413913727388E-3</v>
      </c>
      <c r="H80" s="36">
        <f>DSUM($B$59:$X$71,H$59,$C$78:$D80)</f>
        <v>5.2361684500893905E-3</v>
      </c>
      <c r="I80" s="36">
        <f>DSUM($B$59:$X$71,I$59,$C$78:$D80)</f>
        <v>8.8499400407591744E-3</v>
      </c>
      <c r="J80" s="36">
        <f>DSUM($B$59:$X$71,J$59,$C$78:$D80)</f>
        <v>1.3453141034417684E-2</v>
      </c>
      <c r="K80" s="36">
        <f>DSUM($B$59:$X$71,K$59,$C$78:$D80)</f>
        <v>1.9245377190476823E-2</v>
      </c>
      <c r="L80" s="36">
        <f>DSUM($B$59:$X$71,L$59,$C$78:$D80)</f>
        <v>2.625960748792321E-2</v>
      </c>
      <c r="M80" s="36">
        <f>DSUM($B$59:$X$71,M$59,$C$78:$D80)</f>
        <v>3.3531587991361259E-2</v>
      </c>
      <c r="N80" s="36">
        <f>DSUM($B$59:$X$71,N$59,$C$78:$D80)</f>
        <v>4.1567477003453958E-2</v>
      </c>
      <c r="O80" s="36">
        <f>DSUM($B$59:$X$71,O$59,$C$78:$D80)</f>
        <v>4.8606204465624143E-2</v>
      </c>
      <c r="P80" s="36">
        <f>DSUM($B$59:$X$71,P$59,$C$78:$D80)</f>
        <v>5.3784485558821829E-2</v>
      </c>
      <c r="Q80" s="36">
        <f>DSUM($B$59:$X$71,Q$59,$C$78:$D80)</f>
        <v>5.7005844155526501E-2</v>
      </c>
      <c r="R80" s="36">
        <f>DSUM($B$59:$X$71,R$59,$C$78:$D80)</f>
        <v>6.0201278386000159E-2</v>
      </c>
      <c r="S80" s="36">
        <f>DSUM($B$59:$X$71,S$59,$C$78:$D80)</f>
        <v>6.2868596423847331E-2</v>
      </c>
      <c r="T80" s="36">
        <f>DSUM($B$59:$X$71,T$59,$C$78:$D80)</f>
        <v>6.3608470602741329E-2</v>
      </c>
      <c r="U80" s="36">
        <f>DSUM($B$59:$X$71,U$59,$C$78:$D80)</f>
        <v>6.2159191744412097E-2</v>
      </c>
      <c r="V80" s="36">
        <f>DSUM($B$59:$X$71,V$59,$C$78:$D80)</f>
        <v>6.1933827442759243E-2</v>
      </c>
      <c r="W80" s="36">
        <f>DSUM($B$59:$X$71,W$59,$C$78:$D80)</f>
        <v>6.1599078632747814E-2</v>
      </c>
      <c r="X80" s="36">
        <f>DSUM($B$59:$X$71,X$59,$C$78:$D80)</f>
        <v>6.2183360009111434E-2</v>
      </c>
      <c r="Y80" s="36">
        <f t="shared" ref="Y80:Y110" si="47">SUM(E80:X80)</f>
        <v>0.7467411560584265</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9" t="s">
        <v>76</v>
      </c>
      <c r="C81" s="57" t="s">
        <v>77</v>
      </c>
      <c r="D81" s="57" t="s">
        <v>78</v>
      </c>
      <c r="E81" s="36">
        <f>DSUM($B$59:$X$71,E$59,$C$78:$D81)</f>
        <v>5.4035935634138752E-4</v>
      </c>
      <c r="F81" s="36">
        <f>DSUM($B$59:$X$71,F$59,$C$78:$D81)</f>
        <v>1.3238186906390169E-3</v>
      </c>
      <c r="G81" s="36">
        <f>DSUM($B$59:$X$71,G$59,$C$78:$D81)</f>
        <v>2.7833413913727388E-3</v>
      </c>
      <c r="H81" s="36">
        <f>DSUM($B$59:$X$71,H$59,$C$78:$D81)</f>
        <v>5.2361684500893905E-3</v>
      </c>
      <c r="I81" s="36">
        <f>DSUM($B$59:$X$71,I$59,$C$78:$D81)</f>
        <v>8.8499400407591744E-3</v>
      </c>
      <c r="J81" s="36">
        <f>DSUM($B$59:$X$71,J$59,$C$78:$D81)</f>
        <v>1.3453141034417684E-2</v>
      </c>
      <c r="K81" s="36">
        <f>DSUM($B$59:$X$71,K$59,$C$78:$D81)</f>
        <v>1.9245377190476823E-2</v>
      </c>
      <c r="L81" s="36">
        <f>DSUM($B$59:$X$71,L$59,$C$78:$D81)</f>
        <v>2.625960748792321E-2</v>
      </c>
      <c r="M81" s="36">
        <f>DSUM($B$59:$X$71,M$59,$C$78:$D81)</f>
        <v>3.3531587991361259E-2</v>
      </c>
      <c r="N81" s="36">
        <f>DSUM($B$59:$X$71,N$59,$C$78:$D81)</f>
        <v>4.1567477003453958E-2</v>
      </c>
      <c r="O81" s="36">
        <f>DSUM($B$59:$X$71,O$59,$C$78:$D81)</f>
        <v>4.8606204465624143E-2</v>
      </c>
      <c r="P81" s="36">
        <f>DSUM($B$59:$X$71,P$59,$C$78:$D81)</f>
        <v>5.3784485558821829E-2</v>
      </c>
      <c r="Q81" s="36">
        <f>DSUM($B$59:$X$71,Q$59,$C$78:$D81)</f>
        <v>5.7005844155526501E-2</v>
      </c>
      <c r="R81" s="36">
        <f>DSUM($B$59:$X$71,R$59,$C$78:$D81)</f>
        <v>6.0201278386000159E-2</v>
      </c>
      <c r="S81" s="36">
        <f>DSUM($B$59:$X$71,S$59,$C$78:$D81)</f>
        <v>6.2868596423847331E-2</v>
      </c>
      <c r="T81" s="36">
        <f>DSUM($B$59:$X$71,T$59,$C$78:$D81)</f>
        <v>6.3608470602741329E-2</v>
      </c>
      <c r="U81" s="36">
        <f>DSUM($B$59:$X$71,U$59,$C$78:$D81)</f>
        <v>6.2159191744412097E-2</v>
      </c>
      <c r="V81" s="36">
        <f>DSUM($B$59:$X$71,V$59,$C$78:$D81)</f>
        <v>6.1933827442759243E-2</v>
      </c>
      <c r="W81" s="36">
        <f>DSUM($B$59:$X$71,W$59,$C$78:$D81)</f>
        <v>6.1599078632747814E-2</v>
      </c>
      <c r="X81" s="36">
        <f>DSUM($B$59:$X$71,X$59,$C$78:$D81)</f>
        <v>6.2183360009111434E-2</v>
      </c>
      <c r="Y81" s="36">
        <f t="shared" si="47"/>
        <v>0.7467411560584265</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9" t="s">
        <v>79</v>
      </c>
      <c r="C82" s="57" t="s">
        <v>80</v>
      </c>
      <c r="D82" s="57" t="s">
        <v>81</v>
      </c>
      <c r="E82" s="36">
        <f>DSUM($B$59:$X$71,E$59,$C$78:$D82)</f>
        <v>5.4035935634138752E-4</v>
      </c>
      <c r="F82" s="36">
        <f>DSUM($B$59:$X$71,F$59,$C$78:$D82)</f>
        <v>1.3238186906390169E-3</v>
      </c>
      <c r="G82" s="36">
        <f>DSUM($B$59:$X$71,G$59,$C$78:$D82)</f>
        <v>2.7833413913727388E-3</v>
      </c>
      <c r="H82" s="36">
        <f>DSUM($B$59:$X$71,H$59,$C$78:$D82)</f>
        <v>5.2361684500893905E-3</v>
      </c>
      <c r="I82" s="36">
        <f>DSUM($B$59:$X$71,I$59,$C$78:$D82)</f>
        <v>8.8499400407591744E-3</v>
      </c>
      <c r="J82" s="36">
        <f>DSUM($B$59:$X$71,J$59,$C$78:$D82)</f>
        <v>1.3453141034417684E-2</v>
      </c>
      <c r="K82" s="36">
        <f>DSUM($B$59:$X$71,K$59,$C$78:$D82)</f>
        <v>1.9245377190476823E-2</v>
      </c>
      <c r="L82" s="36">
        <f>DSUM($B$59:$X$71,L$59,$C$78:$D82)</f>
        <v>2.625960748792321E-2</v>
      </c>
      <c r="M82" s="36">
        <f>DSUM($B$59:$X$71,M$59,$C$78:$D82)</f>
        <v>3.3531587991361259E-2</v>
      </c>
      <c r="N82" s="36">
        <f>DSUM($B$59:$X$71,N$59,$C$78:$D82)</f>
        <v>4.1567477003453958E-2</v>
      </c>
      <c r="O82" s="36">
        <f>DSUM($B$59:$X$71,O$59,$C$78:$D82)</f>
        <v>4.8606204465624143E-2</v>
      </c>
      <c r="P82" s="36">
        <f>DSUM($B$59:$X$71,P$59,$C$78:$D82)</f>
        <v>5.3784485558821829E-2</v>
      </c>
      <c r="Q82" s="36">
        <f>DSUM($B$59:$X$71,Q$59,$C$78:$D82)</f>
        <v>5.7005844155526501E-2</v>
      </c>
      <c r="R82" s="36">
        <f>DSUM($B$59:$X$71,R$59,$C$78:$D82)</f>
        <v>6.0201278386000159E-2</v>
      </c>
      <c r="S82" s="36">
        <f>DSUM($B$59:$X$71,S$59,$C$78:$D82)</f>
        <v>6.2868596423847331E-2</v>
      </c>
      <c r="T82" s="36">
        <f>DSUM($B$59:$X$71,T$59,$C$78:$D82)</f>
        <v>6.3608470602741329E-2</v>
      </c>
      <c r="U82" s="36">
        <f>DSUM($B$59:$X$71,U$59,$C$78:$D82)</f>
        <v>6.2159191744412097E-2</v>
      </c>
      <c r="V82" s="36">
        <f>DSUM($B$59:$X$71,V$59,$C$78:$D82)</f>
        <v>6.1933827442759243E-2</v>
      </c>
      <c r="W82" s="36">
        <f>DSUM($B$59:$X$71,W$59,$C$78:$D82)</f>
        <v>6.1599078632747814E-2</v>
      </c>
      <c r="X82" s="36">
        <f>DSUM($B$59:$X$71,X$59,$C$78:$D82)</f>
        <v>6.2183360009111434E-2</v>
      </c>
      <c r="Y82" s="36">
        <f t="shared" si="47"/>
        <v>0.7467411560584265</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9" t="s">
        <v>82</v>
      </c>
      <c r="C83" s="57" t="s">
        <v>83</v>
      </c>
      <c r="D83" s="57" t="s">
        <v>84</v>
      </c>
      <c r="E83" s="36">
        <f>DSUM($B$59:$X$71,E$59,$C$78:$D83)</f>
        <v>5.4035935634138752E-4</v>
      </c>
      <c r="F83" s="36">
        <f>DSUM($B$59:$X$71,F$59,$C$78:$D83)</f>
        <v>1.3238186906390169E-3</v>
      </c>
      <c r="G83" s="36">
        <f>DSUM($B$59:$X$71,G$59,$C$78:$D83)</f>
        <v>2.7833413913727388E-3</v>
      </c>
      <c r="H83" s="36">
        <f>DSUM($B$59:$X$71,H$59,$C$78:$D83)</f>
        <v>5.2361684500893905E-3</v>
      </c>
      <c r="I83" s="36">
        <f>DSUM($B$59:$X$71,I$59,$C$78:$D83)</f>
        <v>8.8499400407591744E-3</v>
      </c>
      <c r="J83" s="36">
        <f>DSUM($B$59:$X$71,J$59,$C$78:$D83)</f>
        <v>1.3453141034417684E-2</v>
      </c>
      <c r="K83" s="36">
        <f>DSUM($B$59:$X$71,K$59,$C$78:$D83)</f>
        <v>1.9245377190476823E-2</v>
      </c>
      <c r="L83" s="36">
        <f>DSUM($B$59:$X$71,L$59,$C$78:$D83)</f>
        <v>2.625960748792321E-2</v>
      </c>
      <c r="M83" s="36">
        <f>DSUM($B$59:$X$71,M$59,$C$78:$D83)</f>
        <v>3.3531587991361259E-2</v>
      </c>
      <c r="N83" s="36">
        <f>DSUM($B$59:$X$71,N$59,$C$78:$D83)</f>
        <v>4.1567477003453958E-2</v>
      </c>
      <c r="O83" s="36">
        <f>DSUM($B$59:$X$71,O$59,$C$78:$D83)</f>
        <v>4.8606204465624143E-2</v>
      </c>
      <c r="P83" s="36">
        <f>DSUM($B$59:$X$71,P$59,$C$78:$D83)</f>
        <v>5.3784485558821829E-2</v>
      </c>
      <c r="Q83" s="36">
        <f>DSUM($B$59:$X$71,Q$59,$C$78:$D83)</f>
        <v>5.7005844155526501E-2</v>
      </c>
      <c r="R83" s="36">
        <f>DSUM($B$59:$X$71,R$59,$C$78:$D83)</f>
        <v>6.0201278386000159E-2</v>
      </c>
      <c r="S83" s="36">
        <f>DSUM($B$59:$X$71,S$59,$C$78:$D83)</f>
        <v>6.2868596423847331E-2</v>
      </c>
      <c r="T83" s="36">
        <f>DSUM($B$59:$X$71,T$59,$C$78:$D83)</f>
        <v>6.3608470602741329E-2</v>
      </c>
      <c r="U83" s="36">
        <f>DSUM($B$59:$X$71,U$59,$C$78:$D83)</f>
        <v>6.2159191744412097E-2</v>
      </c>
      <c r="V83" s="36">
        <f>DSUM($B$59:$X$71,V$59,$C$78:$D83)</f>
        <v>6.1933827442759243E-2</v>
      </c>
      <c r="W83" s="36">
        <f>DSUM($B$59:$X$71,W$59,$C$78:$D83)</f>
        <v>6.1599078632747814E-2</v>
      </c>
      <c r="X83" s="36">
        <f>DSUM($B$59:$X$71,X$59,$C$78:$D83)</f>
        <v>6.2183360009111434E-2</v>
      </c>
      <c r="Y83" s="36">
        <f t="shared" si="47"/>
        <v>0.7467411560584265</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9" t="s">
        <v>85</v>
      </c>
      <c r="C84" s="57" t="s">
        <v>86</v>
      </c>
      <c r="D84" s="57" t="s">
        <v>87</v>
      </c>
      <c r="E84" s="36">
        <f>DSUM($B$59:$X$71,E$59,$C$78:$D84)</f>
        <v>1.3333333688713313E-2</v>
      </c>
      <c r="F84" s="36">
        <f>DSUM($B$59:$X$71,F$59,$C$78:$D84)</f>
        <v>3.5022676188867161E-2</v>
      </c>
      <c r="G84" s="36">
        <f>DSUM($B$59:$X$71,G$59,$C$78:$D84)</f>
        <v>7.7678702601774313E-2</v>
      </c>
      <c r="H84" s="36">
        <f>DSUM($B$59:$X$71,H$59,$C$78:$D84)</f>
        <v>0.15211926333751821</v>
      </c>
      <c r="I84" s="36">
        <f>DSUM($B$59:$X$71,I$59,$C$78:$D84)</f>
        <v>0.29698720311658766</v>
      </c>
      <c r="J84" s="36">
        <f>DSUM($B$59:$X$71,J$59,$C$78:$D84)</f>
        <v>0.4576841979901079</v>
      </c>
      <c r="K84" s="36">
        <f>DSUM($B$59:$X$71,K$59,$C$78:$D84)</f>
        <v>0.66385352741293424</v>
      </c>
      <c r="L84" s="36">
        <f>DSUM($B$59:$X$71,L$59,$C$78:$D84)</f>
        <v>0.91880729414135698</v>
      </c>
      <c r="M84" s="36">
        <f>DSUM($B$59:$X$71,M$59,$C$78:$D84)</f>
        <v>1.190429473665136</v>
      </c>
      <c r="N84" s="36">
        <f>DSUM($B$59:$X$71,N$59,$C$78:$D84)</f>
        <v>1.4960473485162342</v>
      </c>
      <c r="O84" s="36">
        <f>DSUM($B$59:$X$71,O$59,$C$78:$D84)</f>
        <v>1.7725611236959258</v>
      </c>
      <c r="P84" s="36">
        <f>DSUM($B$59:$X$71,P$59,$C$78:$D84)</f>
        <v>1.9885727861084379</v>
      </c>
      <c r="Q84" s="36">
        <f>DSUM($B$59:$X$71,Q$59,$C$78:$D84)</f>
        <v>2.1376726848197061</v>
      </c>
      <c r="R84" s="36">
        <f>DSUM($B$59:$X$71,R$59,$C$78:$D84)</f>
        <v>2.286905341804176</v>
      </c>
      <c r="S84" s="36">
        <f>DSUM($B$59:$X$71,S$59,$C$78:$D84)</f>
        <v>2.4185776191786097</v>
      </c>
      <c r="T84" s="36">
        <f>DSUM($B$59:$X$71,T$59,$C$78:$D84)</f>
        <v>2.4805244148722028</v>
      </c>
      <c r="U84" s="36">
        <f>DSUM($B$59:$X$71,U$59,$C$78:$D84)</f>
        <v>2.4600728440455053</v>
      </c>
      <c r="V84" s="36">
        <f>DSUM($B$59:$X$71,V$59,$C$78:$D84)</f>
        <v>2.4854999373392941</v>
      </c>
      <c r="W84" s="36">
        <f>DSUM($B$59:$X$71,W$59,$C$78:$D84)</f>
        <v>2.5065392408394565</v>
      </c>
      <c r="X84" s="36">
        <f>DSUM($B$59:$X$71,X$59,$C$78:$D84)</f>
        <v>2.5348678295002132</v>
      </c>
      <c r="Y84" s="36">
        <f t="shared" si="47"/>
        <v>28.373756842862758</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9" t="s">
        <v>88</v>
      </c>
      <c r="C85" s="57" t="s">
        <v>89</v>
      </c>
      <c r="D85" s="57" t="s">
        <v>90</v>
      </c>
      <c r="E85" s="36">
        <f>DSUM($B$59:$X$71,E$59,$C$78:$D85)</f>
        <v>1.3333333688713313E-2</v>
      </c>
      <c r="F85" s="36">
        <f>DSUM($B$59:$X$71,F$59,$C$78:$D85)</f>
        <v>3.5022676188867161E-2</v>
      </c>
      <c r="G85" s="36">
        <f>DSUM($B$59:$X$71,G$59,$C$78:$D85)</f>
        <v>7.7678702601774313E-2</v>
      </c>
      <c r="H85" s="36">
        <f>DSUM($B$59:$X$71,H$59,$C$78:$D85)</f>
        <v>0.15211926333751821</v>
      </c>
      <c r="I85" s="36">
        <f>DSUM($B$59:$X$71,I$59,$C$78:$D85)</f>
        <v>0.29698720311658766</v>
      </c>
      <c r="J85" s="36">
        <f>DSUM($B$59:$X$71,J$59,$C$78:$D85)</f>
        <v>0.4576841979901079</v>
      </c>
      <c r="K85" s="36">
        <f>DSUM($B$59:$X$71,K$59,$C$78:$D85)</f>
        <v>0.66385352741293424</v>
      </c>
      <c r="L85" s="36">
        <f>DSUM($B$59:$X$71,L$59,$C$78:$D85)</f>
        <v>0.91880729414135698</v>
      </c>
      <c r="M85" s="36">
        <f>DSUM($B$59:$X$71,M$59,$C$78:$D85)</f>
        <v>1.190429473665136</v>
      </c>
      <c r="N85" s="36">
        <f>DSUM($B$59:$X$71,N$59,$C$78:$D85)</f>
        <v>1.4960473485162342</v>
      </c>
      <c r="O85" s="36">
        <f>DSUM($B$59:$X$71,O$59,$C$78:$D85)</f>
        <v>1.7725611236959258</v>
      </c>
      <c r="P85" s="36">
        <f>DSUM($B$59:$X$71,P$59,$C$78:$D85)</f>
        <v>1.9885727861084379</v>
      </c>
      <c r="Q85" s="36">
        <f>DSUM($B$59:$X$71,Q$59,$C$78:$D85)</f>
        <v>2.1376726848197061</v>
      </c>
      <c r="R85" s="36">
        <f>DSUM($B$59:$X$71,R$59,$C$78:$D85)</f>
        <v>2.286905341804176</v>
      </c>
      <c r="S85" s="36">
        <f>DSUM($B$59:$X$71,S$59,$C$78:$D85)</f>
        <v>2.4185776191786097</v>
      </c>
      <c r="T85" s="36">
        <f>DSUM($B$59:$X$71,T$59,$C$78:$D85)</f>
        <v>2.4805244148722028</v>
      </c>
      <c r="U85" s="36">
        <f>DSUM($B$59:$X$71,U$59,$C$78:$D85)</f>
        <v>2.4600728440455053</v>
      </c>
      <c r="V85" s="36">
        <f>DSUM($B$59:$X$71,V$59,$C$78:$D85)</f>
        <v>2.4854999373392941</v>
      </c>
      <c r="W85" s="36">
        <f>DSUM($B$59:$X$71,W$59,$C$78:$D85)</f>
        <v>2.5065392408394565</v>
      </c>
      <c r="X85" s="36">
        <f>DSUM($B$59:$X$71,X$59,$C$78:$D85)</f>
        <v>2.5348678295002132</v>
      </c>
      <c r="Y85" s="36">
        <f t="shared" si="47"/>
        <v>28.373756842862758</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9" t="s">
        <v>91</v>
      </c>
      <c r="C86" s="57" t="s">
        <v>92</v>
      </c>
      <c r="D86" s="57" t="s">
        <v>93</v>
      </c>
      <c r="E86" s="36">
        <f>DSUM($B$59:$X$71,E$59,$C$78:$D86)</f>
        <v>1.3333333688713313E-2</v>
      </c>
      <c r="F86" s="36">
        <f>DSUM($B$59:$X$71,F$59,$C$78:$D86)</f>
        <v>3.5022676188867161E-2</v>
      </c>
      <c r="G86" s="36">
        <f>DSUM($B$59:$X$71,G$59,$C$78:$D86)</f>
        <v>7.7678702601774313E-2</v>
      </c>
      <c r="H86" s="36">
        <f>DSUM($B$59:$X$71,H$59,$C$78:$D86)</f>
        <v>0.15211926333751821</v>
      </c>
      <c r="I86" s="36">
        <f>DSUM($B$59:$X$71,I$59,$C$78:$D86)</f>
        <v>0.29698720311658766</v>
      </c>
      <c r="J86" s="36">
        <f>DSUM($B$59:$X$71,J$59,$C$78:$D86)</f>
        <v>0.4576841979901079</v>
      </c>
      <c r="K86" s="36">
        <f>DSUM($B$59:$X$71,K$59,$C$78:$D86)</f>
        <v>0.66385352741293424</v>
      </c>
      <c r="L86" s="36">
        <f>DSUM($B$59:$X$71,L$59,$C$78:$D86)</f>
        <v>0.91880729414135698</v>
      </c>
      <c r="M86" s="36">
        <f>DSUM($B$59:$X$71,M$59,$C$78:$D86)</f>
        <v>1.190429473665136</v>
      </c>
      <c r="N86" s="36">
        <f>DSUM($B$59:$X$71,N$59,$C$78:$D86)</f>
        <v>1.4960473485162342</v>
      </c>
      <c r="O86" s="36">
        <f>DSUM($B$59:$X$71,O$59,$C$78:$D86)</f>
        <v>1.7725611236959258</v>
      </c>
      <c r="P86" s="36">
        <f>DSUM($B$59:$X$71,P$59,$C$78:$D86)</f>
        <v>1.9885727861084379</v>
      </c>
      <c r="Q86" s="36">
        <f>DSUM($B$59:$X$71,Q$59,$C$78:$D86)</f>
        <v>2.1376726848197061</v>
      </c>
      <c r="R86" s="36">
        <f>DSUM($B$59:$X$71,R$59,$C$78:$D86)</f>
        <v>2.286905341804176</v>
      </c>
      <c r="S86" s="36">
        <f>DSUM($B$59:$X$71,S$59,$C$78:$D86)</f>
        <v>2.4185776191786097</v>
      </c>
      <c r="T86" s="36">
        <f>DSUM($B$59:$X$71,T$59,$C$78:$D86)</f>
        <v>2.4805244148722028</v>
      </c>
      <c r="U86" s="36">
        <f>DSUM($B$59:$X$71,U$59,$C$78:$D86)</f>
        <v>2.4600728440455053</v>
      </c>
      <c r="V86" s="36">
        <f>DSUM($B$59:$X$71,V$59,$C$78:$D86)</f>
        <v>2.4854999373392941</v>
      </c>
      <c r="W86" s="36">
        <f>DSUM($B$59:$X$71,W$59,$C$78:$D86)</f>
        <v>2.5065392408394565</v>
      </c>
      <c r="X86" s="36">
        <f>DSUM($B$59:$X$71,X$59,$C$78:$D86)</f>
        <v>2.5348678295002132</v>
      </c>
      <c r="Y86" s="36">
        <f t="shared" si="47"/>
        <v>28.373756842862758</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9" t="s">
        <v>94</v>
      </c>
      <c r="C87" s="57" t="s">
        <v>95</v>
      </c>
      <c r="D87" s="57" t="s">
        <v>96</v>
      </c>
      <c r="E87" s="36">
        <f>DSUM($B$59:$X$71,E$59,$C$78:$D87)</f>
        <v>1.3333333688713313E-2</v>
      </c>
      <c r="F87" s="36">
        <f>DSUM($B$59:$X$71,F$59,$C$78:$D87)</f>
        <v>3.5022676188867161E-2</v>
      </c>
      <c r="G87" s="36">
        <f>DSUM($B$59:$X$71,G$59,$C$78:$D87)</f>
        <v>7.7678702601774313E-2</v>
      </c>
      <c r="H87" s="36">
        <f>DSUM($B$59:$X$71,H$59,$C$78:$D87)</f>
        <v>0.15211926333751821</v>
      </c>
      <c r="I87" s="36">
        <f>DSUM($B$59:$X$71,I$59,$C$78:$D87)</f>
        <v>0.29698720311658766</v>
      </c>
      <c r="J87" s="36">
        <f>DSUM($B$59:$X$71,J$59,$C$78:$D87)</f>
        <v>0.4576841979901079</v>
      </c>
      <c r="K87" s="36">
        <f>DSUM($B$59:$X$71,K$59,$C$78:$D87)</f>
        <v>0.66385352741293424</v>
      </c>
      <c r="L87" s="36">
        <f>DSUM($B$59:$X$71,L$59,$C$78:$D87)</f>
        <v>0.91880729414135698</v>
      </c>
      <c r="M87" s="36">
        <f>DSUM($B$59:$X$71,M$59,$C$78:$D87)</f>
        <v>1.190429473665136</v>
      </c>
      <c r="N87" s="36">
        <f>DSUM($B$59:$X$71,N$59,$C$78:$D87)</f>
        <v>1.4960473485162342</v>
      </c>
      <c r="O87" s="36">
        <f>DSUM($B$59:$X$71,O$59,$C$78:$D87)</f>
        <v>1.7725611236959258</v>
      </c>
      <c r="P87" s="36">
        <f>DSUM($B$59:$X$71,P$59,$C$78:$D87)</f>
        <v>1.9885727861084379</v>
      </c>
      <c r="Q87" s="36">
        <f>DSUM($B$59:$X$71,Q$59,$C$78:$D87)</f>
        <v>2.1376726848197061</v>
      </c>
      <c r="R87" s="36">
        <f>DSUM($B$59:$X$71,R$59,$C$78:$D87)</f>
        <v>2.286905341804176</v>
      </c>
      <c r="S87" s="36">
        <f>DSUM($B$59:$X$71,S$59,$C$78:$D87)</f>
        <v>2.4185776191786097</v>
      </c>
      <c r="T87" s="36">
        <f>DSUM($B$59:$X$71,T$59,$C$78:$D87)</f>
        <v>2.4805244148722028</v>
      </c>
      <c r="U87" s="36">
        <f>DSUM($B$59:$X$71,U$59,$C$78:$D87)</f>
        <v>2.4600728440455053</v>
      </c>
      <c r="V87" s="36">
        <f>DSUM($B$59:$X$71,V$59,$C$78:$D87)</f>
        <v>2.4854999373392941</v>
      </c>
      <c r="W87" s="36">
        <f>DSUM($B$59:$X$71,W$59,$C$78:$D87)</f>
        <v>2.5065392408394565</v>
      </c>
      <c r="X87" s="36">
        <f>DSUM($B$59:$X$71,X$59,$C$78:$D87)</f>
        <v>2.5348678295002132</v>
      </c>
      <c r="Y87" s="36">
        <f t="shared" si="47"/>
        <v>28.373756842862758</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9" t="s">
        <v>97</v>
      </c>
      <c r="C88" s="57" t="s">
        <v>98</v>
      </c>
      <c r="D88" s="57" t="s">
        <v>99</v>
      </c>
      <c r="E88" s="36">
        <f>DSUM($B$59:$X$71,E$59,$C$78:$D88)</f>
        <v>1.3333333688713313E-2</v>
      </c>
      <c r="F88" s="36">
        <f>DSUM($B$59:$X$71,F$59,$C$78:$D88)</f>
        <v>3.5022676188867161E-2</v>
      </c>
      <c r="G88" s="36">
        <f>DSUM($B$59:$X$71,G$59,$C$78:$D88)</f>
        <v>7.7678702601774313E-2</v>
      </c>
      <c r="H88" s="36">
        <f>DSUM($B$59:$X$71,H$59,$C$78:$D88)</f>
        <v>0.15211926333751821</v>
      </c>
      <c r="I88" s="36">
        <f>DSUM($B$59:$X$71,I$59,$C$78:$D88)</f>
        <v>0.29698720311658766</v>
      </c>
      <c r="J88" s="36">
        <f>DSUM($B$59:$X$71,J$59,$C$78:$D88)</f>
        <v>0.4576841979901079</v>
      </c>
      <c r="K88" s="36">
        <f>DSUM($B$59:$X$71,K$59,$C$78:$D88)</f>
        <v>0.66385352741293424</v>
      </c>
      <c r="L88" s="36">
        <f>DSUM($B$59:$X$71,L$59,$C$78:$D88)</f>
        <v>0.91880729414135698</v>
      </c>
      <c r="M88" s="36">
        <f>DSUM($B$59:$X$71,M$59,$C$78:$D88)</f>
        <v>1.190429473665136</v>
      </c>
      <c r="N88" s="36">
        <f>DSUM($B$59:$X$71,N$59,$C$78:$D88)</f>
        <v>1.4960473485162342</v>
      </c>
      <c r="O88" s="36">
        <f>DSUM($B$59:$X$71,O$59,$C$78:$D88)</f>
        <v>1.7725611236959258</v>
      </c>
      <c r="P88" s="36">
        <f>DSUM($B$59:$X$71,P$59,$C$78:$D88)</f>
        <v>1.9885727861084379</v>
      </c>
      <c r="Q88" s="36">
        <f>DSUM($B$59:$X$71,Q$59,$C$78:$D88)</f>
        <v>2.1376726848197061</v>
      </c>
      <c r="R88" s="36">
        <f>DSUM($B$59:$X$71,R$59,$C$78:$D88)</f>
        <v>2.286905341804176</v>
      </c>
      <c r="S88" s="36">
        <f>DSUM($B$59:$X$71,S$59,$C$78:$D88)</f>
        <v>2.4185776191786097</v>
      </c>
      <c r="T88" s="36">
        <f>DSUM($B$59:$X$71,T$59,$C$78:$D88)</f>
        <v>2.4805244148722028</v>
      </c>
      <c r="U88" s="36">
        <f>DSUM($B$59:$X$71,U$59,$C$78:$D88)</f>
        <v>2.4600728440455053</v>
      </c>
      <c r="V88" s="36">
        <f>DSUM($B$59:$X$71,V$59,$C$78:$D88)</f>
        <v>2.4854999373392941</v>
      </c>
      <c r="W88" s="36">
        <f>DSUM($B$59:$X$71,W$59,$C$78:$D88)</f>
        <v>2.5065392408394565</v>
      </c>
      <c r="X88" s="36">
        <f>DSUM($B$59:$X$71,X$59,$C$78:$D88)</f>
        <v>2.5348678295002132</v>
      </c>
      <c r="Y88" s="36">
        <f t="shared" si="47"/>
        <v>28.373756842862758</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9" t="s">
        <v>100</v>
      </c>
      <c r="C89" s="57" t="s">
        <v>101</v>
      </c>
      <c r="D89" s="57" t="s">
        <v>102</v>
      </c>
      <c r="E89" s="36">
        <f>DSUM($B$59:$X$71,E$59,$C$78:$D89)</f>
        <v>1.3333333688713313E-2</v>
      </c>
      <c r="F89" s="36">
        <f>DSUM($B$59:$X$71,F$59,$C$78:$D89)</f>
        <v>3.5022676188867161E-2</v>
      </c>
      <c r="G89" s="36">
        <f>DSUM($B$59:$X$71,G$59,$C$78:$D89)</f>
        <v>7.7678702601774313E-2</v>
      </c>
      <c r="H89" s="36">
        <f>DSUM($B$59:$X$71,H$59,$C$78:$D89)</f>
        <v>0.15211926333751821</v>
      </c>
      <c r="I89" s="36">
        <f>DSUM($B$59:$X$71,I$59,$C$78:$D89)</f>
        <v>0.29698720311658766</v>
      </c>
      <c r="J89" s="36">
        <f>DSUM($B$59:$X$71,J$59,$C$78:$D89)</f>
        <v>0.4576841979901079</v>
      </c>
      <c r="K89" s="36">
        <f>DSUM($B$59:$X$71,K$59,$C$78:$D89)</f>
        <v>0.66385352741293424</v>
      </c>
      <c r="L89" s="36">
        <f>DSUM($B$59:$X$71,L$59,$C$78:$D89)</f>
        <v>0.91880729414135698</v>
      </c>
      <c r="M89" s="36">
        <f>DSUM($B$59:$X$71,M$59,$C$78:$D89)</f>
        <v>1.190429473665136</v>
      </c>
      <c r="N89" s="36">
        <f>DSUM($B$59:$X$71,N$59,$C$78:$D89)</f>
        <v>1.4960473485162342</v>
      </c>
      <c r="O89" s="36">
        <f>DSUM($B$59:$X$71,O$59,$C$78:$D89)</f>
        <v>1.7725611236959258</v>
      </c>
      <c r="P89" s="36">
        <f>DSUM($B$59:$X$71,P$59,$C$78:$D89)</f>
        <v>1.9885727861084379</v>
      </c>
      <c r="Q89" s="36">
        <f>DSUM($B$59:$X$71,Q$59,$C$78:$D89)</f>
        <v>2.1376726848197061</v>
      </c>
      <c r="R89" s="36">
        <f>DSUM($B$59:$X$71,R$59,$C$78:$D89)</f>
        <v>2.286905341804176</v>
      </c>
      <c r="S89" s="36">
        <f>DSUM($B$59:$X$71,S$59,$C$78:$D89)</f>
        <v>2.4185776191786097</v>
      </c>
      <c r="T89" s="36">
        <f>DSUM($B$59:$X$71,T$59,$C$78:$D89)</f>
        <v>2.4805244148722028</v>
      </c>
      <c r="U89" s="36">
        <f>DSUM($B$59:$X$71,U$59,$C$78:$D89)</f>
        <v>2.4600728440455053</v>
      </c>
      <c r="V89" s="36">
        <f>DSUM($B$59:$X$71,V$59,$C$78:$D89)</f>
        <v>2.4854999373392941</v>
      </c>
      <c r="W89" s="36">
        <f>DSUM($B$59:$X$71,W$59,$C$78:$D89)</f>
        <v>2.5065392408394565</v>
      </c>
      <c r="X89" s="36">
        <f>DSUM($B$59:$X$71,X$59,$C$78:$D89)</f>
        <v>2.5348678295002132</v>
      </c>
      <c r="Y89" s="36">
        <f t="shared" si="47"/>
        <v>28.373756842862758</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9" t="s">
        <v>103</v>
      </c>
      <c r="C90" s="57" t="s">
        <v>104</v>
      </c>
      <c r="D90" s="57" t="s">
        <v>105</v>
      </c>
      <c r="E90" s="36">
        <f>DSUM($B$59:$X$71,E$59,$C$78:$D90)</f>
        <v>1.3333333688713313E-2</v>
      </c>
      <c r="F90" s="36">
        <f>DSUM($B$59:$X$71,F$59,$C$78:$D90)</f>
        <v>3.5022676188867161E-2</v>
      </c>
      <c r="G90" s="36">
        <f>DSUM($B$59:$X$71,G$59,$C$78:$D90)</f>
        <v>7.7678702601774313E-2</v>
      </c>
      <c r="H90" s="36">
        <f>DSUM($B$59:$X$71,H$59,$C$78:$D90)</f>
        <v>0.15211926333751821</v>
      </c>
      <c r="I90" s="36">
        <f>DSUM($B$59:$X$71,I$59,$C$78:$D90)</f>
        <v>0.29698720311658766</v>
      </c>
      <c r="J90" s="36">
        <f>DSUM($B$59:$X$71,J$59,$C$78:$D90)</f>
        <v>0.4576841979901079</v>
      </c>
      <c r="K90" s="36">
        <f>DSUM($B$59:$X$71,K$59,$C$78:$D90)</f>
        <v>0.66385352741293424</v>
      </c>
      <c r="L90" s="36">
        <f>DSUM($B$59:$X$71,L$59,$C$78:$D90)</f>
        <v>0.91880729414135698</v>
      </c>
      <c r="M90" s="36">
        <f>DSUM($B$59:$X$71,M$59,$C$78:$D90)</f>
        <v>1.190429473665136</v>
      </c>
      <c r="N90" s="36">
        <f>DSUM($B$59:$X$71,N$59,$C$78:$D90)</f>
        <v>1.4960473485162342</v>
      </c>
      <c r="O90" s="36">
        <f>DSUM($B$59:$X$71,O$59,$C$78:$D90)</f>
        <v>1.7725611236959258</v>
      </c>
      <c r="P90" s="36">
        <f>DSUM($B$59:$X$71,P$59,$C$78:$D90)</f>
        <v>1.9885727861084379</v>
      </c>
      <c r="Q90" s="36">
        <f>DSUM($B$59:$X$71,Q$59,$C$78:$D90)</f>
        <v>2.1376726848197061</v>
      </c>
      <c r="R90" s="36">
        <f>DSUM($B$59:$X$71,R$59,$C$78:$D90)</f>
        <v>2.286905341804176</v>
      </c>
      <c r="S90" s="36">
        <f>DSUM($B$59:$X$71,S$59,$C$78:$D90)</f>
        <v>2.4185776191786097</v>
      </c>
      <c r="T90" s="36">
        <f>DSUM($B$59:$X$71,T$59,$C$78:$D90)</f>
        <v>2.4805244148722028</v>
      </c>
      <c r="U90" s="36">
        <f>DSUM($B$59:$X$71,U$59,$C$78:$D90)</f>
        <v>2.4600728440455053</v>
      </c>
      <c r="V90" s="36">
        <f>DSUM($B$59:$X$71,V$59,$C$78:$D90)</f>
        <v>2.4854999373392941</v>
      </c>
      <c r="W90" s="36">
        <f>DSUM($B$59:$X$71,W$59,$C$78:$D90)</f>
        <v>2.5065392408394565</v>
      </c>
      <c r="X90" s="36">
        <f>DSUM($B$59:$X$71,X$59,$C$78:$D90)</f>
        <v>2.5348678295002132</v>
      </c>
      <c r="Y90" s="36">
        <f t="shared" si="47"/>
        <v>28.373756842862758</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9" t="s">
        <v>106</v>
      </c>
      <c r="C91" s="57" t="s">
        <v>107</v>
      </c>
      <c r="D91" s="57" t="s">
        <v>108</v>
      </c>
      <c r="E91" s="36">
        <f>DSUM($B$59:$X$71,E$59,$C$78:$D91)</f>
        <v>1.3333333688713313E-2</v>
      </c>
      <c r="F91" s="36">
        <f>DSUM($B$59:$X$71,F$59,$C$78:$D91)</f>
        <v>3.5022676188867161E-2</v>
      </c>
      <c r="G91" s="36">
        <f>DSUM($B$59:$X$71,G$59,$C$78:$D91)</f>
        <v>7.7678702601774313E-2</v>
      </c>
      <c r="H91" s="36">
        <f>DSUM($B$59:$X$71,H$59,$C$78:$D91)</f>
        <v>0.15211926333751821</v>
      </c>
      <c r="I91" s="36">
        <f>DSUM($B$59:$X$71,I$59,$C$78:$D91)</f>
        <v>0.29698720311658766</v>
      </c>
      <c r="J91" s="36">
        <f>DSUM($B$59:$X$71,J$59,$C$78:$D91)</f>
        <v>0.4576841979901079</v>
      </c>
      <c r="K91" s="36">
        <f>DSUM($B$59:$X$71,K$59,$C$78:$D91)</f>
        <v>0.66385352741293424</v>
      </c>
      <c r="L91" s="36">
        <f>DSUM($B$59:$X$71,L$59,$C$78:$D91)</f>
        <v>0.91880729414135698</v>
      </c>
      <c r="M91" s="36">
        <f>DSUM($B$59:$X$71,M$59,$C$78:$D91)</f>
        <v>1.190429473665136</v>
      </c>
      <c r="N91" s="36">
        <f>DSUM($B$59:$X$71,N$59,$C$78:$D91)</f>
        <v>1.4960473485162342</v>
      </c>
      <c r="O91" s="36">
        <f>DSUM($B$59:$X$71,O$59,$C$78:$D91)</f>
        <v>1.7725611236959258</v>
      </c>
      <c r="P91" s="36">
        <f>DSUM($B$59:$X$71,P$59,$C$78:$D91)</f>
        <v>1.9885727861084379</v>
      </c>
      <c r="Q91" s="36">
        <f>DSUM($B$59:$X$71,Q$59,$C$78:$D91)</f>
        <v>2.1376726848197061</v>
      </c>
      <c r="R91" s="36">
        <f>DSUM($B$59:$X$71,R$59,$C$78:$D91)</f>
        <v>2.286905341804176</v>
      </c>
      <c r="S91" s="36">
        <f>DSUM($B$59:$X$71,S$59,$C$78:$D91)</f>
        <v>2.4185776191786097</v>
      </c>
      <c r="T91" s="36">
        <f>DSUM($B$59:$X$71,T$59,$C$78:$D91)</f>
        <v>2.4805244148722028</v>
      </c>
      <c r="U91" s="36">
        <f>DSUM($B$59:$X$71,U$59,$C$78:$D91)</f>
        <v>2.4600728440455053</v>
      </c>
      <c r="V91" s="36">
        <f>DSUM($B$59:$X$71,V$59,$C$78:$D91)</f>
        <v>2.4854999373392941</v>
      </c>
      <c r="W91" s="36">
        <f>DSUM($B$59:$X$71,W$59,$C$78:$D91)</f>
        <v>2.5065392408394565</v>
      </c>
      <c r="X91" s="36">
        <f>DSUM($B$59:$X$71,X$59,$C$78:$D91)</f>
        <v>2.5348678295002132</v>
      </c>
      <c r="Y91" s="36">
        <f t="shared" si="47"/>
        <v>28.373756842862758</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9" t="s">
        <v>109</v>
      </c>
      <c r="C92" s="57" t="s">
        <v>110</v>
      </c>
      <c r="D92" s="57" t="s">
        <v>111</v>
      </c>
      <c r="E92" s="36">
        <f>DSUM($B$59:$X$71,E$59,$C$78:$D92)</f>
        <v>1.3333333688713313E-2</v>
      </c>
      <c r="F92" s="36">
        <f>DSUM($B$59:$X$71,F$59,$C$78:$D92)</f>
        <v>3.5022676188867161E-2</v>
      </c>
      <c r="G92" s="36">
        <f>DSUM($B$59:$X$71,G$59,$C$78:$D92)</f>
        <v>7.7678702601774313E-2</v>
      </c>
      <c r="H92" s="36">
        <f>DSUM($B$59:$X$71,H$59,$C$78:$D92)</f>
        <v>0.15211926333751821</v>
      </c>
      <c r="I92" s="36">
        <f>DSUM($B$59:$X$71,I$59,$C$78:$D92)</f>
        <v>0.29698720311658766</v>
      </c>
      <c r="J92" s="36">
        <f>DSUM($B$59:$X$71,J$59,$C$78:$D92)</f>
        <v>0.4576841979901079</v>
      </c>
      <c r="K92" s="36">
        <f>DSUM($B$59:$X$71,K$59,$C$78:$D92)</f>
        <v>0.66385352741293424</v>
      </c>
      <c r="L92" s="36">
        <f>DSUM($B$59:$X$71,L$59,$C$78:$D92)</f>
        <v>0.91880729414135698</v>
      </c>
      <c r="M92" s="36">
        <f>DSUM($B$59:$X$71,M$59,$C$78:$D92)</f>
        <v>1.190429473665136</v>
      </c>
      <c r="N92" s="36">
        <f>DSUM($B$59:$X$71,N$59,$C$78:$D92)</f>
        <v>1.4960473485162342</v>
      </c>
      <c r="O92" s="36">
        <f>DSUM($B$59:$X$71,O$59,$C$78:$D92)</f>
        <v>1.7725611236959258</v>
      </c>
      <c r="P92" s="36">
        <f>DSUM($B$59:$X$71,P$59,$C$78:$D92)</f>
        <v>1.9885727861084379</v>
      </c>
      <c r="Q92" s="36">
        <f>DSUM($B$59:$X$71,Q$59,$C$78:$D92)</f>
        <v>2.1376726848197061</v>
      </c>
      <c r="R92" s="36">
        <f>DSUM($B$59:$X$71,R$59,$C$78:$D92)</f>
        <v>2.286905341804176</v>
      </c>
      <c r="S92" s="36">
        <f>DSUM($B$59:$X$71,S$59,$C$78:$D92)</f>
        <v>2.4185776191786097</v>
      </c>
      <c r="T92" s="36">
        <f>DSUM($B$59:$X$71,T$59,$C$78:$D92)</f>
        <v>2.4805244148722028</v>
      </c>
      <c r="U92" s="36">
        <f>DSUM($B$59:$X$71,U$59,$C$78:$D92)</f>
        <v>2.4600728440455053</v>
      </c>
      <c r="V92" s="36">
        <f>DSUM($B$59:$X$71,V$59,$C$78:$D92)</f>
        <v>2.4854999373392941</v>
      </c>
      <c r="W92" s="36">
        <f>DSUM($B$59:$X$71,W$59,$C$78:$D92)</f>
        <v>2.5065392408394565</v>
      </c>
      <c r="X92" s="36">
        <f>DSUM($B$59:$X$71,X$59,$C$78:$D92)</f>
        <v>2.5348678295002132</v>
      </c>
      <c r="Y92" s="36">
        <f t="shared" si="47"/>
        <v>28.373756842862758</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9" t="s">
        <v>112</v>
      </c>
      <c r="C93" s="57" t="s">
        <v>113</v>
      </c>
      <c r="D93" s="57" t="s">
        <v>114</v>
      </c>
      <c r="E93" s="36">
        <f>DSUM($B$59:$X$71,E$59,$C$78:$D93)</f>
        <v>1.3333333688713313E-2</v>
      </c>
      <c r="F93" s="36">
        <f>DSUM($B$59:$X$71,F$59,$C$78:$D93)</f>
        <v>3.5022676188867161E-2</v>
      </c>
      <c r="G93" s="36">
        <f>DSUM($B$59:$X$71,G$59,$C$78:$D93)</f>
        <v>7.7678702601774313E-2</v>
      </c>
      <c r="H93" s="36">
        <f>DSUM($B$59:$X$71,H$59,$C$78:$D93)</f>
        <v>0.15211926333751821</v>
      </c>
      <c r="I93" s="36">
        <f>DSUM($B$59:$X$71,I$59,$C$78:$D93)</f>
        <v>0.29698720311658766</v>
      </c>
      <c r="J93" s="36">
        <f>DSUM($B$59:$X$71,J$59,$C$78:$D93)</f>
        <v>0.4576841979901079</v>
      </c>
      <c r="K93" s="36">
        <f>DSUM($B$59:$X$71,K$59,$C$78:$D93)</f>
        <v>0.66385352741293424</v>
      </c>
      <c r="L93" s="36">
        <f>DSUM($B$59:$X$71,L$59,$C$78:$D93)</f>
        <v>0.91880729414135698</v>
      </c>
      <c r="M93" s="36">
        <f>DSUM($B$59:$X$71,M$59,$C$78:$D93)</f>
        <v>1.190429473665136</v>
      </c>
      <c r="N93" s="36">
        <f>DSUM($B$59:$X$71,N$59,$C$78:$D93)</f>
        <v>1.4960473485162342</v>
      </c>
      <c r="O93" s="36">
        <f>DSUM($B$59:$X$71,O$59,$C$78:$D93)</f>
        <v>1.7725611236959258</v>
      </c>
      <c r="P93" s="36">
        <f>DSUM($B$59:$X$71,P$59,$C$78:$D93)</f>
        <v>1.9885727861084379</v>
      </c>
      <c r="Q93" s="36">
        <f>DSUM($B$59:$X$71,Q$59,$C$78:$D93)</f>
        <v>2.1376726848197061</v>
      </c>
      <c r="R93" s="36">
        <f>DSUM($B$59:$X$71,R$59,$C$78:$D93)</f>
        <v>2.286905341804176</v>
      </c>
      <c r="S93" s="36">
        <f>DSUM($B$59:$X$71,S$59,$C$78:$D93)</f>
        <v>2.4185776191786097</v>
      </c>
      <c r="T93" s="36">
        <f>DSUM($B$59:$X$71,T$59,$C$78:$D93)</f>
        <v>2.4805244148722028</v>
      </c>
      <c r="U93" s="36">
        <f>DSUM($B$59:$X$71,U$59,$C$78:$D93)</f>
        <v>2.4600728440455053</v>
      </c>
      <c r="V93" s="36">
        <f>DSUM($B$59:$X$71,V$59,$C$78:$D93)</f>
        <v>2.4854999373392941</v>
      </c>
      <c r="W93" s="36">
        <f>DSUM($B$59:$X$71,W$59,$C$78:$D93)</f>
        <v>2.5065392408394565</v>
      </c>
      <c r="X93" s="36">
        <f>DSUM($B$59:$X$71,X$59,$C$78:$D93)</f>
        <v>2.5348678295002132</v>
      </c>
      <c r="Y93" s="36">
        <f t="shared" si="47"/>
        <v>28.373756842862758</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9" t="s">
        <v>115</v>
      </c>
      <c r="C94" s="57" t="s">
        <v>116</v>
      </c>
      <c r="D94" s="57" t="s">
        <v>117</v>
      </c>
      <c r="E94" s="36">
        <f>DSUM($B$59:$X$71,E$59,$C$78:$D94)</f>
        <v>1.3333333688713313E-2</v>
      </c>
      <c r="F94" s="36">
        <f>DSUM($B$59:$X$71,F$59,$C$78:$D94)</f>
        <v>3.5022676188867161E-2</v>
      </c>
      <c r="G94" s="36">
        <f>DSUM($B$59:$X$71,G$59,$C$78:$D94)</f>
        <v>7.7678702601774313E-2</v>
      </c>
      <c r="H94" s="36">
        <f>DSUM($B$59:$X$71,H$59,$C$78:$D94)</f>
        <v>0.15211926333751821</v>
      </c>
      <c r="I94" s="36">
        <f>DSUM($B$59:$X$71,I$59,$C$78:$D94)</f>
        <v>0.29698720311658766</v>
      </c>
      <c r="J94" s="36">
        <f>DSUM($B$59:$X$71,J$59,$C$78:$D94)</f>
        <v>0.4576841979901079</v>
      </c>
      <c r="K94" s="36">
        <f>DSUM($B$59:$X$71,K$59,$C$78:$D94)</f>
        <v>0.66385352741293424</v>
      </c>
      <c r="L94" s="36">
        <f>DSUM($B$59:$X$71,L$59,$C$78:$D94)</f>
        <v>0.91880729414135698</v>
      </c>
      <c r="M94" s="36">
        <f>DSUM($B$59:$X$71,M$59,$C$78:$D94)</f>
        <v>1.190429473665136</v>
      </c>
      <c r="N94" s="36">
        <f>DSUM($B$59:$X$71,N$59,$C$78:$D94)</f>
        <v>1.4960473485162342</v>
      </c>
      <c r="O94" s="36">
        <f>DSUM($B$59:$X$71,O$59,$C$78:$D94)</f>
        <v>1.7725611236959258</v>
      </c>
      <c r="P94" s="36">
        <f>DSUM($B$59:$X$71,P$59,$C$78:$D94)</f>
        <v>1.9885727861084379</v>
      </c>
      <c r="Q94" s="36">
        <f>DSUM($B$59:$X$71,Q$59,$C$78:$D94)</f>
        <v>2.1376726848197061</v>
      </c>
      <c r="R94" s="36">
        <f>DSUM($B$59:$X$71,R$59,$C$78:$D94)</f>
        <v>2.286905341804176</v>
      </c>
      <c r="S94" s="36">
        <f>DSUM($B$59:$X$71,S$59,$C$78:$D94)</f>
        <v>2.4185776191786097</v>
      </c>
      <c r="T94" s="36">
        <f>DSUM($B$59:$X$71,T$59,$C$78:$D94)</f>
        <v>2.4805244148722028</v>
      </c>
      <c r="U94" s="36">
        <f>DSUM($B$59:$X$71,U$59,$C$78:$D94)</f>
        <v>2.4600728440455053</v>
      </c>
      <c r="V94" s="36">
        <f>DSUM($B$59:$X$71,V$59,$C$78:$D94)</f>
        <v>2.4854999373392941</v>
      </c>
      <c r="W94" s="36">
        <f>DSUM($B$59:$X$71,W$59,$C$78:$D94)</f>
        <v>2.5065392408394565</v>
      </c>
      <c r="X94" s="36">
        <f>DSUM($B$59:$X$71,X$59,$C$78:$D94)</f>
        <v>2.5348678295002132</v>
      </c>
      <c r="Y94" s="36">
        <f t="shared" si="47"/>
        <v>28.373756842862758</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B95" s="9" t="s">
        <v>118</v>
      </c>
      <c r="C95" s="57" t="s">
        <v>119</v>
      </c>
      <c r="D95" s="57" t="s">
        <v>120</v>
      </c>
      <c r="E95" s="36">
        <f>DSUM($B$59:$X$71,E$59,$C$78:$D95)</f>
        <v>1.3333333688713313E-2</v>
      </c>
      <c r="F95" s="36">
        <f>DSUM($B$59:$X$71,F$59,$C$78:$D95)</f>
        <v>3.5022676188867161E-2</v>
      </c>
      <c r="G95" s="36">
        <f>DSUM($B$59:$X$71,G$59,$C$78:$D95)</f>
        <v>7.7678702601774313E-2</v>
      </c>
      <c r="H95" s="36">
        <f>DSUM($B$59:$X$71,H$59,$C$78:$D95)</f>
        <v>0.15211926333751821</v>
      </c>
      <c r="I95" s="36">
        <f>DSUM($B$59:$X$71,I$59,$C$78:$D95)</f>
        <v>0.29698720311658766</v>
      </c>
      <c r="J95" s="36">
        <f>DSUM($B$59:$X$71,J$59,$C$78:$D95)</f>
        <v>0.4576841979901079</v>
      </c>
      <c r="K95" s="36">
        <f>DSUM($B$59:$X$71,K$59,$C$78:$D95)</f>
        <v>0.66385352741293424</v>
      </c>
      <c r="L95" s="36">
        <f>DSUM($B$59:$X$71,L$59,$C$78:$D95)</f>
        <v>0.91880729414135698</v>
      </c>
      <c r="M95" s="36">
        <f>DSUM($B$59:$X$71,M$59,$C$78:$D95)</f>
        <v>1.190429473665136</v>
      </c>
      <c r="N95" s="36">
        <f>DSUM($B$59:$X$71,N$59,$C$78:$D95)</f>
        <v>1.4960473485162342</v>
      </c>
      <c r="O95" s="36">
        <f>DSUM($B$59:$X$71,O$59,$C$78:$D95)</f>
        <v>1.7725611236959258</v>
      </c>
      <c r="P95" s="36">
        <f>DSUM($B$59:$X$71,P$59,$C$78:$D95)</f>
        <v>1.9885727861084379</v>
      </c>
      <c r="Q95" s="36">
        <f>DSUM($B$59:$X$71,Q$59,$C$78:$D95)</f>
        <v>2.1376726848197061</v>
      </c>
      <c r="R95" s="36">
        <f>DSUM($B$59:$X$71,R$59,$C$78:$D95)</f>
        <v>2.286905341804176</v>
      </c>
      <c r="S95" s="36">
        <f>DSUM($B$59:$X$71,S$59,$C$78:$D95)</f>
        <v>2.4185776191786097</v>
      </c>
      <c r="T95" s="36">
        <f>DSUM($B$59:$X$71,T$59,$C$78:$D95)</f>
        <v>2.4805244148722028</v>
      </c>
      <c r="U95" s="36">
        <f>DSUM($B$59:$X$71,U$59,$C$78:$D95)</f>
        <v>2.4600728440455053</v>
      </c>
      <c r="V95" s="36">
        <f>DSUM($B$59:$X$71,V$59,$C$78:$D95)</f>
        <v>2.4854999373392941</v>
      </c>
      <c r="W95" s="36">
        <f>DSUM($B$59:$X$71,W$59,$C$78:$D95)</f>
        <v>2.5065392408394565</v>
      </c>
      <c r="X95" s="36">
        <f>DSUM($B$59:$X$71,X$59,$C$78:$D95)</f>
        <v>2.5348678295002132</v>
      </c>
      <c r="Y95" s="36">
        <f t="shared" si="47"/>
        <v>28.373756842862758</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B96" s="9" t="s">
        <v>121</v>
      </c>
      <c r="C96" s="57" t="s">
        <v>122</v>
      </c>
      <c r="D96" s="57" t="s">
        <v>123</v>
      </c>
      <c r="E96" s="36">
        <f>DSUM($B$59:$X$71,E$59,$C$78:$D96)</f>
        <v>1.3333333688713313E-2</v>
      </c>
      <c r="F96" s="36">
        <f>DSUM($B$59:$X$71,F$59,$C$78:$D96)</f>
        <v>3.5022676188867161E-2</v>
      </c>
      <c r="G96" s="36">
        <f>DSUM($B$59:$X$71,G$59,$C$78:$D96)</f>
        <v>7.7678702601774313E-2</v>
      </c>
      <c r="H96" s="36">
        <f>DSUM($B$59:$X$71,H$59,$C$78:$D96)</f>
        <v>0.15211926333751821</v>
      </c>
      <c r="I96" s="36">
        <f>DSUM($B$59:$X$71,I$59,$C$78:$D96)</f>
        <v>0.29698720311658766</v>
      </c>
      <c r="J96" s="36">
        <f>DSUM($B$59:$X$71,J$59,$C$78:$D96)</f>
        <v>0.4576841979901079</v>
      </c>
      <c r="K96" s="36">
        <f>DSUM($B$59:$X$71,K$59,$C$78:$D96)</f>
        <v>0.66385352741293424</v>
      </c>
      <c r="L96" s="36">
        <f>DSUM($B$59:$X$71,L$59,$C$78:$D96)</f>
        <v>0.91880729414135698</v>
      </c>
      <c r="M96" s="36">
        <f>DSUM($B$59:$X$71,M$59,$C$78:$D96)</f>
        <v>1.190429473665136</v>
      </c>
      <c r="N96" s="36">
        <f>DSUM($B$59:$X$71,N$59,$C$78:$D96)</f>
        <v>1.4960473485162342</v>
      </c>
      <c r="O96" s="36">
        <f>DSUM($B$59:$X$71,O$59,$C$78:$D96)</f>
        <v>1.7725611236959258</v>
      </c>
      <c r="P96" s="36">
        <f>DSUM($B$59:$X$71,P$59,$C$78:$D96)</f>
        <v>1.9885727861084379</v>
      </c>
      <c r="Q96" s="36">
        <f>DSUM($B$59:$X$71,Q$59,$C$78:$D96)</f>
        <v>2.1376726848197061</v>
      </c>
      <c r="R96" s="36">
        <f>DSUM($B$59:$X$71,R$59,$C$78:$D96)</f>
        <v>2.286905341804176</v>
      </c>
      <c r="S96" s="36">
        <f>DSUM($B$59:$X$71,S$59,$C$78:$D96)</f>
        <v>2.4185776191786097</v>
      </c>
      <c r="T96" s="36">
        <f>DSUM($B$59:$X$71,T$59,$C$78:$D96)</f>
        <v>2.4805244148722028</v>
      </c>
      <c r="U96" s="36">
        <f>DSUM($B$59:$X$71,U$59,$C$78:$D96)</f>
        <v>2.4600728440455053</v>
      </c>
      <c r="V96" s="36">
        <f>DSUM($B$59:$X$71,V$59,$C$78:$D96)</f>
        <v>2.4854999373392941</v>
      </c>
      <c r="W96" s="36">
        <f>DSUM($B$59:$X$71,W$59,$C$78:$D96)</f>
        <v>2.5065392408394565</v>
      </c>
      <c r="X96" s="36">
        <f>DSUM($B$59:$X$71,X$59,$C$78:$D96)</f>
        <v>2.5348678295002132</v>
      </c>
      <c r="Y96" s="36">
        <f t="shared" si="47"/>
        <v>28.373756842862758</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2:80">
      <c r="B97" s="9" t="s">
        <v>124</v>
      </c>
      <c r="C97" s="57" t="s">
        <v>125</v>
      </c>
      <c r="D97" s="57" t="s">
        <v>126</v>
      </c>
      <c r="E97" s="36">
        <f>DSUM($B$59:$X$71,E$59,$C$78:$D97)</f>
        <v>1.3333333688713313E-2</v>
      </c>
      <c r="F97" s="36">
        <f>DSUM($B$59:$X$71,F$59,$C$78:$D97)</f>
        <v>3.5022676188867161E-2</v>
      </c>
      <c r="G97" s="36">
        <f>DSUM($B$59:$X$71,G$59,$C$78:$D97)</f>
        <v>7.7678702601774313E-2</v>
      </c>
      <c r="H97" s="36">
        <f>DSUM($B$59:$X$71,H$59,$C$78:$D97)</f>
        <v>0.15211926333751821</v>
      </c>
      <c r="I97" s="36">
        <f>DSUM($B$59:$X$71,I$59,$C$78:$D97)</f>
        <v>0.29698720311658766</v>
      </c>
      <c r="J97" s="36">
        <f>DSUM($B$59:$X$71,J$59,$C$78:$D97)</f>
        <v>0.4576841979901079</v>
      </c>
      <c r="K97" s="36">
        <f>DSUM($B$59:$X$71,K$59,$C$78:$D97)</f>
        <v>0.66385352741293424</v>
      </c>
      <c r="L97" s="36">
        <f>DSUM($B$59:$X$71,L$59,$C$78:$D97)</f>
        <v>0.91880729414135698</v>
      </c>
      <c r="M97" s="36">
        <f>DSUM($B$59:$X$71,M$59,$C$78:$D97)</f>
        <v>1.190429473665136</v>
      </c>
      <c r="N97" s="36">
        <f>DSUM($B$59:$X$71,N$59,$C$78:$D97)</f>
        <v>1.4960473485162342</v>
      </c>
      <c r="O97" s="36">
        <f>DSUM($B$59:$X$71,O$59,$C$78:$D97)</f>
        <v>1.7725611236959258</v>
      </c>
      <c r="P97" s="36">
        <f>DSUM($B$59:$X$71,P$59,$C$78:$D97)</f>
        <v>1.9885727861084379</v>
      </c>
      <c r="Q97" s="36">
        <f>DSUM($B$59:$X$71,Q$59,$C$78:$D97)</f>
        <v>2.1376726848197061</v>
      </c>
      <c r="R97" s="36">
        <f>DSUM($B$59:$X$71,R$59,$C$78:$D97)</f>
        <v>2.286905341804176</v>
      </c>
      <c r="S97" s="36">
        <f>DSUM($B$59:$X$71,S$59,$C$78:$D97)</f>
        <v>2.4185776191786097</v>
      </c>
      <c r="T97" s="36">
        <f>DSUM($B$59:$X$71,T$59,$C$78:$D97)</f>
        <v>2.4805244148722028</v>
      </c>
      <c r="U97" s="36">
        <f>DSUM($B$59:$X$71,U$59,$C$78:$D97)</f>
        <v>2.4600728440455053</v>
      </c>
      <c r="V97" s="36">
        <f>DSUM($B$59:$X$71,V$59,$C$78:$D97)</f>
        <v>2.4854999373392941</v>
      </c>
      <c r="W97" s="36">
        <f>DSUM($B$59:$X$71,W$59,$C$78:$D97)</f>
        <v>2.5065392408394565</v>
      </c>
      <c r="X97" s="36">
        <f>DSUM($B$59:$X$71,X$59,$C$78:$D97)</f>
        <v>2.5348678295002132</v>
      </c>
      <c r="Y97" s="36">
        <f t="shared" si="47"/>
        <v>28.373756842862758</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2:80">
      <c r="B98" s="9" t="s">
        <v>127</v>
      </c>
      <c r="C98" s="57" t="s">
        <v>128</v>
      </c>
      <c r="D98" s="57" t="s">
        <v>129</v>
      </c>
      <c r="E98" s="36">
        <f>DSUM($B$59:$X$71,E$59,$C$78:$D98)</f>
        <v>1.3333333688713313E-2</v>
      </c>
      <c r="F98" s="36">
        <f>DSUM($B$59:$X$71,F$59,$C$78:$D98)</f>
        <v>3.5022676188867161E-2</v>
      </c>
      <c r="G98" s="36">
        <f>DSUM($B$59:$X$71,G$59,$C$78:$D98)</f>
        <v>7.7678702601774313E-2</v>
      </c>
      <c r="H98" s="36">
        <f>DSUM($B$59:$X$71,H$59,$C$78:$D98)</f>
        <v>0.15211926333751821</v>
      </c>
      <c r="I98" s="36">
        <f>DSUM($B$59:$X$71,I$59,$C$78:$D98)</f>
        <v>0.29698720311658766</v>
      </c>
      <c r="J98" s="36">
        <f>DSUM($B$59:$X$71,J$59,$C$78:$D98)</f>
        <v>0.4576841979901079</v>
      </c>
      <c r="K98" s="36">
        <f>DSUM($B$59:$X$71,K$59,$C$78:$D98)</f>
        <v>0.66385352741293424</v>
      </c>
      <c r="L98" s="36">
        <f>DSUM($B$59:$X$71,L$59,$C$78:$D98)</f>
        <v>0.91880729414135698</v>
      </c>
      <c r="M98" s="36">
        <f>DSUM($B$59:$X$71,M$59,$C$78:$D98)</f>
        <v>1.190429473665136</v>
      </c>
      <c r="N98" s="36">
        <f>DSUM($B$59:$X$71,N$59,$C$78:$D98)</f>
        <v>1.4960473485162342</v>
      </c>
      <c r="O98" s="36">
        <f>DSUM($B$59:$X$71,O$59,$C$78:$D98)</f>
        <v>1.7725611236959258</v>
      </c>
      <c r="P98" s="36">
        <f>DSUM($B$59:$X$71,P$59,$C$78:$D98)</f>
        <v>1.9885727861084379</v>
      </c>
      <c r="Q98" s="36">
        <f>DSUM($B$59:$X$71,Q$59,$C$78:$D98)</f>
        <v>2.1376726848197061</v>
      </c>
      <c r="R98" s="36">
        <f>DSUM($B$59:$X$71,R$59,$C$78:$D98)</f>
        <v>2.286905341804176</v>
      </c>
      <c r="S98" s="36">
        <f>DSUM($B$59:$X$71,S$59,$C$78:$D98)</f>
        <v>2.4185776191786097</v>
      </c>
      <c r="T98" s="36">
        <f>DSUM($B$59:$X$71,T$59,$C$78:$D98)</f>
        <v>2.4805244148722028</v>
      </c>
      <c r="U98" s="36">
        <f>DSUM($B$59:$X$71,U$59,$C$78:$D98)</f>
        <v>2.4600728440455053</v>
      </c>
      <c r="V98" s="36">
        <f>DSUM($B$59:$X$71,V$59,$C$78:$D98)</f>
        <v>2.4854999373392941</v>
      </c>
      <c r="W98" s="36">
        <f>DSUM($B$59:$X$71,W$59,$C$78:$D98)</f>
        <v>2.5065392408394565</v>
      </c>
      <c r="X98" s="36">
        <f>DSUM($B$59:$X$71,X$59,$C$78:$D98)</f>
        <v>2.5348678295002132</v>
      </c>
      <c r="Y98" s="36">
        <f t="shared" si="47"/>
        <v>28.373756842862758</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2:80">
      <c r="B99" s="9" t="s">
        <v>130</v>
      </c>
      <c r="C99" s="57" t="s">
        <v>131</v>
      </c>
      <c r="D99" s="57" t="s">
        <v>132</v>
      </c>
      <c r="E99" s="36">
        <f>DSUM($B$59:$X$71,E$59,$C$78:$D99)</f>
        <v>1.3333333688713313E-2</v>
      </c>
      <c r="F99" s="36">
        <f>DSUM($B$59:$X$71,F$59,$C$78:$D99)</f>
        <v>3.5022676188867161E-2</v>
      </c>
      <c r="G99" s="36">
        <f>DSUM($B$59:$X$71,G$59,$C$78:$D99)</f>
        <v>7.7678702601774313E-2</v>
      </c>
      <c r="H99" s="36">
        <f>DSUM($B$59:$X$71,H$59,$C$78:$D99)</f>
        <v>0.15211926333751821</v>
      </c>
      <c r="I99" s="36">
        <f>DSUM($B$59:$X$71,I$59,$C$78:$D99)</f>
        <v>0.29698720311658766</v>
      </c>
      <c r="J99" s="36">
        <f>DSUM($B$59:$X$71,J$59,$C$78:$D99)</f>
        <v>0.4576841979901079</v>
      </c>
      <c r="K99" s="36">
        <f>DSUM($B$59:$X$71,K$59,$C$78:$D99)</f>
        <v>0.66385352741293424</v>
      </c>
      <c r="L99" s="36">
        <f>DSUM($B$59:$X$71,L$59,$C$78:$D99)</f>
        <v>0.91880729414135698</v>
      </c>
      <c r="M99" s="36">
        <f>DSUM($B$59:$X$71,M$59,$C$78:$D99)</f>
        <v>1.190429473665136</v>
      </c>
      <c r="N99" s="36">
        <f>DSUM($B$59:$X$71,N$59,$C$78:$D99)</f>
        <v>1.4960473485162342</v>
      </c>
      <c r="O99" s="36">
        <f>DSUM($B$59:$X$71,O$59,$C$78:$D99)</f>
        <v>1.7725611236959258</v>
      </c>
      <c r="P99" s="36">
        <f>DSUM($B$59:$X$71,P$59,$C$78:$D99)</f>
        <v>1.9885727861084379</v>
      </c>
      <c r="Q99" s="36">
        <f>DSUM($B$59:$X$71,Q$59,$C$78:$D99)</f>
        <v>2.1376726848197061</v>
      </c>
      <c r="R99" s="36">
        <f>DSUM($B$59:$X$71,R$59,$C$78:$D99)</f>
        <v>2.286905341804176</v>
      </c>
      <c r="S99" s="36">
        <f>DSUM($B$59:$X$71,S$59,$C$78:$D99)</f>
        <v>2.4185776191786097</v>
      </c>
      <c r="T99" s="36">
        <f>DSUM($B$59:$X$71,T$59,$C$78:$D99)</f>
        <v>2.4805244148722028</v>
      </c>
      <c r="U99" s="36">
        <f>DSUM($B$59:$X$71,U$59,$C$78:$D99)</f>
        <v>2.4600728440455053</v>
      </c>
      <c r="V99" s="36">
        <f>DSUM($B$59:$X$71,V$59,$C$78:$D99)</f>
        <v>2.4854999373392941</v>
      </c>
      <c r="W99" s="36">
        <f>DSUM($B$59:$X$71,W$59,$C$78:$D99)</f>
        <v>2.5065392408394565</v>
      </c>
      <c r="X99" s="36">
        <f>DSUM($B$59:$X$71,X$59,$C$78:$D99)</f>
        <v>2.5348678295002132</v>
      </c>
      <c r="Y99" s="36">
        <f t="shared" si="47"/>
        <v>28.373756842862758</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2:80">
      <c r="B100" s="9" t="s">
        <v>1085</v>
      </c>
      <c r="C100" s="57" t="s">
        <v>134</v>
      </c>
      <c r="D100" s="57" t="s">
        <v>1086</v>
      </c>
      <c r="E100" s="36">
        <f>DSUM($B$59:$X$71,E$59,$C$78:$D100)</f>
        <v>1.3333333688713313E-2</v>
      </c>
      <c r="F100" s="36">
        <f>DSUM($B$59:$X$71,F$59,$C$78:$D100)</f>
        <v>3.5022676188867161E-2</v>
      </c>
      <c r="G100" s="36">
        <f>DSUM($B$59:$X$71,G$59,$C$78:$D100)</f>
        <v>7.7678702601774313E-2</v>
      </c>
      <c r="H100" s="36">
        <f>DSUM($B$59:$X$71,H$59,$C$78:$D100)</f>
        <v>0.15211926333751821</v>
      </c>
      <c r="I100" s="36">
        <f>DSUM($B$59:$X$71,I$59,$C$78:$D100)</f>
        <v>0.29698720311658766</v>
      </c>
      <c r="J100" s="36">
        <f>DSUM($B$59:$X$71,J$59,$C$78:$D100)</f>
        <v>0.4576841979901079</v>
      </c>
      <c r="K100" s="36">
        <f>DSUM($B$59:$X$71,K$59,$C$78:$D100)</f>
        <v>0.66385352741293424</v>
      </c>
      <c r="L100" s="36">
        <f>DSUM($B$59:$X$71,L$59,$C$78:$D100)</f>
        <v>0.91880729414135698</v>
      </c>
      <c r="M100" s="36">
        <f>DSUM($B$59:$X$71,M$59,$C$78:$D100)</f>
        <v>1.190429473665136</v>
      </c>
      <c r="N100" s="36">
        <f>DSUM($B$59:$X$71,N$59,$C$78:$D100)</f>
        <v>1.4960473485162342</v>
      </c>
      <c r="O100" s="36">
        <f>DSUM($B$59:$X$71,O$59,$C$78:$D100)</f>
        <v>1.7725611236959258</v>
      </c>
      <c r="P100" s="36">
        <f>DSUM($B$59:$X$71,P$59,$C$78:$D100)</f>
        <v>1.9885727861084379</v>
      </c>
      <c r="Q100" s="36">
        <f>DSUM($B$59:$X$71,Q$59,$C$78:$D100)</f>
        <v>2.1376726848197061</v>
      </c>
      <c r="R100" s="36">
        <f>DSUM($B$59:$X$71,R$59,$C$78:$D100)</f>
        <v>2.286905341804176</v>
      </c>
      <c r="S100" s="36">
        <f>DSUM($B$59:$X$71,S$59,$C$78:$D100)</f>
        <v>2.4185776191786097</v>
      </c>
      <c r="T100" s="36">
        <f>DSUM($B$59:$X$71,T$59,$C$78:$D100)</f>
        <v>2.4805244148722028</v>
      </c>
      <c r="U100" s="36">
        <f>DSUM($B$59:$X$71,U$59,$C$78:$D100)</f>
        <v>2.4600728440455053</v>
      </c>
      <c r="V100" s="36">
        <f>DSUM($B$59:$X$71,V$59,$C$78:$D100)</f>
        <v>2.4854999373392941</v>
      </c>
      <c r="W100" s="36">
        <f>DSUM($B$59:$X$71,W$59,$C$78:$D100)</f>
        <v>2.5065392408394565</v>
      </c>
      <c r="X100" s="36">
        <f>DSUM($B$59:$X$71,X$59,$C$78:$D100)</f>
        <v>2.5348678295002132</v>
      </c>
      <c r="Y100" s="36">
        <f t="shared" si="47"/>
        <v>28.373756842862758</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2:80">
      <c r="B101" s="9" t="s">
        <v>1087</v>
      </c>
      <c r="C101" s="57" t="s">
        <v>1088</v>
      </c>
      <c r="D101" s="57" t="s">
        <v>1089</v>
      </c>
      <c r="E101" s="36">
        <f>DSUM($B$59:$X$71,E$59,$C$78:$D101)</f>
        <v>1.3333333688713313E-2</v>
      </c>
      <c r="F101" s="36">
        <f>DSUM($B$59:$X$71,F$59,$C$78:$D101)</f>
        <v>3.5022676188867161E-2</v>
      </c>
      <c r="G101" s="36">
        <f>DSUM($B$59:$X$71,G$59,$C$78:$D101)</f>
        <v>7.7678702601774313E-2</v>
      </c>
      <c r="H101" s="36">
        <f>DSUM($B$59:$X$71,H$59,$C$78:$D101)</f>
        <v>0.15211926333751821</v>
      </c>
      <c r="I101" s="36">
        <f>DSUM($B$59:$X$71,I$59,$C$78:$D101)</f>
        <v>0.29698720311658766</v>
      </c>
      <c r="J101" s="36">
        <f>DSUM($B$59:$X$71,J$59,$C$78:$D101)</f>
        <v>0.4576841979901079</v>
      </c>
      <c r="K101" s="36">
        <f>DSUM($B$59:$X$71,K$59,$C$78:$D101)</f>
        <v>0.66385352741293424</v>
      </c>
      <c r="L101" s="36">
        <f>DSUM($B$59:$X$71,L$59,$C$78:$D101)</f>
        <v>0.91880729414135698</v>
      </c>
      <c r="M101" s="36">
        <f>DSUM($B$59:$X$71,M$59,$C$78:$D101)</f>
        <v>1.190429473665136</v>
      </c>
      <c r="N101" s="36">
        <f>DSUM($B$59:$X$71,N$59,$C$78:$D101)</f>
        <v>1.4960473485162342</v>
      </c>
      <c r="O101" s="36">
        <f>DSUM($B$59:$X$71,O$59,$C$78:$D101)</f>
        <v>1.7725611236959258</v>
      </c>
      <c r="P101" s="36">
        <f>DSUM($B$59:$X$71,P$59,$C$78:$D101)</f>
        <v>1.9885727861084379</v>
      </c>
      <c r="Q101" s="36">
        <f>DSUM($B$59:$X$71,Q$59,$C$78:$D101)</f>
        <v>2.1376726848197061</v>
      </c>
      <c r="R101" s="36">
        <f>DSUM($B$59:$X$71,R$59,$C$78:$D101)</f>
        <v>2.286905341804176</v>
      </c>
      <c r="S101" s="36">
        <f>DSUM($B$59:$X$71,S$59,$C$78:$D101)</f>
        <v>2.4185776191786097</v>
      </c>
      <c r="T101" s="36">
        <f>DSUM($B$59:$X$71,T$59,$C$78:$D101)</f>
        <v>2.4805244148722028</v>
      </c>
      <c r="U101" s="36">
        <f>DSUM($B$59:$X$71,U$59,$C$78:$D101)</f>
        <v>2.4600728440455053</v>
      </c>
      <c r="V101" s="36">
        <f>DSUM($B$59:$X$71,V$59,$C$78:$D101)</f>
        <v>2.4854999373392941</v>
      </c>
      <c r="W101" s="36">
        <f>DSUM($B$59:$X$71,W$59,$C$78:$D101)</f>
        <v>2.5065392408394565</v>
      </c>
      <c r="X101" s="36">
        <f>DSUM($B$59:$X$71,X$59,$C$78:$D101)</f>
        <v>2.5348678295002132</v>
      </c>
      <c r="Y101" s="36">
        <f t="shared" si="47"/>
        <v>28.373756842862758</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2:80">
      <c r="B102" s="9" t="s">
        <v>1090</v>
      </c>
      <c r="C102" s="57" t="s">
        <v>1091</v>
      </c>
      <c r="D102" s="57" t="s">
        <v>1092</v>
      </c>
      <c r="E102" s="36">
        <f>DSUM($B$59:$X$71,E$59,$C$78:$D102)</f>
        <v>1.3333333688713313E-2</v>
      </c>
      <c r="F102" s="36">
        <f>DSUM($B$59:$X$71,F$59,$C$78:$D102)</f>
        <v>3.5022676188867161E-2</v>
      </c>
      <c r="G102" s="36">
        <f>DSUM($B$59:$X$71,G$59,$C$78:$D102)</f>
        <v>7.7678702601774313E-2</v>
      </c>
      <c r="H102" s="36">
        <f>DSUM($B$59:$X$71,H$59,$C$78:$D102)</f>
        <v>0.15211926333751821</v>
      </c>
      <c r="I102" s="36">
        <f>DSUM($B$59:$X$71,I$59,$C$78:$D102)</f>
        <v>0.29698720311658766</v>
      </c>
      <c r="J102" s="36">
        <f>DSUM($B$59:$X$71,J$59,$C$78:$D102)</f>
        <v>0.4576841979901079</v>
      </c>
      <c r="K102" s="36">
        <f>DSUM($B$59:$X$71,K$59,$C$78:$D102)</f>
        <v>0.66385352741293424</v>
      </c>
      <c r="L102" s="36">
        <f>DSUM($B$59:$X$71,L$59,$C$78:$D102)</f>
        <v>0.91880729414135698</v>
      </c>
      <c r="M102" s="36">
        <f>DSUM($B$59:$X$71,M$59,$C$78:$D102)</f>
        <v>1.190429473665136</v>
      </c>
      <c r="N102" s="36">
        <f>DSUM($B$59:$X$71,N$59,$C$78:$D102)</f>
        <v>1.4960473485162342</v>
      </c>
      <c r="O102" s="36">
        <f>DSUM($B$59:$X$71,O$59,$C$78:$D102)</f>
        <v>1.7725611236959258</v>
      </c>
      <c r="P102" s="36">
        <f>DSUM($B$59:$X$71,P$59,$C$78:$D102)</f>
        <v>1.9885727861084379</v>
      </c>
      <c r="Q102" s="36">
        <f>DSUM($B$59:$X$71,Q$59,$C$78:$D102)</f>
        <v>2.1376726848197061</v>
      </c>
      <c r="R102" s="36">
        <f>DSUM($B$59:$X$71,R$59,$C$78:$D102)</f>
        <v>2.286905341804176</v>
      </c>
      <c r="S102" s="36">
        <f>DSUM($B$59:$X$71,S$59,$C$78:$D102)</f>
        <v>2.4185776191786097</v>
      </c>
      <c r="T102" s="36">
        <f>DSUM($B$59:$X$71,T$59,$C$78:$D102)</f>
        <v>2.4805244148722028</v>
      </c>
      <c r="U102" s="36">
        <f>DSUM($B$59:$X$71,U$59,$C$78:$D102)</f>
        <v>2.4600728440455053</v>
      </c>
      <c r="V102" s="36">
        <f>DSUM($B$59:$X$71,V$59,$C$78:$D102)</f>
        <v>2.4854999373392941</v>
      </c>
      <c r="W102" s="36">
        <f>DSUM($B$59:$X$71,W$59,$C$78:$D102)</f>
        <v>2.5065392408394565</v>
      </c>
      <c r="X102" s="36">
        <f>DSUM($B$59:$X$71,X$59,$C$78:$D102)</f>
        <v>2.5348678295002132</v>
      </c>
      <c r="Y102" s="36">
        <f t="shared" si="47"/>
        <v>28.373756842862758</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2:80">
      <c r="B103" s="9" t="s">
        <v>1093</v>
      </c>
      <c r="C103" s="57" t="s">
        <v>1094</v>
      </c>
      <c r="D103" s="57" t="s">
        <v>1095</v>
      </c>
      <c r="E103" s="36">
        <f>DSUM($B$59:$X$71,E$59,$C$78:$D103)</f>
        <v>1.5142974398867781E-2</v>
      </c>
      <c r="F103" s="36">
        <f>DSUM($B$59:$X$71,F$59,$C$78:$D103)</f>
        <v>3.9648470249564215E-2</v>
      </c>
      <c r="G103" s="36">
        <f>DSUM($B$59:$X$71,G$59,$C$78:$D103)</f>
        <v>8.7735042094047477E-2</v>
      </c>
      <c r="H103" s="36">
        <f>DSUM($B$59:$X$71,H$59,$C$78:$D103)</f>
        <v>0.1715239499056084</v>
      </c>
      <c r="I103" s="36">
        <f>DSUM($B$59:$X$71,I$59,$C$78:$D103)</f>
        <v>0.33302114898930613</v>
      </c>
      <c r="J103" s="36">
        <f>DSUM($B$59:$X$71,J$59,$C$78:$D103)</f>
        <v>0.51296859200403677</v>
      </c>
      <c r="K103" s="36">
        <f>DSUM($B$59:$X$71,K$59,$C$78:$D103)</f>
        <v>0.743685107714259</v>
      </c>
      <c r="L103" s="36">
        <f>DSUM($B$59:$X$71,L$59,$C$78:$D103)</f>
        <v>1.0287977969206934</v>
      </c>
      <c r="M103" s="36">
        <f>DSUM($B$59:$X$71,M$59,$C$78:$D103)</f>
        <v>1.3322858889010429</v>
      </c>
      <c r="N103" s="36">
        <f>DSUM($B$59:$X$71,N$59,$C$78:$D103)</f>
        <v>1.6735544215854006</v>
      </c>
      <c r="O103" s="36">
        <f>DSUM($B$59:$X$71,O$59,$C$78:$D103)</f>
        <v>1.982006179008599</v>
      </c>
      <c r="P103" s="36">
        <f>DSUM($B$59:$X$71,P$59,$C$78:$D103)</f>
        <v>2.2225440455800753</v>
      </c>
      <c r="Q103" s="36">
        <f>DSUM($B$59:$X$71,Q$59,$C$78:$D103)</f>
        <v>2.3881069511657373</v>
      </c>
      <c r="R103" s="36">
        <f>DSUM($B$59:$X$71,R$59,$C$78:$D103)</f>
        <v>2.5537592972639724</v>
      </c>
      <c r="S103" s="36">
        <f>DSUM($B$59:$X$71,S$59,$C$78:$D103)</f>
        <v>2.6997069210588829</v>
      </c>
      <c r="T103" s="36">
        <f>DSUM($B$59:$X$71,T$59,$C$78:$D103)</f>
        <v>2.7676731198832298</v>
      </c>
      <c r="U103" s="36">
        <f>DSUM($B$59:$X$71,U$59,$C$78:$D103)</f>
        <v>2.7436158948124882</v>
      </c>
      <c r="V103" s="36">
        <f>DSUM($B$59:$X$71,V$59,$C$78:$D103)</f>
        <v>2.7707984198146582</v>
      </c>
      <c r="W103" s="36">
        <f>DSUM($B$59:$X$71,W$59,$C$78:$D103)</f>
        <v>2.7930876890586465</v>
      </c>
      <c r="X103" s="36">
        <f>DSUM($B$59:$X$71,X$59,$C$78:$D103)</f>
        <v>2.8244998554840679</v>
      </c>
      <c r="Y103" s="36">
        <f t="shared" si="47"/>
        <v>31.684161765893183</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2:80">
      <c r="B104" s="9" t="s">
        <v>1096</v>
      </c>
      <c r="C104" s="57" t="s">
        <v>1097</v>
      </c>
      <c r="D104" s="57" t="s">
        <v>1098</v>
      </c>
      <c r="E104" s="36">
        <f>DSUM($B$59:$X$71,E$59,$C$78:$D104)</f>
        <v>1.5142974398867781E-2</v>
      </c>
      <c r="F104" s="36">
        <f>DSUM($B$59:$X$71,F$59,$C$78:$D104)</f>
        <v>3.9648470249564215E-2</v>
      </c>
      <c r="G104" s="36">
        <f>DSUM($B$59:$X$71,G$59,$C$78:$D104)</f>
        <v>8.7735042094047477E-2</v>
      </c>
      <c r="H104" s="36">
        <f>DSUM($B$59:$X$71,H$59,$C$78:$D104)</f>
        <v>0.1715239499056084</v>
      </c>
      <c r="I104" s="36">
        <f>DSUM($B$59:$X$71,I$59,$C$78:$D104)</f>
        <v>0.33302114898930613</v>
      </c>
      <c r="J104" s="36">
        <f>DSUM($B$59:$X$71,J$59,$C$78:$D104)</f>
        <v>0.51296859200403677</v>
      </c>
      <c r="K104" s="36">
        <f>DSUM($B$59:$X$71,K$59,$C$78:$D104)</f>
        <v>0.743685107714259</v>
      </c>
      <c r="L104" s="36">
        <f>DSUM($B$59:$X$71,L$59,$C$78:$D104)</f>
        <v>1.0287977969206934</v>
      </c>
      <c r="M104" s="36">
        <f>DSUM($B$59:$X$71,M$59,$C$78:$D104)</f>
        <v>1.3322858889010429</v>
      </c>
      <c r="N104" s="36">
        <f>DSUM($B$59:$X$71,N$59,$C$78:$D104)</f>
        <v>1.6735544215854006</v>
      </c>
      <c r="O104" s="36">
        <f>DSUM($B$59:$X$71,O$59,$C$78:$D104)</f>
        <v>1.982006179008599</v>
      </c>
      <c r="P104" s="36">
        <f>DSUM($B$59:$X$71,P$59,$C$78:$D104)</f>
        <v>2.2225440455800753</v>
      </c>
      <c r="Q104" s="36">
        <f>DSUM($B$59:$X$71,Q$59,$C$78:$D104)</f>
        <v>2.3881069511657373</v>
      </c>
      <c r="R104" s="36">
        <f>DSUM($B$59:$X$71,R$59,$C$78:$D104)</f>
        <v>2.5537592972639724</v>
      </c>
      <c r="S104" s="36">
        <f>DSUM($B$59:$X$71,S$59,$C$78:$D104)</f>
        <v>2.6997069210588829</v>
      </c>
      <c r="T104" s="36">
        <f>DSUM($B$59:$X$71,T$59,$C$78:$D104)</f>
        <v>2.7676731198832298</v>
      </c>
      <c r="U104" s="36">
        <f>DSUM($B$59:$X$71,U$59,$C$78:$D104)</f>
        <v>2.7436158948124882</v>
      </c>
      <c r="V104" s="36">
        <f>DSUM($B$59:$X$71,V$59,$C$78:$D104)</f>
        <v>2.7707984198146582</v>
      </c>
      <c r="W104" s="36">
        <f>DSUM($B$59:$X$71,W$59,$C$78:$D104)</f>
        <v>2.7930876890586465</v>
      </c>
      <c r="X104" s="36">
        <f>DSUM($B$59:$X$71,X$59,$C$78:$D104)</f>
        <v>2.8244998554840679</v>
      </c>
      <c r="Y104" s="36">
        <f t="shared" si="47"/>
        <v>31.684161765893183</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2:80">
      <c r="B105" s="9" t="s">
        <v>1099</v>
      </c>
      <c r="C105" s="57" t="s">
        <v>1100</v>
      </c>
      <c r="D105" s="57" t="s">
        <v>1101</v>
      </c>
      <c r="E105" s="36">
        <f>DSUM($B$59:$X$71,E$59,$C$78:$D105)</f>
        <v>1.5142974398867781E-2</v>
      </c>
      <c r="F105" s="36">
        <f>DSUM($B$59:$X$71,F$59,$C$78:$D105)</f>
        <v>3.9648470249564215E-2</v>
      </c>
      <c r="G105" s="36">
        <f>DSUM($B$59:$X$71,G$59,$C$78:$D105)</f>
        <v>8.7735042094047477E-2</v>
      </c>
      <c r="H105" s="36">
        <f>DSUM($B$59:$X$71,H$59,$C$78:$D105)</f>
        <v>0.1715239499056084</v>
      </c>
      <c r="I105" s="36">
        <f>DSUM($B$59:$X$71,I$59,$C$78:$D105)</f>
        <v>0.33302114898930613</v>
      </c>
      <c r="J105" s="36">
        <f>DSUM($B$59:$X$71,J$59,$C$78:$D105)</f>
        <v>0.51296859200403677</v>
      </c>
      <c r="K105" s="36">
        <f>DSUM($B$59:$X$71,K$59,$C$78:$D105)</f>
        <v>0.743685107714259</v>
      </c>
      <c r="L105" s="36">
        <f>DSUM($B$59:$X$71,L$59,$C$78:$D105)</f>
        <v>1.0287977969206934</v>
      </c>
      <c r="M105" s="36">
        <f>DSUM($B$59:$X$71,M$59,$C$78:$D105)</f>
        <v>1.3322858889010429</v>
      </c>
      <c r="N105" s="36">
        <f>DSUM($B$59:$X$71,N$59,$C$78:$D105)</f>
        <v>1.6735544215854006</v>
      </c>
      <c r="O105" s="36">
        <f>DSUM($B$59:$X$71,O$59,$C$78:$D105)</f>
        <v>1.982006179008599</v>
      </c>
      <c r="P105" s="36">
        <f>DSUM($B$59:$X$71,P$59,$C$78:$D105)</f>
        <v>2.2225440455800753</v>
      </c>
      <c r="Q105" s="36">
        <f>DSUM($B$59:$X$71,Q$59,$C$78:$D105)</f>
        <v>2.3881069511657373</v>
      </c>
      <c r="R105" s="36">
        <f>DSUM($B$59:$X$71,R$59,$C$78:$D105)</f>
        <v>2.5537592972639724</v>
      </c>
      <c r="S105" s="36">
        <f>DSUM($B$59:$X$71,S$59,$C$78:$D105)</f>
        <v>2.6997069210588829</v>
      </c>
      <c r="T105" s="36">
        <f>DSUM($B$59:$X$71,T$59,$C$78:$D105)</f>
        <v>2.7676731198832298</v>
      </c>
      <c r="U105" s="36">
        <f>DSUM($B$59:$X$71,U$59,$C$78:$D105)</f>
        <v>2.7436158948124882</v>
      </c>
      <c r="V105" s="36">
        <f>DSUM($B$59:$X$71,V$59,$C$78:$D105)</f>
        <v>2.7707984198146582</v>
      </c>
      <c r="W105" s="36">
        <f>DSUM($B$59:$X$71,W$59,$C$78:$D105)</f>
        <v>2.7930876890586465</v>
      </c>
      <c r="X105" s="36">
        <f>DSUM($B$59:$X$71,X$59,$C$78:$D105)</f>
        <v>2.8244998554840679</v>
      </c>
      <c r="Y105" s="36">
        <f t="shared" si="47"/>
        <v>31.684161765893183</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2:80">
      <c r="B106" s="9" t="s">
        <v>1102</v>
      </c>
      <c r="C106" s="57" t="s">
        <v>1103</v>
      </c>
      <c r="D106" s="57" t="s">
        <v>1104</v>
      </c>
      <c r="E106" s="36">
        <f>DSUM($B$59:$X$71,E$59,$C$78:$D106)</f>
        <v>1.5142974398867781E-2</v>
      </c>
      <c r="F106" s="36">
        <f>DSUM($B$59:$X$71,F$59,$C$78:$D106)</f>
        <v>3.9648470249564215E-2</v>
      </c>
      <c r="G106" s="36">
        <f>DSUM($B$59:$X$71,G$59,$C$78:$D106)</f>
        <v>8.7735042094047477E-2</v>
      </c>
      <c r="H106" s="36">
        <f>DSUM($B$59:$X$71,H$59,$C$78:$D106)</f>
        <v>0.1715239499056084</v>
      </c>
      <c r="I106" s="36">
        <f>DSUM($B$59:$X$71,I$59,$C$78:$D106)</f>
        <v>0.33302114898930613</v>
      </c>
      <c r="J106" s="36">
        <f>DSUM($B$59:$X$71,J$59,$C$78:$D106)</f>
        <v>0.51296859200403677</v>
      </c>
      <c r="K106" s="36">
        <f>DSUM($B$59:$X$71,K$59,$C$78:$D106)</f>
        <v>0.743685107714259</v>
      </c>
      <c r="L106" s="36">
        <f>DSUM($B$59:$X$71,L$59,$C$78:$D106)</f>
        <v>1.0287977969206934</v>
      </c>
      <c r="M106" s="36">
        <f>DSUM($B$59:$X$71,M$59,$C$78:$D106)</f>
        <v>1.3322858889010429</v>
      </c>
      <c r="N106" s="36">
        <f>DSUM($B$59:$X$71,N$59,$C$78:$D106)</f>
        <v>1.6735544215854006</v>
      </c>
      <c r="O106" s="36">
        <f>DSUM($B$59:$X$71,O$59,$C$78:$D106)</f>
        <v>1.982006179008599</v>
      </c>
      <c r="P106" s="36">
        <f>DSUM($B$59:$X$71,P$59,$C$78:$D106)</f>
        <v>2.2225440455800753</v>
      </c>
      <c r="Q106" s="36">
        <f>DSUM($B$59:$X$71,Q$59,$C$78:$D106)</f>
        <v>2.3881069511657373</v>
      </c>
      <c r="R106" s="36">
        <f>DSUM($B$59:$X$71,R$59,$C$78:$D106)</f>
        <v>2.5537592972639724</v>
      </c>
      <c r="S106" s="36">
        <f>DSUM($B$59:$X$71,S$59,$C$78:$D106)</f>
        <v>2.6997069210588829</v>
      </c>
      <c r="T106" s="36">
        <f>DSUM($B$59:$X$71,T$59,$C$78:$D106)</f>
        <v>2.7676731198832298</v>
      </c>
      <c r="U106" s="36">
        <f>DSUM($B$59:$X$71,U$59,$C$78:$D106)</f>
        <v>2.7436158948124882</v>
      </c>
      <c r="V106" s="36">
        <f>DSUM($B$59:$X$71,V$59,$C$78:$D106)</f>
        <v>2.7707984198146582</v>
      </c>
      <c r="W106" s="36">
        <f>DSUM($B$59:$X$71,W$59,$C$78:$D106)</f>
        <v>2.7930876890586465</v>
      </c>
      <c r="X106" s="36">
        <f>DSUM($B$59:$X$71,X$59,$C$78:$D106)</f>
        <v>2.8244998554840679</v>
      </c>
      <c r="Y106" s="36">
        <f t="shared" si="47"/>
        <v>31.684161765893183</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2:80">
      <c r="B107" s="9" t="s">
        <v>1105</v>
      </c>
      <c r="C107" s="57" t="s">
        <v>1106</v>
      </c>
      <c r="D107" s="57" t="s">
        <v>1107</v>
      </c>
      <c r="E107" s="36">
        <f>DSUM($B$59:$X$71,E$59,$C$78:$D107)</f>
        <v>1.5142974398867781E-2</v>
      </c>
      <c r="F107" s="36">
        <f>DSUM($B$59:$X$71,F$59,$C$78:$D107)</f>
        <v>3.9648470249564215E-2</v>
      </c>
      <c r="G107" s="36">
        <f>DSUM($B$59:$X$71,G$59,$C$78:$D107)</f>
        <v>8.7735042094047477E-2</v>
      </c>
      <c r="H107" s="36">
        <f>DSUM($B$59:$X$71,H$59,$C$78:$D107)</f>
        <v>0.1715239499056084</v>
      </c>
      <c r="I107" s="36">
        <f>DSUM($B$59:$X$71,I$59,$C$78:$D107)</f>
        <v>0.33302114898930613</v>
      </c>
      <c r="J107" s="36">
        <f>DSUM($B$59:$X$71,J$59,$C$78:$D107)</f>
        <v>0.51296859200403677</v>
      </c>
      <c r="K107" s="36">
        <f>DSUM($B$59:$X$71,K$59,$C$78:$D107)</f>
        <v>0.743685107714259</v>
      </c>
      <c r="L107" s="36">
        <f>DSUM($B$59:$X$71,L$59,$C$78:$D107)</f>
        <v>1.0287977969206934</v>
      </c>
      <c r="M107" s="36">
        <f>DSUM($B$59:$X$71,M$59,$C$78:$D107)</f>
        <v>1.3322858889010429</v>
      </c>
      <c r="N107" s="36">
        <f>DSUM($B$59:$X$71,N$59,$C$78:$D107)</f>
        <v>1.6735544215854006</v>
      </c>
      <c r="O107" s="36">
        <f>DSUM($B$59:$X$71,O$59,$C$78:$D107)</f>
        <v>1.982006179008599</v>
      </c>
      <c r="P107" s="36">
        <f>DSUM($B$59:$X$71,P$59,$C$78:$D107)</f>
        <v>2.2225440455800753</v>
      </c>
      <c r="Q107" s="36">
        <f>DSUM($B$59:$X$71,Q$59,$C$78:$D107)</f>
        <v>2.3881069511657373</v>
      </c>
      <c r="R107" s="36">
        <f>DSUM($B$59:$X$71,R$59,$C$78:$D107)</f>
        <v>2.5537592972639724</v>
      </c>
      <c r="S107" s="36">
        <f>DSUM($B$59:$X$71,S$59,$C$78:$D107)</f>
        <v>2.6997069210588829</v>
      </c>
      <c r="T107" s="36">
        <f>DSUM($B$59:$X$71,T$59,$C$78:$D107)</f>
        <v>2.7676731198832298</v>
      </c>
      <c r="U107" s="36">
        <f>DSUM($B$59:$X$71,U$59,$C$78:$D107)</f>
        <v>2.7436158948124882</v>
      </c>
      <c r="V107" s="36">
        <f>DSUM($B$59:$X$71,V$59,$C$78:$D107)</f>
        <v>2.7707984198146582</v>
      </c>
      <c r="W107" s="36">
        <f>DSUM($B$59:$X$71,W$59,$C$78:$D107)</f>
        <v>2.7930876890586465</v>
      </c>
      <c r="X107" s="36">
        <f>DSUM($B$59:$X$71,X$59,$C$78:$D107)</f>
        <v>2.8244998554840679</v>
      </c>
      <c r="Y107" s="36">
        <f t="shared" si="47"/>
        <v>31.684161765893183</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2:80">
      <c r="B108" s="9" t="s">
        <v>1108</v>
      </c>
      <c r="C108" s="57" t="s">
        <v>1109</v>
      </c>
      <c r="D108" s="57" t="s">
        <v>1110</v>
      </c>
      <c r="E108" s="36">
        <f>DSUM($B$59:$X$71,E$59,$C$78:$D108)</f>
        <v>1.5142974398867781E-2</v>
      </c>
      <c r="F108" s="36">
        <f>DSUM($B$59:$X$71,F$59,$C$78:$D108)</f>
        <v>3.9648470249564215E-2</v>
      </c>
      <c r="G108" s="36">
        <f>DSUM($B$59:$X$71,G$59,$C$78:$D108)</f>
        <v>8.7735042094047477E-2</v>
      </c>
      <c r="H108" s="36">
        <f>DSUM($B$59:$X$71,H$59,$C$78:$D108)</f>
        <v>0.1715239499056084</v>
      </c>
      <c r="I108" s="36">
        <f>DSUM($B$59:$X$71,I$59,$C$78:$D108)</f>
        <v>0.33302114898930613</v>
      </c>
      <c r="J108" s="36">
        <f>DSUM($B$59:$X$71,J$59,$C$78:$D108)</f>
        <v>0.51296859200403677</v>
      </c>
      <c r="K108" s="36">
        <f>DSUM($B$59:$X$71,K$59,$C$78:$D108)</f>
        <v>0.743685107714259</v>
      </c>
      <c r="L108" s="36">
        <f>DSUM($B$59:$X$71,L$59,$C$78:$D108)</f>
        <v>1.0287977969206934</v>
      </c>
      <c r="M108" s="36">
        <f>DSUM($B$59:$X$71,M$59,$C$78:$D108)</f>
        <v>1.3322858889010429</v>
      </c>
      <c r="N108" s="36">
        <f>DSUM($B$59:$X$71,N$59,$C$78:$D108)</f>
        <v>1.6735544215854006</v>
      </c>
      <c r="O108" s="36">
        <f>DSUM($B$59:$X$71,O$59,$C$78:$D108)</f>
        <v>1.982006179008599</v>
      </c>
      <c r="P108" s="36">
        <f>DSUM($B$59:$X$71,P$59,$C$78:$D108)</f>
        <v>2.2225440455800753</v>
      </c>
      <c r="Q108" s="36">
        <f>DSUM($B$59:$X$71,Q$59,$C$78:$D108)</f>
        <v>2.3881069511657373</v>
      </c>
      <c r="R108" s="36">
        <f>DSUM($B$59:$X$71,R$59,$C$78:$D108)</f>
        <v>2.5537592972639724</v>
      </c>
      <c r="S108" s="36">
        <f>DSUM($B$59:$X$71,S$59,$C$78:$D108)</f>
        <v>2.6997069210588829</v>
      </c>
      <c r="T108" s="36">
        <f>DSUM($B$59:$X$71,T$59,$C$78:$D108)</f>
        <v>2.7676731198832298</v>
      </c>
      <c r="U108" s="36">
        <f>DSUM($B$59:$X$71,U$59,$C$78:$D108)</f>
        <v>2.7436158948124882</v>
      </c>
      <c r="V108" s="36">
        <f>DSUM($B$59:$X$71,V$59,$C$78:$D108)</f>
        <v>2.7707984198146582</v>
      </c>
      <c r="W108" s="36">
        <f>DSUM($B$59:$X$71,W$59,$C$78:$D108)</f>
        <v>2.7930876890586465</v>
      </c>
      <c r="X108" s="36">
        <f>DSUM($B$59:$X$71,X$59,$C$78:$D108)</f>
        <v>2.8244998554840679</v>
      </c>
      <c r="Y108" s="36">
        <f t="shared" si="47"/>
        <v>31.684161765893183</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2:80">
      <c r="B109" s="9" t="s">
        <v>1111</v>
      </c>
      <c r="C109" s="57" t="s">
        <v>1112</v>
      </c>
      <c r="D109" s="57" t="s">
        <v>1113</v>
      </c>
      <c r="E109" s="36">
        <f>DSUM($B$59:$X$71,E$59,$C$78:$D109)</f>
        <v>1.5142974398867781E-2</v>
      </c>
      <c r="F109" s="36">
        <f>DSUM($B$59:$X$71,F$59,$C$78:$D109)</f>
        <v>3.9648470249564215E-2</v>
      </c>
      <c r="G109" s="36">
        <f>DSUM($B$59:$X$71,G$59,$C$78:$D109)</f>
        <v>8.7735042094047477E-2</v>
      </c>
      <c r="H109" s="36">
        <f>DSUM($B$59:$X$71,H$59,$C$78:$D109)</f>
        <v>0.1715239499056084</v>
      </c>
      <c r="I109" s="36">
        <f>DSUM($B$59:$X$71,I$59,$C$78:$D109)</f>
        <v>0.33302114898930613</v>
      </c>
      <c r="J109" s="36">
        <f>DSUM($B$59:$X$71,J$59,$C$78:$D109)</f>
        <v>0.51296859200403677</v>
      </c>
      <c r="K109" s="36">
        <f>DSUM($B$59:$X$71,K$59,$C$78:$D109)</f>
        <v>0.743685107714259</v>
      </c>
      <c r="L109" s="36">
        <f>DSUM($B$59:$X$71,L$59,$C$78:$D109)</f>
        <v>1.0287977969206934</v>
      </c>
      <c r="M109" s="36">
        <f>DSUM($B$59:$X$71,M$59,$C$78:$D109)</f>
        <v>1.3322858889010429</v>
      </c>
      <c r="N109" s="36">
        <f>DSUM($B$59:$X$71,N$59,$C$78:$D109)</f>
        <v>1.6735544215854006</v>
      </c>
      <c r="O109" s="36">
        <f>DSUM($B$59:$X$71,O$59,$C$78:$D109)</f>
        <v>1.982006179008599</v>
      </c>
      <c r="P109" s="36">
        <f>DSUM($B$59:$X$71,P$59,$C$78:$D109)</f>
        <v>2.2225440455800753</v>
      </c>
      <c r="Q109" s="36">
        <f>DSUM($B$59:$X$71,Q$59,$C$78:$D109)</f>
        <v>2.3881069511657373</v>
      </c>
      <c r="R109" s="36">
        <f>DSUM($B$59:$X$71,R$59,$C$78:$D109)</f>
        <v>2.5537592972639724</v>
      </c>
      <c r="S109" s="36">
        <f>DSUM($B$59:$X$71,S$59,$C$78:$D109)</f>
        <v>2.6997069210588829</v>
      </c>
      <c r="T109" s="36">
        <f>DSUM($B$59:$X$71,T$59,$C$78:$D109)</f>
        <v>2.7676731198832298</v>
      </c>
      <c r="U109" s="36">
        <f>DSUM($B$59:$X$71,U$59,$C$78:$D109)</f>
        <v>2.7436158948124882</v>
      </c>
      <c r="V109" s="36">
        <f>DSUM($B$59:$X$71,V$59,$C$78:$D109)</f>
        <v>2.7707984198146582</v>
      </c>
      <c r="W109" s="36">
        <f>DSUM($B$59:$X$71,W$59,$C$78:$D109)</f>
        <v>2.7930876890586465</v>
      </c>
      <c r="X109" s="36">
        <f>DSUM($B$59:$X$71,X$59,$C$78:$D109)</f>
        <v>2.8244998554840679</v>
      </c>
      <c r="Y109" s="36">
        <f t="shared" si="47"/>
        <v>31.684161765893183</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2:80">
      <c r="B110" s="9" t="s">
        <v>1114</v>
      </c>
      <c r="C110" s="57" t="s">
        <v>1115</v>
      </c>
      <c r="D110" s="57" t="s">
        <v>135</v>
      </c>
      <c r="E110" s="36">
        <f>DSUM($B$59:$X$71,E$59,$C$78:$D110)</f>
        <v>1.5142974398867781E-2</v>
      </c>
      <c r="F110" s="36">
        <f>DSUM($B$59:$X$71,F$59,$C$78:$D110)</f>
        <v>3.9648470249564215E-2</v>
      </c>
      <c r="G110" s="36">
        <f>DSUM($B$59:$X$71,G$59,$C$78:$D110)</f>
        <v>8.7735042094047477E-2</v>
      </c>
      <c r="H110" s="36">
        <f>DSUM($B$59:$X$71,H$59,$C$78:$D110)</f>
        <v>0.1715239499056084</v>
      </c>
      <c r="I110" s="36">
        <f>DSUM($B$59:$X$71,I$59,$C$78:$D110)</f>
        <v>0.33302114898930613</v>
      </c>
      <c r="J110" s="36">
        <f>DSUM($B$59:$X$71,J$59,$C$78:$D110)</f>
        <v>0.51296859200403677</v>
      </c>
      <c r="K110" s="36">
        <f>DSUM($B$59:$X$71,K$59,$C$78:$D110)</f>
        <v>0.743685107714259</v>
      </c>
      <c r="L110" s="36">
        <f>DSUM($B$59:$X$71,L$59,$C$78:$D110)</f>
        <v>1.0287977969206934</v>
      </c>
      <c r="M110" s="36">
        <f>DSUM($B$59:$X$71,M$59,$C$78:$D110)</f>
        <v>1.3322858889010429</v>
      </c>
      <c r="N110" s="36">
        <f>DSUM($B$59:$X$71,N$59,$C$78:$D110)</f>
        <v>1.6735544215854006</v>
      </c>
      <c r="O110" s="36">
        <f>DSUM($B$59:$X$71,O$59,$C$78:$D110)</f>
        <v>1.982006179008599</v>
      </c>
      <c r="P110" s="36">
        <f>DSUM($B$59:$X$71,P$59,$C$78:$D110)</f>
        <v>2.2225440455800753</v>
      </c>
      <c r="Q110" s="36">
        <f>DSUM($B$59:$X$71,Q$59,$C$78:$D110)</f>
        <v>2.3881069511657373</v>
      </c>
      <c r="R110" s="36">
        <f>DSUM($B$59:$X$71,R$59,$C$78:$D110)</f>
        <v>2.5537592972639724</v>
      </c>
      <c r="S110" s="36">
        <f>DSUM($B$59:$X$71,S$59,$C$78:$D110)</f>
        <v>2.6997069210588829</v>
      </c>
      <c r="T110" s="36">
        <f>DSUM($B$59:$X$71,T$59,$C$78:$D110)</f>
        <v>2.7676731198832298</v>
      </c>
      <c r="U110" s="36">
        <f>DSUM($B$59:$X$71,U$59,$C$78:$D110)</f>
        <v>2.7436158948124882</v>
      </c>
      <c r="V110" s="36">
        <f>DSUM($B$59:$X$71,V$59,$C$78:$D110)</f>
        <v>2.7707984198146582</v>
      </c>
      <c r="W110" s="36">
        <f>DSUM($B$59:$X$71,W$59,$C$78:$D110)</f>
        <v>2.7930876890586465</v>
      </c>
      <c r="X110" s="36">
        <f>DSUM($B$59:$X$71,X$59,$C$78:$D110)</f>
        <v>2.8244998554840679</v>
      </c>
      <c r="Y110" s="36">
        <f t="shared" si="47"/>
        <v>31.684161765893183</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2:80">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2:80">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ht="15">
      <c r="A113" s="62" t="s">
        <v>136</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ht="15">
      <c r="C114" s="71" t="s">
        <v>142</v>
      </c>
      <c r="D114" s="71"/>
      <c r="E114" s="65">
        <f t="shared" ref="E114:X114" si="48">E11</f>
        <v>2016</v>
      </c>
      <c r="F114" s="66">
        <f t="shared" si="48"/>
        <v>2017</v>
      </c>
      <c r="G114" s="66">
        <f t="shared" si="48"/>
        <v>2018</v>
      </c>
      <c r="H114" s="66">
        <f t="shared" si="48"/>
        <v>2019</v>
      </c>
      <c r="I114" s="66">
        <f t="shared" si="48"/>
        <v>2020</v>
      </c>
      <c r="J114" s="66">
        <f t="shared" si="48"/>
        <v>2021</v>
      </c>
      <c r="K114" s="66">
        <f t="shared" si="48"/>
        <v>2022</v>
      </c>
      <c r="L114" s="66">
        <f t="shared" si="48"/>
        <v>2023</v>
      </c>
      <c r="M114" s="66">
        <f t="shared" si="48"/>
        <v>2024</v>
      </c>
      <c r="N114" s="66">
        <f t="shared" si="48"/>
        <v>2025</v>
      </c>
      <c r="O114" s="66">
        <f t="shared" si="48"/>
        <v>2026</v>
      </c>
      <c r="P114" s="66">
        <f t="shared" si="48"/>
        <v>2027</v>
      </c>
      <c r="Q114" s="66">
        <f t="shared" si="48"/>
        <v>2028</v>
      </c>
      <c r="R114" s="66">
        <f t="shared" si="48"/>
        <v>2029</v>
      </c>
      <c r="S114" s="66">
        <f t="shared" si="48"/>
        <v>2030</v>
      </c>
      <c r="T114" s="66">
        <f t="shared" si="48"/>
        <v>2031</v>
      </c>
      <c r="U114" s="66">
        <f t="shared" si="48"/>
        <v>2032</v>
      </c>
      <c r="V114" s="66">
        <f t="shared" si="48"/>
        <v>2033</v>
      </c>
      <c r="W114" s="66">
        <f t="shared" si="48"/>
        <v>2034</v>
      </c>
      <c r="X114" s="66">
        <f t="shared" si="48"/>
        <v>2035</v>
      </c>
      <c r="Y114" s="67" t="s">
        <v>61</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ht="15">
      <c r="C115" s="71" t="str">
        <f>C8</f>
        <v>Advanced Power Strips</v>
      </c>
      <c r="D115" s="71"/>
      <c r="E115" s="68" t="str">
        <f>CONCATENATE("aMW_",E$11)</f>
        <v>aMW_2016</v>
      </c>
      <c r="F115" s="69" t="str">
        <f t="shared" ref="F115:X115" si="49">CONCATENATE("aMW_",F$11)</f>
        <v>aMW_2017</v>
      </c>
      <c r="G115" s="69" t="str">
        <f t="shared" si="49"/>
        <v>aMW_2018</v>
      </c>
      <c r="H115" s="69" t="str">
        <f t="shared" si="49"/>
        <v>aMW_2019</v>
      </c>
      <c r="I115" s="69" t="str">
        <f t="shared" si="49"/>
        <v>aMW_2020</v>
      </c>
      <c r="J115" s="69" t="str">
        <f t="shared" si="49"/>
        <v>aMW_2021</v>
      </c>
      <c r="K115" s="69" t="str">
        <f t="shared" si="49"/>
        <v>aMW_2022</v>
      </c>
      <c r="L115" s="69" t="str">
        <f t="shared" si="49"/>
        <v>aMW_2023</v>
      </c>
      <c r="M115" s="69" t="str">
        <f t="shared" si="49"/>
        <v>aMW_2024</v>
      </c>
      <c r="N115" s="69" t="str">
        <f t="shared" si="49"/>
        <v>aMW_2025</v>
      </c>
      <c r="O115" s="69" t="str">
        <f t="shared" si="49"/>
        <v>aMW_2026</v>
      </c>
      <c r="P115" s="69" t="str">
        <f t="shared" si="49"/>
        <v>aMW_2027</v>
      </c>
      <c r="Q115" s="69" t="str">
        <f t="shared" si="49"/>
        <v>aMW_2028</v>
      </c>
      <c r="R115" s="69" t="str">
        <f t="shared" si="49"/>
        <v>aMW_2029</v>
      </c>
      <c r="S115" s="69" t="str">
        <f t="shared" si="49"/>
        <v>aMW_2030</v>
      </c>
      <c r="T115" s="69" t="str">
        <f t="shared" si="49"/>
        <v>aMW_2031</v>
      </c>
      <c r="U115" s="69" t="str">
        <f t="shared" si="49"/>
        <v>aMW_2032</v>
      </c>
      <c r="V115" s="69" t="str">
        <f t="shared" si="49"/>
        <v>aMW_2033</v>
      </c>
      <c r="W115" s="69" t="str">
        <f t="shared" si="49"/>
        <v>aMW_2034</v>
      </c>
      <c r="X115" s="69" t="str">
        <f t="shared" si="49"/>
        <v>aMW_2035</v>
      </c>
      <c r="Y115" s="70" t="s">
        <v>61</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c r="C116" s="9" t="s">
        <v>70</v>
      </c>
      <c r="E116" s="36">
        <f t="shared" ref="E116:X116" si="50">E79</f>
        <v>5.4035935634138752E-4</v>
      </c>
      <c r="F116" s="36">
        <f t="shared" si="50"/>
        <v>1.3238186906390169E-3</v>
      </c>
      <c r="G116" s="36">
        <f t="shared" si="50"/>
        <v>2.7833413913727388E-3</v>
      </c>
      <c r="H116" s="36">
        <f t="shared" si="50"/>
        <v>5.2361684500893905E-3</v>
      </c>
      <c r="I116" s="36">
        <f t="shared" si="50"/>
        <v>8.8499400407591744E-3</v>
      </c>
      <c r="J116" s="36">
        <f t="shared" si="50"/>
        <v>1.3453141034417684E-2</v>
      </c>
      <c r="K116" s="36">
        <f t="shared" si="50"/>
        <v>1.9245377190476823E-2</v>
      </c>
      <c r="L116" s="36">
        <f t="shared" si="50"/>
        <v>2.625960748792321E-2</v>
      </c>
      <c r="M116" s="36">
        <f t="shared" si="50"/>
        <v>3.3531587991361259E-2</v>
      </c>
      <c r="N116" s="36">
        <f t="shared" si="50"/>
        <v>4.1567477003453958E-2</v>
      </c>
      <c r="O116" s="36">
        <f t="shared" si="50"/>
        <v>4.8606204465624143E-2</v>
      </c>
      <c r="P116" s="36">
        <f t="shared" si="50"/>
        <v>5.3784485558821829E-2</v>
      </c>
      <c r="Q116" s="36">
        <f t="shared" si="50"/>
        <v>5.7005844155526501E-2</v>
      </c>
      <c r="R116" s="36">
        <f t="shared" si="50"/>
        <v>6.0201278386000159E-2</v>
      </c>
      <c r="S116" s="36">
        <f t="shared" si="50"/>
        <v>6.2868596423847331E-2</v>
      </c>
      <c r="T116" s="36">
        <f t="shared" si="50"/>
        <v>6.3608470602741329E-2</v>
      </c>
      <c r="U116" s="36">
        <f t="shared" si="50"/>
        <v>6.2159191744412097E-2</v>
      </c>
      <c r="V116" s="36">
        <f t="shared" si="50"/>
        <v>6.1933827442759243E-2</v>
      </c>
      <c r="W116" s="36">
        <f t="shared" si="50"/>
        <v>6.1599078632747814E-2</v>
      </c>
      <c r="X116" s="36">
        <f t="shared" si="50"/>
        <v>6.2183360009111434E-2</v>
      </c>
      <c r="Y116" s="36">
        <f>SUM(E116:X116)</f>
        <v>0.7467411560584265</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c r="C117" s="9" t="s">
        <v>1123</v>
      </c>
      <c r="E117" s="36">
        <f t="shared" ref="E117:X129" si="51">E80-E79</f>
        <v>0</v>
      </c>
      <c r="F117" s="36">
        <f t="shared" si="51"/>
        <v>0</v>
      </c>
      <c r="G117" s="36">
        <f t="shared" si="51"/>
        <v>0</v>
      </c>
      <c r="H117" s="36">
        <f t="shared" si="51"/>
        <v>0</v>
      </c>
      <c r="I117" s="36">
        <f t="shared" si="51"/>
        <v>0</v>
      </c>
      <c r="J117" s="36">
        <f t="shared" si="51"/>
        <v>0</v>
      </c>
      <c r="K117" s="36">
        <f t="shared" si="51"/>
        <v>0</v>
      </c>
      <c r="L117" s="36">
        <f t="shared" si="51"/>
        <v>0</v>
      </c>
      <c r="M117" s="36">
        <f t="shared" si="51"/>
        <v>0</v>
      </c>
      <c r="N117" s="36">
        <f t="shared" si="51"/>
        <v>0</v>
      </c>
      <c r="O117" s="36">
        <f t="shared" si="51"/>
        <v>0</v>
      </c>
      <c r="P117" s="36">
        <f t="shared" si="51"/>
        <v>0</v>
      </c>
      <c r="Q117" s="36">
        <f t="shared" si="51"/>
        <v>0</v>
      </c>
      <c r="R117" s="36">
        <f t="shared" si="51"/>
        <v>0</v>
      </c>
      <c r="S117" s="36">
        <f t="shared" si="51"/>
        <v>0</v>
      </c>
      <c r="T117" s="36">
        <f t="shared" si="51"/>
        <v>0</v>
      </c>
      <c r="U117" s="36">
        <f t="shared" si="51"/>
        <v>0</v>
      </c>
      <c r="V117" s="36">
        <f t="shared" si="51"/>
        <v>0</v>
      </c>
      <c r="W117" s="36">
        <f t="shared" si="51"/>
        <v>0</v>
      </c>
      <c r="X117" s="36">
        <f t="shared" si="51"/>
        <v>0</v>
      </c>
      <c r="Y117" s="36">
        <f t="shared" ref="Y117:Y136" si="52">SUM(E117:X117)</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c r="C118" s="9" t="s">
        <v>76</v>
      </c>
      <c r="E118" s="36">
        <f t="shared" si="51"/>
        <v>0</v>
      </c>
      <c r="F118" s="36">
        <f t="shared" si="51"/>
        <v>0</v>
      </c>
      <c r="G118" s="36">
        <f t="shared" si="51"/>
        <v>0</v>
      </c>
      <c r="H118" s="36">
        <f t="shared" si="51"/>
        <v>0</v>
      </c>
      <c r="I118" s="36">
        <f t="shared" si="51"/>
        <v>0</v>
      </c>
      <c r="J118" s="36">
        <f t="shared" si="51"/>
        <v>0</v>
      </c>
      <c r="K118" s="36">
        <f t="shared" si="51"/>
        <v>0</v>
      </c>
      <c r="L118" s="36">
        <f t="shared" si="51"/>
        <v>0</v>
      </c>
      <c r="M118" s="36">
        <f t="shared" si="51"/>
        <v>0</v>
      </c>
      <c r="N118" s="36">
        <f t="shared" si="51"/>
        <v>0</v>
      </c>
      <c r="O118" s="36">
        <f t="shared" si="51"/>
        <v>0</v>
      </c>
      <c r="P118" s="36">
        <f t="shared" si="51"/>
        <v>0</v>
      </c>
      <c r="Q118" s="36">
        <f t="shared" si="51"/>
        <v>0</v>
      </c>
      <c r="R118" s="36">
        <f t="shared" si="51"/>
        <v>0</v>
      </c>
      <c r="S118" s="36">
        <f t="shared" si="51"/>
        <v>0</v>
      </c>
      <c r="T118" s="36">
        <f t="shared" si="51"/>
        <v>0</v>
      </c>
      <c r="U118" s="36">
        <f t="shared" si="51"/>
        <v>0</v>
      </c>
      <c r="V118" s="36">
        <f t="shared" si="51"/>
        <v>0</v>
      </c>
      <c r="W118" s="36">
        <f t="shared" si="51"/>
        <v>0</v>
      </c>
      <c r="X118" s="36">
        <f t="shared" si="51"/>
        <v>0</v>
      </c>
      <c r="Y118" s="36">
        <f t="shared" si="52"/>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c r="C119" s="9" t="s">
        <v>79</v>
      </c>
      <c r="E119" s="36">
        <f t="shared" si="51"/>
        <v>0</v>
      </c>
      <c r="F119" s="36">
        <f t="shared" si="51"/>
        <v>0</v>
      </c>
      <c r="G119" s="36">
        <f t="shared" si="51"/>
        <v>0</v>
      </c>
      <c r="H119" s="36">
        <f t="shared" si="51"/>
        <v>0</v>
      </c>
      <c r="I119" s="36">
        <f t="shared" si="51"/>
        <v>0</v>
      </c>
      <c r="J119" s="36">
        <f t="shared" si="51"/>
        <v>0</v>
      </c>
      <c r="K119" s="36">
        <f t="shared" si="51"/>
        <v>0</v>
      </c>
      <c r="L119" s="36">
        <f t="shared" si="51"/>
        <v>0</v>
      </c>
      <c r="M119" s="36">
        <f t="shared" si="51"/>
        <v>0</v>
      </c>
      <c r="N119" s="36">
        <f t="shared" si="51"/>
        <v>0</v>
      </c>
      <c r="O119" s="36">
        <f t="shared" si="51"/>
        <v>0</v>
      </c>
      <c r="P119" s="36">
        <f t="shared" si="51"/>
        <v>0</v>
      </c>
      <c r="Q119" s="36">
        <f t="shared" si="51"/>
        <v>0</v>
      </c>
      <c r="R119" s="36">
        <f t="shared" si="51"/>
        <v>0</v>
      </c>
      <c r="S119" s="36">
        <f t="shared" si="51"/>
        <v>0</v>
      </c>
      <c r="T119" s="36">
        <f t="shared" si="51"/>
        <v>0</v>
      </c>
      <c r="U119" s="36">
        <f t="shared" si="51"/>
        <v>0</v>
      </c>
      <c r="V119" s="36">
        <f t="shared" si="51"/>
        <v>0</v>
      </c>
      <c r="W119" s="36">
        <f t="shared" si="51"/>
        <v>0</v>
      </c>
      <c r="X119" s="36">
        <f t="shared" si="51"/>
        <v>0</v>
      </c>
      <c r="Y119" s="36">
        <f t="shared" si="52"/>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c r="C120" s="9" t="s">
        <v>82</v>
      </c>
      <c r="E120" s="41">
        <f t="shared" si="51"/>
        <v>0</v>
      </c>
      <c r="F120" s="41">
        <f t="shared" si="51"/>
        <v>0</v>
      </c>
      <c r="G120" s="41">
        <f t="shared" si="51"/>
        <v>0</v>
      </c>
      <c r="H120" s="41">
        <f t="shared" si="51"/>
        <v>0</v>
      </c>
      <c r="I120" s="41">
        <f t="shared" si="51"/>
        <v>0</v>
      </c>
      <c r="J120" s="41">
        <f t="shared" si="51"/>
        <v>0</v>
      </c>
      <c r="K120" s="41">
        <f t="shared" si="51"/>
        <v>0</v>
      </c>
      <c r="L120" s="41">
        <f t="shared" si="51"/>
        <v>0</v>
      </c>
      <c r="M120" s="41">
        <f t="shared" si="51"/>
        <v>0</v>
      </c>
      <c r="N120" s="41">
        <f t="shared" si="51"/>
        <v>0</v>
      </c>
      <c r="O120" s="41">
        <f t="shared" si="51"/>
        <v>0</v>
      </c>
      <c r="P120" s="41">
        <f t="shared" si="51"/>
        <v>0</v>
      </c>
      <c r="Q120" s="41">
        <f t="shared" si="51"/>
        <v>0</v>
      </c>
      <c r="R120" s="41">
        <f t="shared" si="51"/>
        <v>0</v>
      </c>
      <c r="S120" s="41">
        <f t="shared" si="51"/>
        <v>0</v>
      </c>
      <c r="T120" s="41">
        <f t="shared" si="51"/>
        <v>0</v>
      </c>
      <c r="U120" s="41">
        <f t="shared" si="51"/>
        <v>0</v>
      </c>
      <c r="V120" s="41">
        <f t="shared" si="51"/>
        <v>0</v>
      </c>
      <c r="W120" s="41">
        <f t="shared" si="51"/>
        <v>0</v>
      </c>
      <c r="X120" s="41">
        <f t="shared" si="51"/>
        <v>0</v>
      </c>
      <c r="Y120" s="36">
        <f t="shared" si="52"/>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1:80">
      <c r="C121" s="9" t="s">
        <v>85</v>
      </c>
      <c r="E121" s="41">
        <f t="shared" si="51"/>
        <v>1.2792974332371925E-2</v>
      </c>
      <c r="F121" s="41">
        <f t="shared" si="51"/>
        <v>3.3698857498228145E-2</v>
      </c>
      <c r="G121" s="41">
        <f t="shared" si="51"/>
        <v>7.4895361210401579E-2</v>
      </c>
      <c r="H121" s="41">
        <f t="shared" si="51"/>
        <v>0.14688309488742882</v>
      </c>
      <c r="I121" s="41">
        <f t="shared" si="51"/>
        <v>0.28813726307582849</v>
      </c>
      <c r="J121" s="41">
        <f t="shared" si="51"/>
        <v>0.44423105695569021</v>
      </c>
      <c r="K121" s="41">
        <f t="shared" si="51"/>
        <v>0.64460815022245743</v>
      </c>
      <c r="L121" s="41">
        <f t="shared" si="51"/>
        <v>0.89254768665343376</v>
      </c>
      <c r="M121" s="41">
        <f t="shared" si="51"/>
        <v>1.1568978856737746</v>
      </c>
      <c r="N121" s="41">
        <f t="shared" si="51"/>
        <v>1.4544798715127802</v>
      </c>
      <c r="O121" s="41">
        <f t="shared" si="51"/>
        <v>1.7239549192303016</v>
      </c>
      <c r="P121" s="41">
        <f t="shared" si="51"/>
        <v>1.934788300549616</v>
      </c>
      <c r="Q121" s="41">
        <f t="shared" si="51"/>
        <v>2.0806668406641795</v>
      </c>
      <c r="R121" s="41">
        <f t="shared" si="51"/>
        <v>2.2267040634181758</v>
      </c>
      <c r="S121" s="41">
        <f t="shared" si="51"/>
        <v>2.3557090227547626</v>
      </c>
      <c r="T121" s="41">
        <f t="shared" si="51"/>
        <v>2.4169159442694612</v>
      </c>
      <c r="U121" s="41">
        <f t="shared" si="51"/>
        <v>2.3979136523010931</v>
      </c>
      <c r="V121" s="41">
        <f t="shared" si="51"/>
        <v>2.4235661098965346</v>
      </c>
      <c r="W121" s="41">
        <f t="shared" si="51"/>
        <v>2.4449401622067088</v>
      </c>
      <c r="X121" s="41">
        <f t="shared" si="51"/>
        <v>2.4726844694911017</v>
      </c>
      <c r="Y121" s="36">
        <f t="shared" si="52"/>
        <v>27.627015686804331</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1:80">
      <c r="C122" s="9" t="s">
        <v>88</v>
      </c>
      <c r="E122" s="41">
        <f t="shared" si="51"/>
        <v>0</v>
      </c>
      <c r="F122" s="41">
        <f t="shared" si="51"/>
        <v>0</v>
      </c>
      <c r="G122" s="41">
        <f t="shared" si="51"/>
        <v>0</v>
      </c>
      <c r="H122" s="41">
        <f t="shared" si="51"/>
        <v>0</v>
      </c>
      <c r="I122" s="41">
        <f t="shared" si="51"/>
        <v>0</v>
      </c>
      <c r="J122" s="41">
        <f t="shared" si="51"/>
        <v>0</v>
      </c>
      <c r="K122" s="41">
        <f t="shared" si="51"/>
        <v>0</v>
      </c>
      <c r="L122" s="41">
        <f t="shared" si="51"/>
        <v>0</v>
      </c>
      <c r="M122" s="41">
        <f t="shared" si="51"/>
        <v>0</v>
      </c>
      <c r="N122" s="41">
        <f t="shared" si="51"/>
        <v>0</v>
      </c>
      <c r="O122" s="41">
        <f t="shared" si="51"/>
        <v>0</v>
      </c>
      <c r="P122" s="41">
        <f t="shared" si="51"/>
        <v>0</v>
      </c>
      <c r="Q122" s="41">
        <f t="shared" si="51"/>
        <v>0</v>
      </c>
      <c r="R122" s="41">
        <f t="shared" si="51"/>
        <v>0</v>
      </c>
      <c r="S122" s="41">
        <f t="shared" si="51"/>
        <v>0</v>
      </c>
      <c r="T122" s="41">
        <f t="shared" si="51"/>
        <v>0</v>
      </c>
      <c r="U122" s="41">
        <f t="shared" si="51"/>
        <v>0</v>
      </c>
      <c r="V122" s="41">
        <f t="shared" si="51"/>
        <v>0</v>
      </c>
      <c r="W122" s="41">
        <f t="shared" si="51"/>
        <v>0</v>
      </c>
      <c r="X122" s="41">
        <f t="shared" si="51"/>
        <v>0</v>
      </c>
      <c r="Y122" s="36">
        <f t="shared" si="52"/>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1:80">
      <c r="C123" s="9" t="s">
        <v>91</v>
      </c>
      <c r="E123" s="41">
        <f t="shared" si="51"/>
        <v>0</v>
      </c>
      <c r="F123" s="41">
        <f t="shared" si="51"/>
        <v>0</v>
      </c>
      <c r="G123" s="41">
        <f t="shared" si="51"/>
        <v>0</v>
      </c>
      <c r="H123" s="41">
        <f t="shared" si="51"/>
        <v>0</v>
      </c>
      <c r="I123" s="41">
        <f t="shared" si="51"/>
        <v>0</v>
      </c>
      <c r="J123" s="41">
        <f t="shared" si="51"/>
        <v>0</v>
      </c>
      <c r="K123" s="41">
        <f t="shared" si="51"/>
        <v>0</v>
      </c>
      <c r="L123" s="41">
        <f t="shared" si="51"/>
        <v>0</v>
      </c>
      <c r="M123" s="41">
        <f t="shared" si="51"/>
        <v>0</v>
      </c>
      <c r="N123" s="41">
        <f t="shared" si="51"/>
        <v>0</v>
      </c>
      <c r="O123" s="41">
        <f t="shared" si="51"/>
        <v>0</v>
      </c>
      <c r="P123" s="41">
        <f t="shared" si="51"/>
        <v>0</v>
      </c>
      <c r="Q123" s="41">
        <f t="shared" si="51"/>
        <v>0</v>
      </c>
      <c r="R123" s="41">
        <f t="shared" si="51"/>
        <v>0</v>
      </c>
      <c r="S123" s="41">
        <f t="shared" si="51"/>
        <v>0</v>
      </c>
      <c r="T123" s="41">
        <f t="shared" si="51"/>
        <v>0</v>
      </c>
      <c r="U123" s="41">
        <f t="shared" si="51"/>
        <v>0</v>
      </c>
      <c r="V123" s="41">
        <f t="shared" si="51"/>
        <v>0</v>
      </c>
      <c r="W123" s="41">
        <f t="shared" si="51"/>
        <v>0</v>
      </c>
      <c r="X123" s="41">
        <f t="shared" si="51"/>
        <v>0</v>
      </c>
      <c r="Y123" s="36">
        <f t="shared" si="52"/>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1:80">
      <c r="C124" s="9" t="s">
        <v>94</v>
      </c>
      <c r="E124" s="41">
        <f t="shared" si="51"/>
        <v>0</v>
      </c>
      <c r="F124" s="41">
        <f t="shared" si="51"/>
        <v>0</v>
      </c>
      <c r="G124" s="41">
        <f t="shared" si="51"/>
        <v>0</v>
      </c>
      <c r="H124" s="41">
        <f t="shared" si="51"/>
        <v>0</v>
      </c>
      <c r="I124" s="41">
        <f t="shared" si="51"/>
        <v>0</v>
      </c>
      <c r="J124" s="41">
        <f t="shared" si="51"/>
        <v>0</v>
      </c>
      <c r="K124" s="41">
        <f t="shared" si="51"/>
        <v>0</v>
      </c>
      <c r="L124" s="41">
        <f t="shared" si="51"/>
        <v>0</v>
      </c>
      <c r="M124" s="41">
        <f t="shared" si="51"/>
        <v>0</v>
      </c>
      <c r="N124" s="41">
        <f t="shared" si="51"/>
        <v>0</v>
      </c>
      <c r="O124" s="41">
        <f t="shared" si="51"/>
        <v>0</v>
      </c>
      <c r="P124" s="41">
        <f t="shared" si="51"/>
        <v>0</v>
      </c>
      <c r="Q124" s="41">
        <f t="shared" si="51"/>
        <v>0</v>
      </c>
      <c r="R124" s="41">
        <f t="shared" si="51"/>
        <v>0</v>
      </c>
      <c r="S124" s="41">
        <f t="shared" si="51"/>
        <v>0</v>
      </c>
      <c r="T124" s="41">
        <f t="shared" si="51"/>
        <v>0</v>
      </c>
      <c r="U124" s="41">
        <f t="shared" si="51"/>
        <v>0</v>
      </c>
      <c r="V124" s="41">
        <f t="shared" si="51"/>
        <v>0</v>
      </c>
      <c r="W124" s="41">
        <f t="shared" si="51"/>
        <v>0</v>
      </c>
      <c r="X124" s="41">
        <f t="shared" si="51"/>
        <v>0</v>
      </c>
      <c r="Y124" s="36">
        <f t="shared" si="52"/>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1:80">
      <c r="C125" s="9" t="s">
        <v>97</v>
      </c>
      <c r="E125" s="41">
        <f t="shared" si="51"/>
        <v>0</v>
      </c>
      <c r="F125" s="41">
        <f t="shared" si="51"/>
        <v>0</v>
      </c>
      <c r="G125" s="41">
        <f t="shared" si="51"/>
        <v>0</v>
      </c>
      <c r="H125" s="41">
        <f t="shared" si="51"/>
        <v>0</v>
      </c>
      <c r="I125" s="41">
        <f t="shared" si="51"/>
        <v>0</v>
      </c>
      <c r="J125" s="41">
        <f t="shared" si="51"/>
        <v>0</v>
      </c>
      <c r="K125" s="41">
        <f t="shared" si="51"/>
        <v>0</v>
      </c>
      <c r="L125" s="41">
        <f t="shared" si="51"/>
        <v>0</v>
      </c>
      <c r="M125" s="41">
        <f t="shared" si="51"/>
        <v>0</v>
      </c>
      <c r="N125" s="41">
        <f t="shared" si="51"/>
        <v>0</v>
      </c>
      <c r="O125" s="41">
        <f t="shared" si="51"/>
        <v>0</v>
      </c>
      <c r="P125" s="41">
        <f t="shared" si="51"/>
        <v>0</v>
      </c>
      <c r="Q125" s="41">
        <f t="shared" si="51"/>
        <v>0</v>
      </c>
      <c r="R125" s="41">
        <f t="shared" si="51"/>
        <v>0</v>
      </c>
      <c r="S125" s="41">
        <f t="shared" si="51"/>
        <v>0</v>
      </c>
      <c r="T125" s="41">
        <f t="shared" si="51"/>
        <v>0</v>
      </c>
      <c r="U125" s="41">
        <f t="shared" si="51"/>
        <v>0</v>
      </c>
      <c r="V125" s="41">
        <f t="shared" si="51"/>
        <v>0</v>
      </c>
      <c r="W125" s="41">
        <f t="shared" si="51"/>
        <v>0</v>
      </c>
      <c r="X125" s="41">
        <f t="shared" si="51"/>
        <v>0</v>
      </c>
      <c r="Y125" s="36">
        <f t="shared" si="52"/>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1:80">
      <c r="C126" s="9" t="s">
        <v>100</v>
      </c>
      <c r="E126" s="41">
        <f t="shared" si="51"/>
        <v>0</v>
      </c>
      <c r="F126" s="41">
        <f t="shared" si="51"/>
        <v>0</v>
      </c>
      <c r="G126" s="41">
        <f t="shared" si="51"/>
        <v>0</v>
      </c>
      <c r="H126" s="41">
        <f t="shared" si="51"/>
        <v>0</v>
      </c>
      <c r="I126" s="41">
        <f t="shared" si="51"/>
        <v>0</v>
      </c>
      <c r="J126" s="41">
        <f t="shared" si="51"/>
        <v>0</v>
      </c>
      <c r="K126" s="41">
        <f t="shared" si="51"/>
        <v>0</v>
      </c>
      <c r="L126" s="41">
        <f t="shared" si="51"/>
        <v>0</v>
      </c>
      <c r="M126" s="41">
        <f t="shared" si="51"/>
        <v>0</v>
      </c>
      <c r="N126" s="41">
        <f t="shared" si="51"/>
        <v>0</v>
      </c>
      <c r="O126" s="41">
        <f t="shared" si="51"/>
        <v>0</v>
      </c>
      <c r="P126" s="41">
        <f t="shared" si="51"/>
        <v>0</v>
      </c>
      <c r="Q126" s="41">
        <f t="shared" si="51"/>
        <v>0</v>
      </c>
      <c r="R126" s="41">
        <f t="shared" si="51"/>
        <v>0</v>
      </c>
      <c r="S126" s="41">
        <f t="shared" si="51"/>
        <v>0</v>
      </c>
      <c r="T126" s="41">
        <f t="shared" si="51"/>
        <v>0</v>
      </c>
      <c r="U126" s="41">
        <f t="shared" si="51"/>
        <v>0</v>
      </c>
      <c r="V126" s="41">
        <f t="shared" si="51"/>
        <v>0</v>
      </c>
      <c r="W126" s="41">
        <f t="shared" si="51"/>
        <v>0</v>
      </c>
      <c r="X126" s="41">
        <f t="shared" si="51"/>
        <v>0</v>
      </c>
      <c r="Y126" s="36">
        <f t="shared" si="52"/>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1:80">
      <c r="C127" s="9" t="s">
        <v>103</v>
      </c>
      <c r="E127" s="41">
        <f t="shared" si="51"/>
        <v>0</v>
      </c>
      <c r="F127" s="41">
        <f t="shared" si="51"/>
        <v>0</v>
      </c>
      <c r="G127" s="41">
        <f t="shared" si="51"/>
        <v>0</v>
      </c>
      <c r="H127" s="41">
        <f t="shared" si="51"/>
        <v>0</v>
      </c>
      <c r="I127" s="41">
        <f t="shared" si="51"/>
        <v>0</v>
      </c>
      <c r="J127" s="41">
        <f t="shared" si="51"/>
        <v>0</v>
      </c>
      <c r="K127" s="41">
        <f t="shared" si="51"/>
        <v>0</v>
      </c>
      <c r="L127" s="41">
        <f t="shared" si="51"/>
        <v>0</v>
      </c>
      <c r="M127" s="41">
        <f t="shared" si="51"/>
        <v>0</v>
      </c>
      <c r="N127" s="41">
        <f t="shared" si="51"/>
        <v>0</v>
      </c>
      <c r="O127" s="41">
        <f t="shared" si="51"/>
        <v>0</v>
      </c>
      <c r="P127" s="41">
        <f t="shared" si="51"/>
        <v>0</v>
      </c>
      <c r="Q127" s="41">
        <f t="shared" si="51"/>
        <v>0</v>
      </c>
      <c r="R127" s="41">
        <f t="shared" si="51"/>
        <v>0</v>
      </c>
      <c r="S127" s="41">
        <f t="shared" si="51"/>
        <v>0</v>
      </c>
      <c r="T127" s="41">
        <f t="shared" si="51"/>
        <v>0</v>
      </c>
      <c r="U127" s="41">
        <f t="shared" si="51"/>
        <v>0</v>
      </c>
      <c r="V127" s="41">
        <f t="shared" si="51"/>
        <v>0</v>
      </c>
      <c r="W127" s="41">
        <f t="shared" si="51"/>
        <v>0</v>
      </c>
      <c r="X127" s="41">
        <f t="shared" si="51"/>
        <v>0</v>
      </c>
      <c r="Y127" s="36">
        <f t="shared" si="52"/>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1:80">
      <c r="C128" s="9" t="s">
        <v>106</v>
      </c>
      <c r="E128" s="41">
        <f t="shared" si="51"/>
        <v>0</v>
      </c>
      <c r="F128" s="41">
        <f t="shared" si="51"/>
        <v>0</v>
      </c>
      <c r="G128" s="41">
        <f t="shared" si="51"/>
        <v>0</v>
      </c>
      <c r="H128" s="41">
        <f t="shared" si="51"/>
        <v>0</v>
      </c>
      <c r="I128" s="41">
        <f t="shared" si="51"/>
        <v>0</v>
      </c>
      <c r="J128" s="41">
        <f t="shared" si="51"/>
        <v>0</v>
      </c>
      <c r="K128" s="41">
        <f t="shared" si="51"/>
        <v>0</v>
      </c>
      <c r="L128" s="41">
        <f t="shared" si="51"/>
        <v>0</v>
      </c>
      <c r="M128" s="41">
        <f t="shared" si="51"/>
        <v>0</v>
      </c>
      <c r="N128" s="41">
        <f t="shared" si="51"/>
        <v>0</v>
      </c>
      <c r="O128" s="41">
        <f t="shared" si="51"/>
        <v>0</v>
      </c>
      <c r="P128" s="41">
        <f t="shared" si="51"/>
        <v>0</v>
      </c>
      <c r="Q128" s="41">
        <f t="shared" si="51"/>
        <v>0</v>
      </c>
      <c r="R128" s="41">
        <f t="shared" si="51"/>
        <v>0</v>
      </c>
      <c r="S128" s="41">
        <f t="shared" si="51"/>
        <v>0</v>
      </c>
      <c r="T128" s="41">
        <f t="shared" si="51"/>
        <v>0</v>
      </c>
      <c r="U128" s="41">
        <f t="shared" si="51"/>
        <v>0</v>
      </c>
      <c r="V128" s="41">
        <f t="shared" si="51"/>
        <v>0</v>
      </c>
      <c r="W128" s="41">
        <f t="shared" si="51"/>
        <v>0</v>
      </c>
      <c r="X128" s="41">
        <f t="shared" si="51"/>
        <v>0</v>
      </c>
      <c r="Y128" s="36">
        <f t="shared" si="52"/>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3:80">
      <c r="C129" s="9" t="s">
        <v>109</v>
      </c>
      <c r="E129" s="41">
        <f t="shared" si="51"/>
        <v>0</v>
      </c>
      <c r="F129" s="41">
        <f t="shared" si="51"/>
        <v>0</v>
      </c>
      <c r="G129" s="41">
        <f t="shared" si="51"/>
        <v>0</v>
      </c>
      <c r="H129" s="41">
        <f t="shared" ref="H129:X129" si="53">H92-H91</f>
        <v>0</v>
      </c>
      <c r="I129" s="41">
        <f t="shared" si="53"/>
        <v>0</v>
      </c>
      <c r="J129" s="41">
        <f t="shared" si="53"/>
        <v>0</v>
      </c>
      <c r="K129" s="41">
        <f t="shared" si="53"/>
        <v>0</v>
      </c>
      <c r="L129" s="41">
        <f t="shared" si="53"/>
        <v>0</v>
      </c>
      <c r="M129" s="41">
        <f t="shared" si="53"/>
        <v>0</v>
      </c>
      <c r="N129" s="41">
        <f t="shared" si="53"/>
        <v>0</v>
      </c>
      <c r="O129" s="41">
        <f t="shared" si="53"/>
        <v>0</v>
      </c>
      <c r="P129" s="41">
        <f t="shared" si="53"/>
        <v>0</v>
      </c>
      <c r="Q129" s="41">
        <f t="shared" si="53"/>
        <v>0</v>
      </c>
      <c r="R129" s="41">
        <f t="shared" si="53"/>
        <v>0</v>
      </c>
      <c r="S129" s="41">
        <f t="shared" si="53"/>
        <v>0</v>
      </c>
      <c r="T129" s="41">
        <f t="shared" si="53"/>
        <v>0</v>
      </c>
      <c r="U129" s="41">
        <f t="shared" si="53"/>
        <v>0</v>
      </c>
      <c r="V129" s="41">
        <f t="shared" si="53"/>
        <v>0</v>
      </c>
      <c r="W129" s="41">
        <f t="shared" si="53"/>
        <v>0</v>
      </c>
      <c r="X129" s="41">
        <f t="shared" si="53"/>
        <v>0</v>
      </c>
      <c r="Y129" s="36">
        <f t="shared" si="52"/>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3:80">
      <c r="C130" s="9" t="s">
        <v>112</v>
      </c>
      <c r="E130" s="41">
        <f t="shared" ref="E130:X130" si="54">E93-E92</f>
        <v>0</v>
      </c>
      <c r="F130" s="41">
        <f t="shared" si="54"/>
        <v>0</v>
      </c>
      <c r="G130" s="41">
        <f t="shared" si="54"/>
        <v>0</v>
      </c>
      <c r="H130" s="41">
        <f t="shared" si="54"/>
        <v>0</v>
      </c>
      <c r="I130" s="41">
        <f t="shared" si="54"/>
        <v>0</v>
      </c>
      <c r="J130" s="41">
        <f t="shared" si="54"/>
        <v>0</v>
      </c>
      <c r="K130" s="41">
        <f t="shared" si="54"/>
        <v>0</v>
      </c>
      <c r="L130" s="41">
        <f t="shared" si="54"/>
        <v>0</v>
      </c>
      <c r="M130" s="41">
        <f t="shared" si="54"/>
        <v>0</v>
      </c>
      <c r="N130" s="41">
        <f t="shared" si="54"/>
        <v>0</v>
      </c>
      <c r="O130" s="41">
        <f t="shared" si="54"/>
        <v>0</v>
      </c>
      <c r="P130" s="41">
        <f t="shared" si="54"/>
        <v>0</v>
      </c>
      <c r="Q130" s="41">
        <f t="shared" si="54"/>
        <v>0</v>
      </c>
      <c r="R130" s="41">
        <f t="shared" si="54"/>
        <v>0</v>
      </c>
      <c r="S130" s="41">
        <f t="shared" si="54"/>
        <v>0</v>
      </c>
      <c r="T130" s="41">
        <f t="shared" si="54"/>
        <v>0</v>
      </c>
      <c r="U130" s="41">
        <f t="shared" si="54"/>
        <v>0</v>
      </c>
      <c r="V130" s="41">
        <f t="shared" si="54"/>
        <v>0</v>
      </c>
      <c r="W130" s="41">
        <f t="shared" si="54"/>
        <v>0</v>
      </c>
      <c r="X130" s="41">
        <f t="shared" si="54"/>
        <v>0</v>
      </c>
      <c r="Y130" s="36">
        <f t="shared" si="52"/>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3:80">
      <c r="C131" s="9" t="s">
        <v>115</v>
      </c>
      <c r="E131" s="41">
        <f t="shared" ref="E131:X131" si="55">E94-E93</f>
        <v>0</v>
      </c>
      <c r="F131" s="41">
        <f t="shared" si="55"/>
        <v>0</v>
      </c>
      <c r="G131" s="41">
        <f t="shared" si="55"/>
        <v>0</v>
      </c>
      <c r="H131" s="41">
        <f t="shared" si="55"/>
        <v>0</v>
      </c>
      <c r="I131" s="41">
        <f t="shared" si="55"/>
        <v>0</v>
      </c>
      <c r="J131" s="41">
        <f t="shared" si="55"/>
        <v>0</v>
      </c>
      <c r="K131" s="41">
        <f t="shared" si="55"/>
        <v>0</v>
      </c>
      <c r="L131" s="41">
        <f t="shared" si="55"/>
        <v>0</v>
      </c>
      <c r="M131" s="41">
        <f t="shared" si="55"/>
        <v>0</v>
      </c>
      <c r="N131" s="41">
        <f t="shared" si="55"/>
        <v>0</v>
      </c>
      <c r="O131" s="41">
        <f t="shared" si="55"/>
        <v>0</v>
      </c>
      <c r="P131" s="41">
        <f t="shared" si="55"/>
        <v>0</v>
      </c>
      <c r="Q131" s="41">
        <f t="shared" si="55"/>
        <v>0</v>
      </c>
      <c r="R131" s="41">
        <f t="shared" si="55"/>
        <v>0</v>
      </c>
      <c r="S131" s="41">
        <f t="shared" si="55"/>
        <v>0</v>
      </c>
      <c r="T131" s="41">
        <f t="shared" si="55"/>
        <v>0</v>
      </c>
      <c r="U131" s="41">
        <f t="shared" si="55"/>
        <v>0</v>
      </c>
      <c r="V131" s="41">
        <f t="shared" si="55"/>
        <v>0</v>
      </c>
      <c r="W131" s="41">
        <f t="shared" si="55"/>
        <v>0</v>
      </c>
      <c r="X131" s="41">
        <f t="shared" si="55"/>
        <v>0</v>
      </c>
      <c r="Y131" s="36">
        <f t="shared" si="52"/>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3:80">
      <c r="C132" s="9" t="s">
        <v>118</v>
      </c>
      <c r="E132" s="41">
        <f t="shared" ref="E132:X132" si="56">E95-E94</f>
        <v>0</v>
      </c>
      <c r="F132" s="41">
        <f t="shared" si="56"/>
        <v>0</v>
      </c>
      <c r="G132" s="41">
        <f t="shared" si="56"/>
        <v>0</v>
      </c>
      <c r="H132" s="41">
        <f t="shared" si="56"/>
        <v>0</v>
      </c>
      <c r="I132" s="41">
        <f t="shared" si="56"/>
        <v>0</v>
      </c>
      <c r="J132" s="41">
        <f t="shared" si="56"/>
        <v>0</v>
      </c>
      <c r="K132" s="41">
        <f t="shared" si="56"/>
        <v>0</v>
      </c>
      <c r="L132" s="41">
        <f t="shared" si="56"/>
        <v>0</v>
      </c>
      <c r="M132" s="41">
        <f t="shared" si="56"/>
        <v>0</v>
      </c>
      <c r="N132" s="41">
        <f t="shared" si="56"/>
        <v>0</v>
      </c>
      <c r="O132" s="41">
        <f t="shared" si="56"/>
        <v>0</v>
      </c>
      <c r="P132" s="41">
        <f t="shared" si="56"/>
        <v>0</v>
      </c>
      <c r="Q132" s="41">
        <f t="shared" si="56"/>
        <v>0</v>
      </c>
      <c r="R132" s="41">
        <f t="shared" si="56"/>
        <v>0</v>
      </c>
      <c r="S132" s="41">
        <f t="shared" si="56"/>
        <v>0</v>
      </c>
      <c r="T132" s="41">
        <f t="shared" si="56"/>
        <v>0</v>
      </c>
      <c r="U132" s="41">
        <f t="shared" si="56"/>
        <v>0</v>
      </c>
      <c r="V132" s="41">
        <f t="shared" si="56"/>
        <v>0</v>
      </c>
      <c r="W132" s="41">
        <f t="shared" si="56"/>
        <v>0</v>
      </c>
      <c r="X132" s="41">
        <f t="shared" si="56"/>
        <v>0</v>
      </c>
      <c r="Y132" s="36">
        <f t="shared" si="52"/>
        <v>0</v>
      </c>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3:80">
      <c r="C133" s="9" t="s">
        <v>121</v>
      </c>
      <c r="E133" s="41">
        <f t="shared" ref="E133:X133" si="57">E96-E95</f>
        <v>0</v>
      </c>
      <c r="F133" s="41">
        <f t="shared" si="57"/>
        <v>0</v>
      </c>
      <c r="G133" s="41">
        <f t="shared" si="57"/>
        <v>0</v>
      </c>
      <c r="H133" s="41">
        <f t="shared" si="57"/>
        <v>0</v>
      </c>
      <c r="I133" s="41">
        <f t="shared" si="57"/>
        <v>0</v>
      </c>
      <c r="J133" s="41">
        <f t="shared" si="57"/>
        <v>0</v>
      </c>
      <c r="K133" s="41">
        <f t="shared" si="57"/>
        <v>0</v>
      </c>
      <c r="L133" s="41">
        <f t="shared" si="57"/>
        <v>0</v>
      </c>
      <c r="M133" s="41">
        <f t="shared" si="57"/>
        <v>0</v>
      </c>
      <c r="N133" s="41">
        <f t="shared" si="57"/>
        <v>0</v>
      </c>
      <c r="O133" s="41">
        <f t="shared" si="57"/>
        <v>0</v>
      </c>
      <c r="P133" s="41">
        <f t="shared" si="57"/>
        <v>0</v>
      </c>
      <c r="Q133" s="41">
        <f t="shared" si="57"/>
        <v>0</v>
      </c>
      <c r="R133" s="41">
        <f t="shared" si="57"/>
        <v>0</v>
      </c>
      <c r="S133" s="41">
        <f t="shared" si="57"/>
        <v>0</v>
      </c>
      <c r="T133" s="41">
        <f t="shared" si="57"/>
        <v>0</v>
      </c>
      <c r="U133" s="41">
        <f t="shared" si="57"/>
        <v>0</v>
      </c>
      <c r="V133" s="41">
        <f t="shared" si="57"/>
        <v>0</v>
      </c>
      <c r="W133" s="41">
        <f t="shared" si="57"/>
        <v>0</v>
      </c>
      <c r="X133" s="41">
        <f t="shared" si="57"/>
        <v>0</v>
      </c>
      <c r="Y133" s="36">
        <f t="shared" si="52"/>
        <v>0</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3:80">
      <c r="C134" s="9" t="s">
        <v>124</v>
      </c>
      <c r="E134" s="41">
        <f t="shared" ref="E134:X134" si="58">E97-E96</f>
        <v>0</v>
      </c>
      <c r="F134" s="41">
        <f t="shared" si="58"/>
        <v>0</v>
      </c>
      <c r="G134" s="41">
        <f t="shared" si="58"/>
        <v>0</v>
      </c>
      <c r="H134" s="41">
        <f t="shared" si="58"/>
        <v>0</v>
      </c>
      <c r="I134" s="41">
        <f t="shared" si="58"/>
        <v>0</v>
      </c>
      <c r="J134" s="41">
        <f t="shared" si="58"/>
        <v>0</v>
      </c>
      <c r="K134" s="41">
        <f t="shared" si="58"/>
        <v>0</v>
      </c>
      <c r="L134" s="41">
        <f t="shared" si="58"/>
        <v>0</v>
      </c>
      <c r="M134" s="41">
        <f t="shared" si="58"/>
        <v>0</v>
      </c>
      <c r="N134" s="41">
        <f t="shared" si="58"/>
        <v>0</v>
      </c>
      <c r="O134" s="41">
        <f t="shared" si="58"/>
        <v>0</v>
      </c>
      <c r="P134" s="41">
        <f t="shared" si="58"/>
        <v>0</v>
      </c>
      <c r="Q134" s="41">
        <f t="shared" si="58"/>
        <v>0</v>
      </c>
      <c r="R134" s="41">
        <f t="shared" si="58"/>
        <v>0</v>
      </c>
      <c r="S134" s="41">
        <f t="shared" si="58"/>
        <v>0</v>
      </c>
      <c r="T134" s="41">
        <f t="shared" si="58"/>
        <v>0</v>
      </c>
      <c r="U134" s="41">
        <f t="shared" si="58"/>
        <v>0</v>
      </c>
      <c r="V134" s="41">
        <f t="shared" si="58"/>
        <v>0</v>
      </c>
      <c r="W134" s="41">
        <f t="shared" si="58"/>
        <v>0</v>
      </c>
      <c r="X134" s="41">
        <f t="shared" si="58"/>
        <v>0</v>
      </c>
      <c r="Y134" s="36">
        <f t="shared" si="52"/>
        <v>0</v>
      </c>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5" spans="3:80">
      <c r="C135" s="9" t="s">
        <v>127</v>
      </c>
      <c r="E135" s="41">
        <f t="shared" ref="E135:X135" si="59">E98-E97</f>
        <v>0</v>
      </c>
      <c r="F135" s="41">
        <f t="shared" si="59"/>
        <v>0</v>
      </c>
      <c r="G135" s="41">
        <f t="shared" si="59"/>
        <v>0</v>
      </c>
      <c r="H135" s="41">
        <f t="shared" si="59"/>
        <v>0</v>
      </c>
      <c r="I135" s="41">
        <f t="shared" si="59"/>
        <v>0</v>
      </c>
      <c r="J135" s="41">
        <f t="shared" si="59"/>
        <v>0</v>
      </c>
      <c r="K135" s="41">
        <f t="shared" si="59"/>
        <v>0</v>
      </c>
      <c r="L135" s="41">
        <f t="shared" si="59"/>
        <v>0</v>
      </c>
      <c r="M135" s="41">
        <f t="shared" si="59"/>
        <v>0</v>
      </c>
      <c r="N135" s="41">
        <f t="shared" si="59"/>
        <v>0</v>
      </c>
      <c r="O135" s="41">
        <f t="shared" si="59"/>
        <v>0</v>
      </c>
      <c r="P135" s="41">
        <f t="shared" si="59"/>
        <v>0</v>
      </c>
      <c r="Q135" s="41">
        <f t="shared" si="59"/>
        <v>0</v>
      </c>
      <c r="R135" s="41">
        <f t="shared" si="59"/>
        <v>0</v>
      </c>
      <c r="S135" s="41">
        <f t="shared" si="59"/>
        <v>0</v>
      </c>
      <c r="T135" s="41">
        <f t="shared" si="59"/>
        <v>0</v>
      </c>
      <c r="U135" s="41">
        <f t="shared" si="59"/>
        <v>0</v>
      </c>
      <c r="V135" s="41">
        <f t="shared" si="59"/>
        <v>0</v>
      </c>
      <c r="W135" s="41">
        <f t="shared" si="59"/>
        <v>0</v>
      </c>
      <c r="X135" s="41">
        <f t="shared" si="59"/>
        <v>0</v>
      </c>
      <c r="Y135" s="36">
        <f t="shared" si="52"/>
        <v>0</v>
      </c>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row>
    <row r="136" spans="3:80">
      <c r="C136" s="9" t="s">
        <v>130</v>
      </c>
      <c r="E136" s="41">
        <f t="shared" ref="E136:X136" si="60">E99-E98</f>
        <v>0</v>
      </c>
      <c r="F136" s="41">
        <f t="shared" si="60"/>
        <v>0</v>
      </c>
      <c r="G136" s="41">
        <f t="shared" si="60"/>
        <v>0</v>
      </c>
      <c r="H136" s="41">
        <f t="shared" si="60"/>
        <v>0</v>
      </c>
      <c r="I136" s="41">
        <f t="shared" si="60"/>
        <v>0</v>
      </c>
      <c r="J136" s="41">
        <f t="shared" si="60"/>
        <v>0</v>
      </c>
      <c r="K136" s="41">
        <f t="shared" si="60"/>
        <v>0</v>
      </c>
      <c r="L136" s="41">
        <f t="shared" si="60"/>
        <v>0</v>
      </c>
      <c r="M136" s="41">
        <f t="shared" si="60"/>
        <v>0</v>
      </c>
      <c r="N136" s="41">
        <f t="shared" si="60"/>
        <v>0</v>
      </c>
      <c r="O136" s="41">
        <f t="shared" si="60"/>
        <v>0</v>
      </c>
      <c r="P136" s="41">
        <f t="shared" si="60"/>
        <v>0</v>
      </c>
      <c r="Q136" s="41">
        <f t="shared" si="60"/>
        <v>0</v>
      </c>
      <c r="R136" s="41">
        <f t="shared" si="60"/>
        <v>0</v>
      </c>
      <c r="S136" s="41">
        <f t="shared" si="60"/>
        <v>0</v>
      </c>
      <c r="T136" s="41">
        <f t="shared" si="60"/>
        <v>0</v>
      </c>
      <c r="U136" s="41">
        <f t="shared" si="60"/>
        <v>0</v>
      </c>
      <c r="V136" s="41">
        <f t="shared" si="60"/>
        <v>0</v>
      </c>
      <c r="W136" s="41">
        <f t="shared" si="60"/>
        <v>0</v>
      </c>
      <c r="X136" s="41">
        <f t="shared" si="60"/>
        <v>0</v>
      </c>
      <c r="Y136" s="36">
        <f t="shared" si="52"/>
        <v>0</v>
      </c>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row>
    <row r="137" spans="3:80">
      <c r="C137" s="9" t="s">
        <v>1085</v>
      </c>
      <c r="E137" s="41">
        <f t="shared" ref="E137:X137" si="61">E100-E99</f>
        <v>0</v>
      </c>
      <c r="F137" s="41">
        <f t="shared" si="61"/>
        <v>0</v>
      </c>
      <c r="G137" s="41">
        <f t="shared" si="61"/>
        <v>0</v>
      </c>
      <c r="H137" s="41">
        <f t="shared" si="61"/>
        <v>0</v>
      </c>
      <c r="I137" s="41">
        <f t="shared" si="61"/>
        <v>0</v>
      </c>
      <c r="J137" s="41">
        <f t="shared" si="61"/>
        <v>0</v>
      </c>
      <c r="K137" s="41">
        <f t="shared" si="61"/>
        <v>0</v>
      </c>
      <c r="L137" s="41">
        <f t="shared" si="61"/>
        <v>0</v>
      </c>
      <c r="M137" s="41">
        <f t="shared" si="61"/>
        <v>0</v>
      </c>
      <c r="N137" s="41">
        <f t="shared" si="61"/>
        <v>0</v>
      </c>
      <c r="O137" s="41">
        <f t="shared" si="61"/>
        <v>0</v>
      </c>
      <c r="P137" s="41">
        <f t="shared" si="61"/>
        <v>0</v>
      </c>
      <c r="Q137" s="41">
        <f t="shared" si="61"/>
        <v>0</v>
      </c>
      <c r="R137" s="41">
        <f t="shared" si="61"/>
        <v>0</v>
      </c>
      <c r="S137" s="41">
        <f t="shared" si="61"/>
        <v>0</v>
      </c>
      <c r="T137" s="41">
        <f t="shared" si="61"/>
        <v>0</v>
      </c>
      <c r="U137" s="41">
        <f t="shared" si="61"/>
        <v>0</v>
      </c>
      <c r="V137" s="41">
        <f t="shared" si="61"/>
        <v>0</v>
      </c>
      <c r="W137" s="41">
        <f t="shared" si="61"/>
        <v>0</v>
      </c>
      <c r="X137" s="41">
        <f t="shared" si="61"/>
        <v>0</v>
      </c>
      <c r="Y137" s="36">
        <f t="shared" ref="Y137:Y147" si="62">SUM(E137:X137)</f>
        <v>0</v>
      </c>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3:80">
      <c r="C138" s="9" t="s">
        <v>1087</v>
      </c>
      <c r="E138" s="41">
        <f t="shared" ref="E138:X138" si="63">E101-E100</f>
        <v>0</v>
      </c>
      <c r="F138" s="41">
        <f t="shared" si="63"/>
        <v>0</v>
      </c>
      <c r="G138" s="41">
        <f t="shared" si="63"/>
        <v>0</v>
      </c>
      <c r="H138" s="41">
        <f t="shared" si="63"/>
        <v>0</v>
      </c>
      <c r="I138" s="41">
        <f t="shared" si="63"/>
        <v>0</v>
      </c>
      <c r="J138" s="41">
        <f t="shared" si="63"/>
        <v>0</v>
      </c>
      <c r="K138" s="41">
        <f t="shared" si="63"/>
        <v>0</v>
      </c>
      <c r="L138" s="41">
        <f t="shared" si="63"/>
        <v>0</v>
      </c>
      <c r="M138" s="41">
        <f t="shared" si="63"/>
        <v>0</v>
      </c>
      <c r="N138" s="41">
        <f t="shared" si="63"/>
        <v>0</v>
      </c>
      <c r="O138" s="41">
        <f t="shared" si="63"/>
        <v>0</v>
      </c>
      <c r="P138" s="41">
        <f t="shared" si="63"/>
        <v>0</v>
      </c>
      <c r="Q138" s="41">
        <f t="shared" si="63"/>
        <v>0</v>
      </c>
      <c r="R138" s="41">
        <f t="shared" si="63"/>
        <v>0</v>
      </c>
      <c r="S138" s="41">
        <f t="shared" si="63"/>
        <v>0</v>
      </c>
      <c r="T138" s="41">
        <f t="shared" si="63"/>
        <v>0</v>
      </c>
      <c r="U138" s="41">
        <f t="shared" si="63"/>
        <v>0</v>
      </c>
      <c r="V138" s="41">
        <f t="shared" si="63"/>
        <v>0</v>
      </c>
      <c r="W138" s="41">
        <f t="shared" si="63"/>
        <v>0</v>
      </c>
      <c r="X138" s="41">
        <f t="shared" si="63"/>
        <v>0</v>
      </c>
      <c r="Y138" s="36">
        <f t="shared" si="62"/>
        <v>0</v>
      </c>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row>
    <row r="139" spans="3:80">
      <c r="C139" s="9" t="s">
        <v>1090</v>
      </c>
      <c r="E139" s="41">
        <f t="shared" ref="E139:X139" si="64">E102-E101</f>
        <v>0</v>
      </c>
      <c r="F139" s="41">
        <f t="shared" si="64"/>
        <v>0</v>
      </c>
      <c r="G139" s="41">
        <f t="shared" si="64"/>
        <v>0</v>
      </c>
      <c r="H139" s="41">
        <f t="shared" si="64"/>
        <v>0</v>
      </c>
      <c r="I139" s="41">
        <f t="shared" si="64"/>
        <v>0</v>
      </c>
      <c r="J139" s="41">
        <f t="shared" si="64"/>
        <v>0</v>
      </c>
      <c r="K139" s="41">
        <f t="shared" si="64"/>
        <v>0</v>
      </c>
      <c r="L139" s="41">
        <f t="shared" si="64"/>
        <v>0</v>
      </c>
      <c r="M139" s="41">
        <f t="shared" si="64"/>
        <v>0</v>
      </c>
      <c r="N139" s="41">
        <f t="shared" si="64"/>
        <v>0</v>
      </c>
      <c r="O139" s="41">
        <f t="shared" si="64"/>
        <v>0</v>
      </c>
      <c r="P139" s="41">
        <f t="shared" si="64"/>
        <v>0</v>
      </c>
      <c r="Q139" s="41">
        <f t="shared" si="64"/>
        <v>0</v>
      </c>
      <c r="R139" s="41">
        <f t="shared" si="64"/>
        <v>0</v>
      </c>
      <c r="S139" s="41">
        <f t="shared" si="64"/>
        <v>0</v>
      </c>
      <c r="T139" s="41">
        <f t="shared" si="64"/>
        <v>0</v>
      </c>
      <c r="U139" s="41">
        <f t="shared" si="64"/>
        <v>0</v>
      </c>
      <c r="V139" s="41">
        <f t="shared" si="64"/>
        <v>0</v>
      </c>
      <c r="W139" s="41">
        <f t="shared" si="64"/>
        <v>0</v>
      </c>
      <c r="X139" s="41">
        <f t="shared" si="64"/>
        <v>0</v>
      </c>
      <c r="Y139" s="36">
        <f t="shared" si="62"/>
        <v>0</v>
      </c>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3:80">
      <c r="C140" s="9" t="s">
        <v>1093</v>
      </c>
      <c r="E140" s="41">
        <f t="shared" ref="E140:X140" si="65">E103-E102</f>
        <v>1.8096407101544677E-3</v>
      </c>
      <c r="F140" s="41">
        <f t="shared" si="65"/>
        <v>4.6257940606970541E-3</v>
      </c>
      <c r="G140" s="41">
        <f t="shared" si="65"/>
        <v>1.0056339492273164E-2</v>
      </c>
      <c r="H140" s="41">
        <f t="shared" si="65"/>
        <v>1.940468656809019E-2</v>
      </c>
      <c r="I140" s="41">
        <f t="shared" si="65"/>
        <v>3.6033945872718465E-2</v>
      </c>
      <c r="J140" s="41">
        <f t="shared" si="65"/>
        <v>5.5284394013928873E-2</v>
      </c>
      <c r="K140" s="41">
        <f t="shared" si="65"/>
        <v>7.9831580301324756E-2</v>
      </c>
      <c r="L140" s="41">
        <f t="shared" si="65"/>
        <v>0.10999050277933642</v>
      </c>
      <c r="M140" s="41">
        <f t="shared" si="65"/>
        <v>0.14185641523590697</v>
      </c>
      <c r="N140" s="41">
        <f t="shared" si="65"/>
        <v>0.17750707306916635</v>
      </c>
      <c r="O140" s="41">
        <f t="shared" si="65"/>
        <v>0.20944505531267321</v>
      </c>
      <c r="P140" s="41">
        <f t="shared" si="65"/>
        <v>0.23397125947163744</v>
      </c>
      <c r="Q140" s="41">
        <f t="shared" si="65"/>
        <v>0.25043426634603128</v>
      </c>
      <c r="R140" s="41">
        <f t="shared" si="65"/>
        <v>0.2668539554597964</v>
      </c>
      <c r="S140" s="41">
        <f t="shared" si="65"/>
        <v>0.28112930188027319</v>
      </c>
      <c r="T140" s="41">
        <f t="shared" si="65"/>
        <v>0.28714870501102707</v>
      </c>
      <c r="U140" s="41">
        <f t="shared" si="65"/>
        <v>0.28354305076698294</v>
      </c>
      <c r="V140" s="41">
        <f t="shared" si="65"/>
        <v>0.28529848247536416</v>
      </c>
      <c r="W140" s="41">
        <f t="shared" si="65"/>
        <v>0.28654844821919001</v>
      </c>
      <c r="X140" s="41">
        <f t="shared" si="65"/>
        <v>0.28963202598385474</v>
      </c>
      <c r="Y140" s="36">
        <f t="shared" si="62"/>
        <v>3.3104049230304273</v>
      </c>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row>
    <row r="141" spans="3:80">
      <c r="C141" s="9" t="s">
        <v>1096</v>
      </c>
      <c r="E141" s="41">
        <f t="shared" ref="E141:X141" si="66">E104-E103</f>
        <v>0</v>
      </c>
      <c r="F141" s="41">
        <f t="shared" si="66"/>
        <v>0</v>
      </c>
      <c r="G141" s="41">
        <f t="shared" si="66"/>
        <v>0</v>
      </c>
      <c r="H141" s="41">
        <f t="shared" si="66"/>
        <v>0</v>
      </c>
      <c r="I141" s="41">
        <f t="shared" si="66"/>
        <v>0</v>
      </c>
      <c r="J141" s="41">
        <f t="shared" si="66"/>
        <v>0</v>
      </c>
      <c r="K141" s="41">
        <f t="shared" si="66"/>
        <v>0</v>
      </c>
      <c r="L141" s="41">
        <f t="shared" si="66"/>
        <v>0</v>
      </c>
      <c r="M141" s="41">
        <f t="shared" si="66"/>
        <v>0</v>
      </c>
      <c r="N141" s="41">
        <f t="shared" si="66"/>
        <v>0</v>
      </c>
      <c r="O141" s="41">
        <f t="shared" si="66"/>
        <v>0</v>
      </c>
      <c r="P141" s="41">
        <f t="shared" si="66"/>
        <v>0</v>
      </c>
      <c r="Q141" s="41">
        <f t="shared" si="66"/>
        <v>0</v>
      </c>
      <c r="R141" s="41">
        <f t="shared" si="66"/>
        <v>0</v>
      </c>
      <c r="S141" s="41">
        <f t="shared" si="66"/>
        <v>0</v>
      </c>
      <c r="T141" s="41">
        <f t="shared" si="66"/>
        <v>0</v>
      </c>
      <c r="U141" s="41">
        <f t="shared" si="66"/>
        <v>0</v>
      </c>
      <c r="V141" s="41">
        <f t="shared" si="66"/>
        <v>0</v>
      </c>
      <c r="W141" s="41">
        <f t="shared" si="66"/>
        <v>0</v>
      </c>
      <c r="X141" s="41">
        <f t="shared" si="66"/>
        <v>0</v>
      </c>
      <c r="Y141" s="36">
        <f t="shared" si="62"/>
        <v>0</v>
      </c>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3:80">
      <c r="C142" s="9" t="s">
        <v>1099</v>
      </c>
      <c r="E142" s="41">
        <f t="shared" ref="E142:X142" si="67">E105-E104</f>
        <v>0</v>
      </c>
      <c r="F142" s="41">
        <f t="shared" si="67"/>
        <v>0</v>
      </c>
      <c r="G142" s="41">
        <f t="shared" si="67"/>
        <v>0</v>
      </c>
      <c r="H142" s="41">
        <f t="shared" si="67"/>
        <v>0</v>
      </c>
      <c r="I142" s="41">
        <f t="shared" si="67"/>
        <v>0</v>
      </c>
      <c r="J142" s="41">
        <f t="shared" si="67"/>
        <v>0</v>
      </c>
      <c r="K142" s="41">
        <f t="shared" si="67"/>
        <v>0</v>
      </c>
      <c r="L142" s="41">
        <f t="shared" si="67"/>
        <v>0</v>
      </c>
      <c r="M142" s="41">
        <f t="shared" si="67"/>
        <v>0</v>
      </c>
      <c r="N142" s="41">
        <f t="shared" si="67"/>
        <v>0</v>
      </c>
      <c r="O142" s="41">
        <f t="shared" si="67"/>
        <v>0</v>
      </c>
      <c r="P142" s="41">
        <f t="shared" si="67"/>
        <v>0</v>
      </c>
      <c r="Q142" s="41">
        <f t="shared" si="67"/>
        <v>0</v>
      </c>
      <c r="R142" s="41">
        <f t="shared" si="67"/>
        <v>0</v>
      </c>
      <c r="S142" s="41">
        <f t="shared" si="67"/>
        <v>0</v>
      </c>
      <c r="T142" s="41">
        <f t="shared" si="67"/>
        <v>0</v>
      </c>
      <c r="U142" s="41">
        <f t="shared" si="67"/>
        <v>0</v>
      </c>
      <c r="V142" s="41">
        <f t="shared" si="67"/>
        <v>0</v>
      </c>
      <c r="W142" s="41">
        <f t="shared" si="67"/>
        <v>0</v>
      </c>
      <c r="X142" s="41">
        <f t="shared" si="67"/>
        <v>0</v>
      </c>
      <c r="Y142" s="36">
        <f t="shared" si="62"/>
        <v>0</v>
      </c>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row>
    <row r="143" spans="3:80">
      <c r="C143" s="9" t="s">
        <v>1102</v>
      </c>
      <c r="E143" s="41">
        <f t="shared" ref="E143:X143" si="68">E106-E105</f>
        <v>0</v>
      </c>
      <c r="F143" s="41">
        <f t="shared" si="68"/>
        <v>0</v>
      </c>
      <c r="G143" s="41">
        <f t="shared" si="68"/>
        <v>0</v>
      </c>
      <c r="H143" s="41">
        <f t="shared" si="68"/>
        <v>0</v>
      </c>
      <c r="I143" s="41">
        <f t="shared" si="68"/>
        <v>0</v>
      </c>
      <c r="J143" s="41">
        <f t="shared" si="68"/>
        <v>0</v>
      </c>
      <c r="K143" s="41">
        <f t="shared" si="68"/>
        <v>0</v>
      </c>
      <c r="L143" s="41">
        <f t="shared" si="68"/>
        <v>0</v>
      </c>
      <c r="M143" s="41">
        <f t="shared" si="68"/>
        <v>0</v>
      </c>
      <c r="N143" s="41">
        <f t="shared" si="68"/>
        <v>0</v>
      </c>
      <c r="O143" s="41">
        <f t="shared" si="68"/>
        <v>0</v>
      </c>
      <c r="P143" s="41">
        <f t="shared" si="68"/>
        <v>0</v>
      </c>
      <c r="Q143" s="41">
        <f t="shared" si="68"/>
        <v>0</v>
      </c>
      <c r="R143" s="41">
        <f t="shared" si="68"/>
        <v>0</v>
      </c>
      <c r="S143" s="41">
        <f t="shared" si="68"/>
        <v>0</v>
      </c>
      <c r="T143" s="41">
        <f t="shared" si="68"/>
        <v>0</v>
      </c>
      <c r="U143" s="41">
        <f t="shared" si="68"/>
        <v>0</v>
      </c>
      <c r="V143" s="41">
        <f t="shared" si="68"/>
        <v>0</v>
      </c>
      <c r="W143" s="41">
        <f t="shared" si="68"/>
        <v>0</v>
      </c>
      <c r="X143" s="41">
        <f t="shared" si="68"/>
        <v>0</v>
      </c>
      <c r="Y143" s="36">
        <f t="shared" si="62"/>
        <v>0</v>
      </c>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3:80">
      <c r="C144" s="9" t="s">
        <v>1105</v>
      </c>
      <c r="E144" s="41">
        <f t="shared" ref="E144:X144" si="69">E107-E106</f>
        <v>0</v>
      </c>
      <c r="F144" s="41">
        <f t="shared" si="69"/>
        <v>0</v>
      </c>
      <c r="G144" s="41">
        <f t="shared" si="69"/>
        <v>0</v>
      </c>
      <c r="H144" s="41">
        <f t="shared" si="69"/>
        <v>0</v>
      </c>
      <c r="I144" s="41">
        <f t="shared" si="69"/>
        <v>0</v>
      </c>
      <c r="J144" s="41">
        <f t="shared" si="69"/>
        <v>0</v>
      </c>
      <c r="K144" s="41">
        <f t="shared" si="69"/>
        <v>0</v>
      </c>
      <c r="L144" s="41">
        <f t="shared" si="69"/>
        <v>0</v>
      </c>
      <c r="M144" s="41">
        <f t="shared" si="69"/>
        <v>0</v>
      </c>
      <c r="N144" s="41">
        <f t="shared" si="69"/>
        <v>0</v>
      </c>
      <c r="O144" s="41">
        <f t="shared" si="69"/>
        <v>0</v>
      </c>
      <c r="P144" s="41">
        <f t="shared" si="69"/>
        <v>0</v>
      </c>
      <c r="Q144" s="41">
        <f t="shared" si="69"/>
        <v>0</v>
      </c>
      <c r="R144" s="41">
        <f t="shared" si="69"/>
        <v>0</v>
      </c>
      <c r="S144" s="41">
        <f t="shared" si="69"/>
        <v>0</v>
      </c>
      <c r="T144" s="41">
        <f t="shared" si="69"/>
        <v>0</v>
      </c>
      <c r="U144" s="41">
        <f t="shared" si="69"/>
        <v>0</v>
      </c>
      <c r="V144" s="41">
        <f t="shared" si="69"/>
        <v>0</v>
      </c>
      <c r="W144" s="41">
        <f t="shared" si="69"/>
        <v>0</v>
      </c>
      <c r="X144" s="41">
        <f t="shared" si="69"/>
        <v>0</v>
      </c>
      <c r="Y144" s="36">
        <f t="shared" si="62"/>
        <v>0</v>
      </c>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row>
    <row r="145" spans="1:80">
      <c r="C145" s="9" t="s">
        <v>1108</v>
      </c>
      <c r="E145" s="41">
        <f t="shared" ref="E145:X145" si="70">E108-E107</f>
        <v>0</v>
      </c>
      <c r="F145" s="41">
        <f t="shared" si="70"/>
        <v>0</v>
      </c>
      <c r="G145" s="41">
        <f t="shared" si="70"/>
        <v>0</v>
      </c>
      <c r="H145" s="41">
        <f t="shared" si="70"/>
        <v>0</v>
      </c>
      <c r="I145" s="41">
        <f t="shared" si="70"/>
        <v>0</v>
      </c>
      <c r="J145" s="41">
        <f t="shared" si="70"/>
        <v>0</v>
      </c>
      <c r="K145" s="41">
        <f t="shared" si="70"/>
        <v>0</v>
      </c>
      <c r="L145" s="41">
        <f t="shared" si="70"/>
        <v>0</v>
      </c>
      <c r="M145" s="41">
        <f t="shared" si="70"/>
        <v>0</v>
      </c>
      <c r="N145" s="41">
        <f t="shared" si="70"/>
        <v>0</v>
      </c>
      <c r="O145" s="41">
        <f t="shared" si="70"/>
        <v>0</v>
      </c>
      <c r="P145" s="41">
        <f t="shared" si="70"/>
        <v>0</v>
      </c>
      <c r="Q145" s="41">
        <f t="shared" si="70"/>
        <v>0</v>
      </c>
      <c r="R145" s="41">
        <f t="shared" si="70"/>
        <v>0</v>
      </c>
      <c r="S145" s="41">
        <f t="shared" si="70"/>
        <v>0</v>
      </c>
      <c r="T145" s="41">
        <f t="shared" si="70"/>
        <v>0</v>
      </c>
      <c r="U145" s="41">
        <f t="shared" si="70"/>
        <v>0</v>
      </c>
      <c r="V145" s="41">
        <f t="shared" si="70"/>
        <v>0</v>
      </c>
      <c r="W145" s="41">
        <f t="shared" si="70"/>
        <v>0</v>
      </c>
      <c r="X145" s="41">
        <f t="shared" si="70"/>
        <v>0</v>
      </c>
      <c r="Y145" s="36">
        <f t="shared" si="62"/>
        <v>0</v>
      </c>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c r="C146" s="9" t="s">
        <v>1111</v>
      </c>
      <c r="E146" s="41">
        <f t="shared" ref="E146:X146" si="71">E109-E108</f>
        <v>0</v>
      </c>
      <c r="F146" s="41">
        <f t="shared" si="71"/>
        <v>0</v>
      </c>
      <c r="G146" s="41">
        <f t="shared" si="71"/>
        <v>0</v>
      </c>
      <c r="H146" s="41">
        <f t="shared" si="71"/>
        <v>0</v>
      </c>
      <c r="I146" s="41">
        <f t="shared" si="71"/>
        <v>0</v>
      </c>
      <c r="J146" s="41">
        <f t="shared" si="71"/>
        <v>0</v>
      </c>
      <c r="K146" s="41">
        <f t="shared" si="71"/>
        <v>0</v>
      </c>
      <c r="L146" s="41">
        <f t="shared" si="71"/>
        <v>0</v>
      </c>
      <c r="M146" s="41">
        <f t="shared" si="71"/>
        <v>0</v>
      </c>
      <c r="N146" s="41">
        <f t="shared" si="71"/>
        <v>0</v>
      </c>
      <c r="O146" s="41">
        <f t="shared" si="71"/>
        <v>0</v>
      </c>
      <c r="P146" s="41">
        <f t="shared" si="71"/>
        <v>0</v>
      </c>
      <c r="Q146" s="41">
        <f t="shared" si="71"/>
        <v>0</v>
      </c>
      <c r="R146" s="41">
        <f t="shared" si="71"/>
        <v>0</v>
      </c>
      <c r="S146" s="41">
        <f t="shared" si="71"/>
        <v>0</v>
      </c>
      <c r="T146" s="41">
        <f t="shared" si="71"/>
        <v>0</v>
      </c>
      <c r="U146" s="41">
        <f t="shared" si="71"/>
        <v>0</v>
      </c>
      <c r="V146" s="41">
        <f t="shared" si="71"/>
        <v>0</v>
      </c>
      <c r="W146" s="41">
        <f t="shared" si="71"/>
        <v>0</v>
      </c>
      <c r="X146" s="41">
        <f t="shared" si="71"/>
        <v>0</v>
      </c>
      <c r="Y146" s="36">
        <f t="shared" si="62"/>
        <v>0</v>
      </c>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row>
    <row r="147" spans="1:80">
      <c r="C147" s="9" t="s">
        <v>1114</v>
      </c>
      <c r="E147" s="41">
        <f t="shared" ref="E147:X147" si="72">E110-E109</f>
        <v>0</v>
      </c>
      <c r="F147" s="41">
        <f t="shared" si="72"/>
        <v>0</v>
      </c>
      <c r="G147" s="41">
        <f t="shared" si="72"/>
        <v>0</v>
      </c>
      <c r="H147" s="41">
        <f t="shared" si="72"/>
        <v>0</v>
      </c>
      <c r="I147" s="41">
        <f t="shared" si="72"/>
        <v>0</v>
      </c>
      <c r="J147" s="41">
        <f t="shared" si="72"/>
        <v>0</v>
      </c>
      <c r="K147" s="41">
        <f t="shared" si="72"/>
        <v>0</v>
      </c>
      <c r="L147" s="41">
        <f t="shared" si="72"/>
        <v>0</v>
      </c>
      <c r="M147" s="41">
        <f t="shared" si="72"/>
        <v>0</v>
      </c>
      <c r="N147" s="41">
        <f t="shared" si="72"/>
        <v>0</v>
      </c>
      <c r="O147" s="41">
        <f t="shared" si="72"/>
        <v>0</v>
      </c>
      <c r="P147" s="41">
        <f t="shared" si="72"/>
        <v>0</v>
      </c>
      <c r="Q147" s="41">
        <f t="shared" si="72"/>
        <v>0</v>
      </c>
      <c r="R147" s="41">
        <f t="shared" si="72"/>
        <v>0</v>
      </c>
      <c r="S147" s="41">
        <f t="shared" si="72"/>
        <v>0</v>
      </c>
      <c r="T147" s="41">
        <f t="shared" si="72"/>
        <v>0</v>
      </c>
      <c r="U147" s="41">
        <f t="shared" si="72"/>
        <v>0</v>
      </c>
      <c r="V147" s="41">
        <f t="shared" si="72"/>
        <v>0</v>
      </c>
      <c r="W147" s="41">
        <f t="shared" si="72"/>
        <v>0</v>
      </c>
      <c r="X147" s="41">
        <f t="shared" si="72"/>
        <v>0</v>
      </c>
      <c r="Y147" s="36">
        <f t="shared" si="62"/>
        <v>0</v>
      </c>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row>
    <row r="148" spans="1:80">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row>
    <row r="149" spans="1:80" ht="15">
      <c r="C149" s="72" t="s">
        <v>137</v>
      </c>
      <c r="D149" s="73"/>
      <c r="E149" s="73">
        <f t="shared" ref="E149:X149" si="73">SUM(E116:E147)</f>
        <v>1.5142974398867781E-2</v>
      </c>
      <c r="F149" s="73">
        <f t="shared" si="73"/>
        <v>3.9648470249564215E-2</v>
      </c>
      <c r="G149" s="73">
        <f t="shared" si="73"/>
        <v>8.7735042094047477E-2</v>
      </c>
      <c r="H149" s="73">
        <f t="shared" si="73"/>
        <v>0.1715239499056084</v>
      </c>
      <c r="I149" s="73">
        <f t="shared" si="73"/>
        <v>0.33302114898930613</v>
      </c>
      <c r="J149" s="73">
        <f t="shared" si="73"/>
        <v>0.51296859200403677</v>
      </c>
      <c r="K149" s="73">
        <f t="shared" si="73"/>
        <v>0.743685107714259</v>
      </c>
      <c r="L149" s="73">
        <f t="shared" si="73"/>
        <v>1.0287977969206934</v>
      </c>
      <c r="M149" s="73">
        <f t="shared" si="73"/>
        <v>1.3322858889010429</v>
      </c>
      <c r="N149" s="73">
        <f t="shared" si="73"/>
        <v>1.6735544215854006</v>
      </c>
      <c r="O149" s="73">
        <f t="shared" si="73"/>
        <v>1.982006179008599</v>
      </c>
      <c r="P149" s="73">
        <f t="shared" si="73"/>
        <v>2.2225440455800753</v>
      </c>
      <c r="Q149" s="73">
        <f t="shared" si="73"/>
        <v>2.3881069511657373</v>
      </c>
      <c r="R149" s="73">
        <f t="shared" si="73"/>
        <v>2.5537592972639724</v>
      </c>
      <c r="S149" s="73">
        <f t="shared" si="73"/>
        <v>2.6997069210588829</v>
      </c>
      <c r="T149" s="73">
        <f t="shared" si="73"/>
        <v>2.7676731198832294</v>
      </c>
      <c r="U149" s="73">
        <f t="shared" si="73"/>
        <v>2.7436158948124882</v>
      </c>
      <c r="V149" s="73">
        <f t="shared" si="73"/>
        <v>2.7707984198146582</v>
      </c>
      <c r="W149" s="73">
        <f t="shared" si="73"/>
        <v>2.7930876890586465</v>
      </c>
      <c r="X149" s="73">
        <f t="shared" si="73"/>
        <v>2.8244998554840679</v>
      </c>
      <c r="Y149" s="73"/>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row>
    <row r="150" spans="1:80" ht="15">
      <c r="C150" s="72" t="s">
        <v>138</v>
      </c>
      <c r="D150" s="73"/>
      <c r="E150" s="73">
        <f>E149</f>
        <v>1.5142974398867781E-2</v>
      </c>
      <c r="F150" s="73">
        <f t="shared" ref="F150:X150" si="74">E150+F149</f>
        <v>5.4791444648431997E-2</v>
      </c>
      <c r="G150" s="73">
        <f t="shared" si="74"/>
        <v>0.14252648674247947</v>
      </c>
      <c r="H150" s="73">
        <f t="shared" si="74"/>
        <v>0.31405043664808785</v>
      </c>
      <c r="I150" s="73">
        <f t="shared" si="74"/>
        <v>0.64707158563739398</v>
      </c>
      <c r="J150" s="73">
        <f t="shared" si="74"/>
        <v>1.1600401776414309</v>
      </c>
      <c r="K150" s="73">
        <f t="shared" si="74"/>
        <v>1.9037252853556899</v>
      </c>
      <c r="L150" s="73">
        <f t="shared" si="74"/>
        <v>2.9325230822763833</v>
      </c>
      <c r="M150" s="73">
        <f t="shared" si="74"/>
        <v>4.264808971177426</v>
      </c>
      <c r="N150" s="73">
        <f t="shared" si="74"/>
        <v>5.9383633927628265</v>
      </c>
      <c r="O150" s="73">
        <f t="shared" si="74"/>
        <v>7.9203695717714258</v>
      </c>
      <c r="P150" s="73">
        <f t="shared" si="74"/>
        <v>10.142913617351502</v>
      </c>
      <c r="Q150" s="73">
        <f t="shared" si="74"/>
        <v>12.531020568517238</v>
      </c>
      <c r="R150" s="73">
        <f t="shared" si="74"/>
        <v>15.084779865781211</v>
      </c>
      <c r="S150" s="73">
        <f t="shared" si="74"/>
        <v>17.784486786840095</v>
      </c>
      <c r="T150" s="73">
        <f t="shared" si="74"/>
        <v>20.552159906723325</v>
      </c>
      <c r="U150" s="73">
        <f t="shared" si="74"/>
        <v>23.295775801535815</v>
      </c>
      <c r="V150" s="73">
        <f t="shared" si="74"/>
        <v>26.066574221350471</v>
      </c>
      <c r="W150" s="73">
        <f t="shared" si="74"/>
        <v>28.859661910409116</v>
      </c>
      <c r="X150" s="73">
        <f t="shared" si="74"/>
        <v>31.684161765893183</v>
      </c>
      <c r="Y150" s="73">
        <f>SUM(Y116:Y147)</f>
        <v>31.684161765893187</v>
      </c>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row>
    <row r="153" spans="1:80">
      <c r="A153" s="9" t="s">
        <v>143</v>
      </c>
    </row>
    <row r="155" spans="1:80">
      <c r="E155" s="41"/>
      <c r="F155" s="41"/>
      <c r="G155" s="41"/>
      <c r="H155" s="41"/>
      <c r="I155" s="41"/>
      <c r="J155" s="41"/>
      <c r="K155" s="41"/>
      <c r="L155" s="41"/>
      <c r="M155" s="41"/>
      <c r="N155" s="41"/>
      <c r="O155" s="41"/>
      <c r="P155" s="41"/>
      <c r="Q155" s="41"/>
      <c r="R155" s="41"/>
      <c r="S155" s="41"/>
      <c r="T155" s="41"/>
      <c r="U155" s="41"/>
      <c r="V155" s="41"/>
      <c r="W155" s="41"/>
      <c r="X155" s="41"/>
      <c r="Y155" s="41"/>
    </row>
    <row r="156" spans="1:80">
      <c r="E156" s="41"/>
      <c r="F156" s="41"/>
      <c r="G156" s="41"/>
      <c r="H156" s="41"/>
      <c r="I156" s="41"/>
      <c r="J156" s="41"/>
      <c r="K156" s="41"/>
      <c r="L156" s="41"/>
      <c r="M156" s="41"/>
      <c r="N156" s="41"/>
      <c r="O156" s="41"/>
      <c r="P156" s="41"/>
      <c r="Q156" s="41"/>
      <c r="R156" s="41"/>
      <c r="S156" s="41"/>
      <c r="T156" s="41"/>
      <c r="U156" s="41"/>
      <c r="V156" s="41"/>
      <c r="W156" s="41"/>
      <c r="X156" s="41"/>
      <c r="Y156" s="41"/>
    </row>
    <row r="157" spans="1:80" ht="15">
      <c r="A157" s="62" t="s">
        <v>144</v>
      </c>
      <c r="E157" s="41"/>
      <c r="F157" s="41"/>
      <c r="G157" s="41"/>
      <c r="H157" s="41"/>
      <c r="I157" s="41"/>
      <c r="J157" s="41"/>
      <c r="K157" s="41"/>
      <c r="L157" s="41"/>
      <c r="M157" s="41"/>
      <c r="N157" s="41"/>
      <c r="O157" s="41"/>
      <c r="P157" s="41"/>
      <c r="Q157" s="41"/>
      <c r="R157" s="41"/>
      <c r="S157" s="41"/>
      <c r="T157" s="41"/>
      <c r="U157" s="41"/>
      <c r="V157" s="41"/>
      <c r="W157" s="41"/>
      <c r="X157" s="41"/>
      <c r="Y157" s="41"/>
    </row>
    <row r="158" spans="1:80">
      <c r="A158" s="9" t="s">
        <v>145</v>
      </c>
      <c r="C158"/>
      <c r="D158"/>
      <c r="E158" s="9" t="s">
        <v>146</v>
      </c>
    </row>
    <row r="159" spans="1:80" ht="15">
      <c r="C159" s="52"/>
      <c r="D159" s="52"/>
      <c r="E159" s="71" t="str">
        <f>E12</f>
        <v>Homes_2016</v>
      </c>
      <c r="F159" s="71" t="str">
        <f t="shared" ref="F159:X159" si="75">F12</f>
        <v>Homes_2017</v>
      </c>
      <c r="G159" s="71" t="str">
        <f t="shared" si="75"/>
        <v>Homes_2018</v>
      </c>
      <c r="H159" s="71" t="str">
        <f t="shared" si="75"/>
        <v>Homes_2019</v>
      </c>
      <c r="I159" s="71" t="str">
        <f t="shared" si="75"/>
        <v>Homes_2020</v>
      </c>
      <c r="J159" s="71" t="str">
        <f t="shared" si="75"/>
        <v>Homes_2021</v>
      </c>
      <c r="K159" s="71" t="str">
        <f t="shared" si="75"/>
        <v>Homes_2022</v>
      </c>
      <c r="L159" s="71" t="str">
        <f t="shared" si="75"/>
        <v>Homes_2023</v>
      </c>
      <c r="M159" s="71" t="str">
        <f t="shared" si="75"/>
        <v>Homes_2024</v>
      </c>
      <c r="N159" s="71" t="str">
        <f t="shared" si="75"/>
        <v>Homes_2025</v>
      </c>
      <c r="O159" s="71" t="str">
        <f t="shared" si="75"/>
        <v>Homes_2026</v>
      </c>
      <c r="P159" s="71" t="str">
        <f t="shared" si="75"/>
        <v>Homes_2027</v>
      </c>
      <c r="Q159" s="71" t="str">
        <f t="shared" si="75"/>
        <v>Homes_2028</v>
      </c>
      <c r="R159" s="71" t="str">
        <f t="shared" si="75"/>
        <v>Homes_2029</v>
      </c>
      <c r="S159" s="71" t="str">
        <f t="shared" si="75"/>
        <v>Homes_2030</v>
      </c>
      <c r="T159" s="71" t="str">
        <f t="shared" si="75"/>
        <v>Homes_2031</v>
      </c>
      <c r="U159" s="71" t="str">
        <f t="shared" si="75"/>
        <v>Homes_2032</v>
      </c>
      <c r="V159" s="71" t="str">
        <f t="shared" si="75"/>
        <v>Homes_2033</v>
      </c>
      <c r="W159" s="71" t="str">
        <f t="shared" si="75"/>
        <v>Homes_2034</v>
      </c>
      <c r="X159" s="71" t="str">
        <f t="shared" si="75"/>
        <v>Homes_2035</v>
      </c>
      <c r="Y159" s="71"/>
    </row>
    <row r="160" spans="1:80">
      <c r="C160" s="9" t="str">
        <f>C13</f>
        <v>Single Family</v>
      </c>
      <c r="E160" s="41">
        <f t="shared" ref="E160:X160" si="76">(E13-E41/$B23)</f>
        <v>62587.988871354974</v>
      </c>
      <c r="F160" s="41">
        <f t="shared" si="76"/>
        <v>59723.564175468913</v>
      </c>
      <c r="G160" s="41">
        <f t="shared" si="76"/>
        <v>56337.092085759657</v>
      </c>
      <c r="H160" s="41">
        <f t="shared" si="76"/>
        <v>54050.933446064293</v>
      </c>
      <c r="I160" s="41">
        <f t="shared" si="76"/>
        <v>51920.561220510681</v>
      </c>
      <c r="J160" s="41">
        <f t="shared" si="76"/>
        <v>48575.833622723396</v>
      </c>
      <c r="K160" s="41">
        <f t="shared" si="76"/>
        <v>46130.750770041363</v>
      </c>
      <c r="L160" s="41">
        <f t="shared" si="76"/>
        <v>44660.912336534027</v>
      </c>
      <c r="M160" s="41">
        <f t="shared" si="76"/>
        <v>42890.944942488633</v>
      </c>
      <c r="N160" s="41">
        <f t="shared" si="76"/>
        <v>42346.28229435804</v>
      </c>
      <c r="O160" s="41">
        <f t="shared" si="76"/>
        <v>41442.523312248246</v>
      </c>
      <c r="P160" s="41">
        <f t="shared" si="76"/>
        <v>39905.381461144148</v>
      </c>
      <c r="Q160" s="41">
        <f t="shared" si="76"/>
        <v>38074.85038061878</v>
      </c>
      <c r="R160" s="41">
        <f t="shared" si="76"/>
        <v>37546.767421273013</v>
      </c>
      <c r="S160" s="41">
        <f t="shared" si="76"/>
        <v>37599.178175821376</v>
      </c>
      <c r="T160" s="41">
        <f t="shared" si="76"/>
        <v>37234.293214614037</v>
      </c>
      <c r="U160" s="41">
        <f t="shared" si="76"/>
        <v>35920.363833816977</v>
      </c>
      <c r="V160" s="41">
        <f t="shared" si="76"/>
        <v>35859.29583411404</v>
      </c>
      <c r="W160" s="41">
        <f t="shared" si="76"/>
        <v>36006.442585458455</v>
      </c>
      <c r="X160" s="41">
        <f t="shared" si="76"/>
        <v>36203.119258505649</v>
      </c>
      <c r="Y160" s="41"/>
      <c r="AA160" s="41">
        <f t="shared" ref="AA160:AA163" si="77">SUM(E160:Y160)</f>
        <v>885017.07924291899</v>
      </c>
    </row>
    <row r="161" spans="3:27">
      <c r="C161" s="9" t="str">
        <f>C14</f>
        <v>Multifamily - Low Rise</v>
      </c>
      <c r="E161" s="41">
        <f t="shared" ref="E161:X161" si="78">(E14-E42/$B24)</f>
        <v>23253.648540741066</v>
      </c>
      <c r="F161" s="41">
        <f t="shared" si="78"/>
        <v>22950.179979289638</v>
      </c>
      <c r="G161" s="41">
        <f t="shared" si="78"/>
        <v>22664.954130659302</v>
      </c>
      <c r="H161" s="41">
        <f t="shared" si="78"/>
        <v>21809.986766948234</v>
      </c>
      <c r="I161" s="41">
        <f t="shared" si="78"/>
        <v>20363.875020337538</v>
      </c>
      <c r="J161" s="41">
        <f t="shared" si="78"/>
        <v>19373.76205487613</v>
      </c>
      <c r="K161" s="41">
        <f t="shared" si="78"/>
        <v>18875.522598350773</v>
      </c>
      <c r="L161" s="41">
        <f t="shared" si="78"/>
        <v>18849.24262693022</v>
      </c>
      <c r="M161" s="41">
        <f t="shared" si="78"/>
        <v>18898.533052115967</v>
      </c>
      <c r="N161" s="41">
        <f t="shared" si="78"/>
        <v>18999.928125415016</v>
      </c>
      <c r="O161" s="41">
        <f t="shared" si="78"/>
        <v>18701.9269001096</v>
      </c>
      <c r="P161" s="41">
        <f t="shared" si="78"/>
        <v>18386.693023218355</v>
      </c>
      <c r="Q161" s="41">
        <f t="shared" si="78"/>
        <v>18162.476822563382</v>
      </c>
      <c r="R161" s="41">
        <f t="shared" si="78"/>
        <v>17780.837040218321</v>
      </c>
      <c r="S161" s="41">
        <f t="shared" si="78"/>
        <v>17444.454681719883</v>
      </c>
      <c r="T161" s="41">
        <f t="shared" si="78"/>
        <v>17023.871534792896</v>
      </c>
      <c r="U161" s="41">
        <f t="shared" si="78"/>
        <v>16707.628334506768</v>
      </c>
      <c r="V161" s="41">
        <f t="shared" si="78"/>
        <v>16495.937560071157</v>
      </c>
      <c r="W161" s="41">
        <f t="shared" si="78"/>
        <v>16195.498427137345</v>
      </c>
      <c r="X161" s="41">
        <f t="shared" si="78"/>
        <v>16119.758380539291</v>
      </c>
      <c r="Y161" s="41"/>
      <c r="AA161" s="41">
        <f t="shared" si="77"/>
        <v>379058.71560054086</v>
      </c>
    </row>
    <row r="162" spans="3:27">
      <c r="C162" s="9" t="str">
        <f>C15</f>
        <v>Multifamily - High Rise</v>
      </c>
      <c r="E162" s="41">
        <f t="shared" ref="E162:X162" si="79">(E15-E43/$B25)</f>
        <v>5220.2451428281229</v>
      </c>
      <c r="F162" s="41">
        <f t="shared" si="79"/>
        <v>5224.6462573394147</v>
      </c>
      <c r="G162" s="41">
        <f t="shared" si="79"/>
        <v>5237.3726687694134</v>
      </c>
      <c r="H162" s="41">
        <f t="shared" si="79"/>
        <v>4923.5925940203952</v>
      </c>
      <c r="I162" s="41">
        <f t="shared" si="79"/>
        <v>4508.0907812903069</v>
      </c>
      <c r="J162" s="41">
        <f t="shared" si="79"/>
        <v>4353.1355146063042</v>
      </c>
      <c r="K162" s="41">
        <f t="shared" si="79"/>
        <v>4253.6346763036017</v>
      </c>
      <c r="L162" s="41">
        <f t="shared" si="79"/>
        <v>4300.5139495787753</v>
      </c>
      <c r="M162" s="41">
        <f t="shared" si="79"/>
        <v>4281.446649270838</v>
      </c>
      <c r="N162" s="41">
        <f t="shared" si="79"/>
        <v>4303.9672676674882</v>
      </c>
      <c r="O162" s="41">
        <f t="shared" si="79"/>
        <v>4185.4645491046867</v>
      </c>
      <c r="P162" s="41">
        <f t="shared" si="79"/>
        <v>4106.9548474386474</v>
      </c>
      <c r="Q162" s="41">
        <f t="shared" si="79"/>
        <v>4021.8764851499818</v>
      </c>
      <c r="R162" s="41">
        <f t="shared" si="79"/>
        <v>3968.2136655002296</v>
      </c>
      <c r="S162" s="41">
        <f t="shared" si="79"/>
        <v>3911.6881624186299</v>
      </c>
      <c r="T162" s="41">
        <f t="shared" si="79"/>
        <v>3814.67441585387</v>
      </c>
      <c r="U162" s="41">
        <f t="shared" si="79"/>
        <v>3748.3032028986977</v>
      </c>
      <c r="V162" s="41">
        <f t="shared" si="79"/>
        <v>3661.9998680410108</v>
      </c>
      <c r="W162" s="41">
        <f t="shared" si="79"/>
        <v>3651.8947228694324</v>
      </c>
      <c r="X162" s="41">
        <f t="shared" si="79"/>
        <v>3631.9972476499029</v>
      </c>
      <c r="Y162" s="41"/>
      <c r="AA162" s="41">
        <f t="shared" si="77"/>
        <v>85309.712668599735</v>
      </c>
    </row>
    <row r="163" spans="3:27">
      <c r="C163" s="9" t="str">
        <f>C16</f>
        <v>Manufactured</v>
      </c>
      <c r="E163" s="41">
        <f t="shared" ref="E163:X163" si="80">(E16-E44/$B26)</f>
        <v>1867.4313231673225</v>
      </c>
      <c r="F163" s="41">
        <f t="shared" si="80"/>
        <v>1876.299231597407</v>
      </c>
      <c r="G163" s="41">
        <f t="shared" si="80"/>
        <v>1936.6031635064026</v>
      </c>
      <c r="H163" s="41">
        <f t="shared" si="80"/>
        <v>1995.9446159711006</v>
      </c>
      <c r="I163" s="41">
        <f t="shared" si="80"/>
        <v>1916.774848362352</v>
      </c>
      <c r="J163" s="41">
        <f t="shared" si="80"/>
        <v>1861.6472822372984</v>
      </c>
      <c r="K163" s="41">
        <f t="shared" si="80"/>
        <v>1836.4726850134211</v>
      </c>
      <c r="L163" s="41">
        <f t="shared" si="80"/>
        <v>1810.5826849607499</v>
      </c>
      <c r="M163" s="41">
        <f t="shared" si="80"/>
        <v>1781.9314692794917</v>
      </c>
      <c r="N163" s="41">
        <f t="shared" si="80"/>
        <v>1745.1902851789223</v>
      </c>
      <c r="O163" s="41">
        <f t="shared" si="80"/>
        <v>1701.4426431527256</v>
      </c>
      <c r="P163" s="41">
        <f t="shared" si="80"/>
        <v>1670.5455514130545</v>
      </c>
      <c r="Q163" s="41">
        <f t="shared" si="80"/>
        <v>1649.8807691336037</v>
      </c>
      <c r="R163" s="41">
        <f t="shared" si="80"/>
        <v>1634.8036402926393</v>
      </c>
      <c r="S163" s="41">
        <f t="shared" si="80"/>
        <v>1624.0313950286779</v>
      </c>
      <c r="T163" s="41">
        <f t="shared" si="80"/>
        <v>1617.1847105570616</v>
      </c>
      <c r="U163" s="41">
        <f t="shared" si="80"/>
        <v>1613.5731054177488</v>
      </c>
      <c r="V163" s="41">
        <f t="shared" si="80"/>
        <v>1613.7629732926771</v>
      </c>
      <c r="W163" s="41">
        <f t="shared" si="80"/>
        <v>1615.9663251333807</v>
      </c>
      <c r="X163" s="41">
        <f t="shared" si="80"/>
        <v>1614.7074780480405</v>
      </c>
      <c r="Y163" s="41"/>
      <c r="AA163" s="41">
        <f t="shared" si="77"/>
        <v>34984.776180744077</v>
      </c>
    </row>
    <row r="164" spans="3:27">
      <c r="E164" s="41"/>
      <c r="F164" s="41"/>
      <c r="G164" s="41"/>
      <c r="H164" s="41"/>
      <c r="I164" s="41"/>
      <c r="J164" s="41"/>
      <c r="K164" s="41"/>
      <c r="L164" s="41"/>
      <c r="M164" s="41"/>
      <c r="N164" s="41"/>
      <c r="O164" s="41"/>
      <c r="P164" s="41"/>
      <c r="Q164" s="41"/>
      <c r="R164" s="41"/>
      <c r="S164" s="41"/>
      <c r="T164" s="41"/>
      <c r="U164" s="41"/>
      <c r="V164" s="41"/>
      <c r="W164" s="41"/>
      <c r="X164" s="41"/>
      <c r="Y164" s="41"/>
    </row>
    <row r="165" spans="3:27">
      <c r="C165" s="9" t="s">
        <v>147</v>
      </c>
      <c r="E165" s="41">
        <f t="shared" ref="E165:X165" si="81">SUM(E160:E163)</f>
        <v>92929.313878091489</v>
      </c>
      <c r="F165" s="41">
        <f t="shared" si="81"/>
        <v>89774.689643695368</v>
      </c>
      <c r="G165" s="41">
        <f t="shared" si="81"/>
        <v>86176.02204869478</v>
      </c>
      <c r="H165" s="41">
        <f t="shared" si="81"/>
        <v>82780.457423004002</v>
      </c>
      <c r="I165" s="41">
        <f t="shared" si="81"/>
        <v>78709.301870500873</v>
      </c>
      <c r="J165" s="41">
        <f t="shared" si="81"/>
        <v>74164.378474443132</v>
      </c>
      <c r="K165" s="41">
        <f t="shared" si="81"/>
        <v>71096.380729709155</v>
      </c>
      <c r="L165" s="41">
        <f t="shared" si="81"/>
        <v>69621.251598003772</v>
      </c>
      <c r="M165" s="41">
        <f t="shared" si="81"/>
        <v>67852.856113154936</v>
      </c>
      <c r="N165" s="41">
        <f t="shared" si="81"/>
        <v>67395.367972619453</v>
      </c>
      <c r="O165" s="41">
        <f t="shared" si="81"/>
        <v>66031.35740461525</v>
      </c>
      <c r="P165" s="41">
        <f t="shared" si="81"/>
        <v>64069.574883214198</v>
      </c>
      <c r="Q165" s="41">
        <f t="shared" si="81"/>
        <v>61909.084457465746</v>
      </c>
      <c r="R165" s="41">
        <f t="shared" si="81"/>
        <v>60930.621767284203</v>
      </c>
      <c r="S165" s="41">
        <f t="shared" si="81"/>
        <v>60579.352414988571</v>
      </c>
      <c r="T165" s="41">
        <f t="shared" si="81"/>
        <v>59690.023875817868</v>
      </c>
      <c r="U165" s="41">
        <f t="shared" si="81"/>
        <v>57989.8684766402</v>
      </c>
      <c r="V165" s="41">
        <f t="shared" si="81"/>
        <v>57630.996235518891</v>
      </c>
      <c r="W165" s="41">
        <f t="shared" si="81"/>
        <v>57469.802060598617</v>
      </c>
      <c r="X165" s="41">
        <f t="shared" si="81"/>
        <v>57569.582364742884</v>
      </c>
      <c r="Y165" s="41"/>
      <c r="AA165" s="41">
        <f>SUM(E165:Y165)</f>
        <v>1384370.2836928035</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dimension ref="A1:CB187"/>
  <sheetViews>
    <sheetView topLeftCell="A75" workbookViewId="0">
      <selection activeCell="C17" sqref="C17"/>
    </sheetView>
  </sheetViews>
  <sheetFormatPr defaultRowHeight="12.75"/>
  <cols>
    <col min="1" max="1" width="35" style="9" customWidth="1"/>
    <col min="2" max="2" width="30.140625" style="9" customWidth="1"/>
    <col min="3" max="3" width="19.85546875" style="9" customWidth="1"/>
    <col min="4" max="4" width="36.140625" style="9" bestFit="1" customWidth="1"/>
    <col min="5"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49" t="s">
        <v>53</v>
      </c>
      <c r="B1" s="574" t="s">
        <v>54</v>
      </c>
      <c r="C1" s="574"/>
      <c r="D1" s="574"/>
      <c r="E1" s="574"/>
      <c r="F1" s="574"/>
      <c r="G1" s="574"/>
      <c r="H1" s="574"/>
      <c r="I1" s="574"/>
      <c r="J1" s="574"/>
      <c r="K1" s="574"/>
      <c r="L1" s="574"/>
      <c r="M1" s="574"/>
      <c r="N1" s="574"/>
      <c r="O1" s="574"/>
      <c r="P1" s="574"/>
      <c r="Q1" s="574"/>
      <c r="R1" s="574"/>
      <c r="S1" s="574"/>
    </row>
    <row r="2" spans="1:68">
      <c r="A2" s="50" t="s">
        <v>152</v>
      </c>
      <c r="B2" s="574"/>
      <c r="C2" s="574"/>
      <c r="D2" s="574"/>
      <c r="E2" s="574"/>
      <c r="F2" s="574"/>
      <c r="G2" s="574"/>
      <c r="H2" s="574"/>
      <c r="I2" s="574"/>
      <c r="J2" s="574"/>
      <c r="K2" s="574"/>
      <c r="L2" s="574"/>
      <c r="M2" s="574"/>
      <c r="N2" s="574"/>
      <c r="O2" s="574"/>
      <c r="P2" s="574"/>
      <c r="Q2" s="574"/>
      <c r="R2" s="574"/>
      <c r="S2" s="574"/>
    </row>
    <row r="3" spans="1:68">
      <c r="B3" s="574"/>
      <c r="C3" s="574"/>
      <c r="D3" s="574"/>
      <c r="E3" s="574"/>
      <c r="F3" s="574"/>
      <c r="G3" s="574"/>
      <c r="H3" s="574"/>
      <c r="I3" s="574"/>
      <c r="J3" s="574"/>
      <c r="K3" s="574"/>
      <c r="L3" s="574"/>
      <c r="M3" s="574"/>
      <c r="N3" s="574"/>
      <c r="O3" s="574"/>
      <c r="P3" s="574"/>
      <c r="Q3" s="574"/>
      <c r="R3" s="574"/>
      <c r="S3" s="574"/>
    </row>
    <row r="4" spans="1:68">
      <c r="B4" s="574"/>
      <c r="C4" s="574"/>
      <c r="D4" s="574"/>
      <c r="E4" s="574"/>
      <c r="F4" s="574"/>
      <c r="G4" s="574"/>
      <c r="H4" s="574"/>
      <c r="I4" s="574"/>
      <c r="J4" s="574"/>
      <c r="K4" s="574"/>
      <c r="L4" s="574"/>
      <c r="M4" s="574"/>
      <c r="N4" s="574"/>
      <c r="O4" s="574"/>
      <c r="P4" s="574"/>
      <c r="Q4" s="574"/>
      <c r="R4" s="574"/>
      <c r="S4" s="574"/>
    </row>
    <row r="5" spans="1:68">
      <c r="B5" s="574"/>
      <c r="C5" s="574"/>
      <c r="D5" s="574"/>
      <c r="E5" s="574"/>
      <c r="F5" s="574"/>
      <c r="G5" s="574"/>
      <c r="H5" s="574"/>
      <c r="I5" s="574"/>
      <c r="J5" s="574"/>
      <c r="K5" s="574"/>
      <c r="L5" s="574"/>
      <c r="M5" s="574"/>
      <c r="N5" s="574"/>
      <c r="O5" s="574"/>
      <c r="P5" s="574"/>
      <c r="Q5" s="574"/>
      <c r="R5" s="574"/>
      <c r="S5" s="574"/>
    </row>
    <row r="6" spans="1:68">
      <c r="B6" s="574"/>
      <c r="C6" s="574"/>
      <c r="D6" s="574"/>
      <c r="E6" s="574"/>
      <c r="F6" s="574"/>
      <c r="G6" s="574"/>
      <c r="H6" s="574"/>
      <c r="I6" s="574"/>
      <c r="J6" s="574"/>
      <c r="K6" s="574"/>
      <c r="L6" s="574"/>
      <c r="M6" s="574"/>
      <c r="N6" s="574"/>
      <c r="O6" s="574"/>
      <c r="P6" s="574"/>
      <c r="Q6" s="574"/>
      <c r="R6" s="574"/>
      <c r="S6" s="574"/>
    </row>
    <row r="7" spans="1:68">
      <c r="A7" s="549"/>
      <c r="B7" s="549" t="s">
        <v>47</v>
      </c>
      <c r="C7" s="60" t="s">
        <v>55</v>
      </c>
      <c r="D7" s="60" t="s">
        <v>790</v>
      </c>
    </row>
    <row r="8" spans="1:68">
      <c r="A8" s="549" t="s">
        <v>1133</v>
      </c>
      <c r="B8" s="549" t="s">
        <v>56</v>
      </c>
      <c r="C8" s="60" t="str">
        <f>[2]MLIST!$B$74</f>
        <v>Advanced Power Strips</v>
      </c>
      <c r="D8" s="60" t="str">
        <f>[1]!switch_ForecastState</f>
        <v>Region</v>
      </c>
    </row>
    <row r="9" spans="1:68">
      <c r="A9" s="549" t="str">
        <f>INDEX([2]ACHIEV!$A$19:$B$100,MATCH(CONCATENATE($C$8," - ",$C$7),[2]ACHIEV!$B$19:$B$100,0),1)</f>
        <v>Electronics</v>
      </c>
      <c r="B9" s="550" t="s">
        <v>57</v>
      </c>
      <c r="C9" s="60">
        <f>[2]FILES!$H$4</f>
        <v>2035</v>
      </c>
      <c r="D9" s="60" t="str">
        <f>[1]!switch_ForecastScenario</f>
        <v>Base</v>
      </c>
    </row>
    <row r="10" spans="1:68">
      <c r="A10" s="549"/>
      <c r="B10" s="549" t="s">
        <v>1159</v>
      </c>
      <c r="C10" s="562">
        <f>MIN(SUM(E98:X98),Y98)</f>
        <v>231.16675565415144</v>
      </c>
      <c r="D10" s="61"/>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2" t="str">
        <f>CONCATENATE("# OF EXISTING HOMES FOR MEASURE -",$C$8)</f>
        <v># OF EXISTING HOMES FOR MEASURE -Advanced Power Strips</v>
      </c>
      <c r="C11" s="9" t="s">
        <v>149</v>
      </c>
      <c r="E11" s="65">
        <v>2016</v>
      </c>
      <c r="F11" s="508">
        <v>2017</v>
      </c>
      <c r="G11" s="508">
        <v>2018</v>
      </c>
      <c r="H11" s="508">
        <v>2019</v>
      </c>
      <c r="I11" s="508">
        <v>2020</v>
      </c>
      <c r="J11" s="508">
        <v>2021</v>
      </c>
      <c r="K11" s="508">
        <v>2022</v>
      </c>
      <c r="L11" s="508">
        <v>2023</v>
      </c>
      <c r="M11" s="508">
        <v>2024</v>
      </c>
      <c r="N11" s="508">
        <v>2025</v>
      </c>
      <c r="O11" s="508">
        <v>2026</v>
      </c>
      <c r="P11" s="508">
        <v>2027</v>
      </c>
      <c r="Q11" s="508">
        <v>2028</v>
      </c>
      <c r="R11" s="508">
        <v>2029</v>
      </c>
      <c r="S11" s="508">
        <v>2030</v>
      </c>
      <c r="T11" s="508">
        <v>2031</v>
      </c>
      <c r="U11" s="508">
        <v>2032</v>
      </c>
      <c r="V11" s="508">
        <v>2033</v>
      </c>
      <c r="W11" s="508">
        <v>2034</v>
      </c>
      <c r="X11" s="508">
        <v>2035</v>
      </c>
      <c r="Y11" s="67"/>
      <c r="AA11" s="51"/>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68" t="str">
        <f>CONCATENATE("Homes_",E11)</f>
        <v>Homes_2016</v>
      </c>
      <c r="F12" s="69" t="str">
        <f t="shared" ref="F12:X12" si="0">CONCATENATE("Homes_",F11)</f>
        <v>Homes_2017</v>
      </c>
      <c r="G12" s="69" t="str">
        <f t="shared" si="0"/>
        <v>Homes_2018</v>
      </c>
      <c r="H12" s="69" t="str">
        <f t="shared" si="0"/>
        <v>Homes_2019</v>
      </c>
      <c r="I12" s="69" t="str">
        <f t="shared" si="0"/>
        <v>Homes_2020</v>
      </c>
      <c r="J12" s="69" t="str">
        <f t="shared" si="0"/>
        <v>Homes_2021</v>
      </c>
      <c r="K12" s="69" t="str">
        <f t="shared" si="0"/>
        <v>Homes_2022</v>
      </c>
      <c r="L12" s="69" t="str">
        <f t="shared" si="0"/>
        <v>Homes_2023</v>
      </c>
      <c r="M12" s="69" t="str">
        <f t="shared" si="0"/>
        <v>Homes_2024</v>
      </c>
      <c r="N12" s="69" t="str">
        <f t="shared" si="0"/>
        <v>Homes_2025</v>
      </c>
      <c r="O12" s="69" t="str">
        <f t="shared" si="0"/>
        <v>Homes_2026</v>
      </c>
      <c r="P12" s="69" t="str">
        <f t="shared" si="0"/>
        <v>Homes_2027</v>
      </c>
      <c r="Q12" s="69" t="str">
        <f t="shared" si="0"/>
        <v>Homes_2028</v>
      </c>
      <c r="R12" s="69" t="str">
        <f t="shared" si="0"/>
        <v>Homes_2029</v>
      </c>
      <c r="S12" s="69" t="str">
        <f t="shared" si="0"/>
        <v>Homes_2030</v>
      </c>
      <c r="T12" s="69" t="str">
        <f t="shared" si="0"/>
        <v>Homes_2031</v>
      </c>
      <c r="U12" s="69" t="str">
        <f t="shared" si="0"/>
        <v>Homes_2032</v>
      </c>
      <c r="V12" s="69" t="str">
        <f t="shared" si="0"/>
        <v>Homes_2033</v>
      </c>
      <c r="W12" s="69" t="str">
        <f t="shared" si="0"/>
        <v>Homes_2034</v>
      </c>
      <c r="X12" s="69" t="str">
        <f t="shared" si="0"/>
        <v>Homes_2035</v>
      </c>
      <c r="Y12" s="70"/>
      <c r="AA12" s="49"/>
    </row>
    <row r="13" spans="1:68">
      <c r="C13" s="9" t="s">
        <v>48</v>
      </c>
      <c r="E13" s="41">
        <f>INDEX([1]!tbl_Forecast,MATCH($D$8&amp;$C13&amp;$D$7,[1]!rng_ForecastRowLookup,0),MATCH(E$11,[1]!rng_ForecastColumnLookup,0))</f>
        <v>4203528.2719999999</v>
      </c>
      <c r="F13" s="41">
        <f>INDEX([1]!tbl_Forecast,MATCH($D$8&amp;$C13&amp;$D$7,[1]!rng_ForecastRowLookup,0),MATCH(F$11,[1]!rng_ForecastColumnLookup,0))</f>
        <v>4193982.9785983553</v>
      </c>
      <c r="G13" s="41">
        <f>INDEX([1]!tbl_Forecast,MATCH($D$8&amp;$C13&amp;$D$7,[1]!rng_ForecastRowLookup,0),MATCH(G$11,[1]!rng_ForecastColumnLookup,0))</f>
        <v>4184459.3604704877</v>
      </c>
      <c r="H13" s="41">
        <f>INDEX([1]!tbl_Forecast,MATCH($D$8&amp;$C13&amp;$D$7,[1]!rng_ForecastRowLookup,0),MATCH(H$11,[1]!rng_ForecastColumnLookup,0))</f>
        <v>4174957.36839659</v>
      </c>
      <c r="I13" s="41">
        <f>INDEX([1]!tbl_Forecast,MATCH($D$8&amp;$C13&amp;$D$7,[1]!rng_ForecastRowLookup,0),MATCH(I$11,[1]!rng_ForecastColumnLookup,0))</f>
        <v>4165476.9532686244</v>
      </c>
      <c r="J13" s="41">
        <f>INDEX([1]!tbl_Forecast,MATCH($D$8&amp;$C13&amp;$D$7,[1]!rng_ForecastRowLookup,0),MATCH(J$11,[1]!rng_ForecastColumnLookup,0))</f>
        <v>4156018.0660900641</v>
      </c>
      <c r="K13" s="41">
        <f>INDEX([1]!tbl_Forecast,MATCH($D$8&amp;$C13&amp;$D$7,[1]!rng_ForecastRowLookup,0),MATCH(K$11,[1]!rng_ForecastColumnLookup,0))</f>
        <v>4146580.6579756448</v>
      </c>
      <c r="L13" s="41">
        <f>INDEX([1]!tbl_Forecast,MATCH($D$8&amp;$C13&amp;$D$7,[1]!rng_ForecastRowLookup,0),MATCH(L$11,[1]!rng_ForecastColumnLookup,0))</f>
        <v>4137164.6801511091</v>
      </c>
      <c r="M13" s="41">
        <f>INDEX([1]!tbl_Forecast,MATCH($D$8&amp;$C13&amp;$D$7,[1]!rng_ForecastRowLookup,0),MATCH(M$11,[1]!rng_ForecastColumnLookup,0))</f>
        <v>4127770.0839529554</v>
      </c>
      <c r="N13" s="41">
        <f>INDEX([1]!tbl_Forecast,MATCH($D$8&amp;$C13&amp;$D$7,[1]!rng_ForecastRowLookup,0),MATCH(N$11,[1]!rng_ForecastColumnLookup,0))</f>
        <v>4118396.8208281873</v>
      </c>
      <c r="O13" s="41">
        <f>INDEX([1]!tbl_Forecast,MATCH($D$8&amp;$C13&amp;$D$7,[1]!rng_ForecastRowLookup,0),MATCH(O$11,[1]!rng_ForecastColumnLookup,0))</f>
        <v>4109044.8423340586</v>
      </c>
      <c r="P13" s="41">
        <f>INDEX([1]!tbl_Forecast,MATCH($D$8&amp;$C13&amp;$D$7,[1]!rng_ForecastRowLookup,0),MATCH(P$11,[1]!rng_ForecastColumnLookup,0))</f>
        <v>4099714.1001378288</v>
      </c>
      <c r="Q13" s="41">
        <f>INDEX([1]!tbl_Forecast,MATCH($D$8&amp;$C13&amp;$D$7,[1]!rng_ForecastRowLookup,0),MATCH(Q$11,[1]!rng_ForecastColumnLookup,0))</f>
        <v>4090404.5460165106</v>
      </c>
      <c r="R13" s="41">
        <f>INDEX([1]!tbl_Forecast,MATCH($D$8&amp;$C13&amp;$D$7,[1]!rng_ForecastRowLookup,0),MATCH(R$11,[1]!rng_ForecastColumnLookup,0))</f>
        <v>4081116.1318566194</v>
      </c>
      <c r="S13" s="41">
        <f>INDEX([1]!tbl_Forecast,MATCH($D$8&amp;$C13&amp;$D$7,[1]!rng_ForecastRowLookup,0),MATCH(S$11,[1]!rng_ForecastColumnLookup,0))</f>
        <v>4071848.8096539262</v>
      </c>
      <c r="T13" s="41">
        <f>INDEX([1]!tbl_Forecast,MATCH($D$8&amp;$C13&amp;$D$7,[1]!rng_ForecastRowLookup,0),MATCH(T$11,[1]!rng_ForecastColumnLookup,0))</f>
        <v>4062602.5315132081</v>
      </c>
      <c r="U13" s="41">
        <f>INDEX([1]!tbl_Forecast,MATCH($D$8&amp;$C13&amp;$D$7,[1]!rng_ForecastRowLookup,0),MATCH(U$11,[1]!rng_ForecastColumnLookup,0))</f>
        <v>4053377.2496480034</v>
      </c>
      <c r="V13" s="41">
        <f>INDEX([1]!tbl_Forecast,MATCH($D$8&amp;$C13&amp;$D$7,[1]!rng_ForecastRowLookup,0),MATCH(V$11,[1]!rng_ForecastColumnLookup,0))</f>
        <v>4044172.9163803621</v>
      </c>
      <c r="W13" s="41">
        <f>INDEX([1]!tbl_Forecast,MATCH($D$8&amp;$C13&amp;$D$7,[1]!rng_ForecastRowLookup,0),MATCH(W$11,[1]!rng_ForecastColumnLookup,0))</f>
        <v>4034989.4841406001</v>
      </c>
      <c r="X13" s="41">
        <f>INDEX([1]!tbl_Forecast,MATCH($D$8&amp;$C13&amp;$D$7,[1]!rng_ForecastRowLookup,0),MATCH(X$11,[1]!rng_ForecastColumnLookup,0))</f>
        <v>4025826.9054670548</v>
      </c>
      <c r="Y13" s="86"/>
      <c r="AA13" s="53"/>
    </row>
    <row r="14" spans="1:68">
      <c r="C14" s="9" t="s">
        <v>49</v>
      </c>
      <c r="E14" s="41">
        <f>INDEX([1]!tbl_Forecast,MATCH($D$8&amp;$C14&amp;$D$7,[1]!rng_ForecastRowLookup,0),MATCH(E$11,[1]!rng_ForecastColumnLookup,0))</f>
        <v>926243.25609262148</v>
      </c>
      <c r="F14" s="41">
        <f>INDEX([1]!tbl_Forecast,MATCH($D$8&amp;$C14&amp;$D$7,[1]!rng_ForecastRowLookup,0),MATCH(F$11,[1]!rng_ForecastColumnLookup,0))</f>
        <v>924139.92640956037</v>
      </c>
      <c r="G14" s="41">
        <f>INDEX([1]!tbl_Forecast,MATCH($D$8&amp;$C14&amp;$D$7,[1]!rng_ForecastRowLookup,0),MATCH(G$11,[1]!rng_ForecastColumnLookup,0))</f>
        <v>922041.3730050053</v>
      </c>
      <c r="H14" s="41">
        <f>INDEX([1]!tbl_Forecast,MATCH($D$8&amp;$C14&amp;$D$7,[1]!rng_ForecastRowLookup,0),MATCH(H$11,[1]!rng_ForecastColumnLookup,0))</f>
        <v>919947.58503289847</v>
      </c>
      <c r="I14" s="41">
        <f>INDEX([1]!tbl_Forecast,MATCH($D$8&amp;$C14&amp;$D$7,[1]!rng_ForecastRowLookup,0),MATCH(I$11,[1]!rng_ForecastColumnLookup,0))</f>
        <v>917858.55167181045</v>
      </c>
      <c r="J14" s="41">
        <f>INDEX([1]!tbl_Forecast,MATCH($D$8&amp;$C14&amp;$D$7,[1]!rng_ForecastRowLookup,0),MATCH(J$11,[1]!rng_ForecastColumnLookup,0))</f>
        <v>915774.26212488639</v>
      </c>
      <c r="K14" s="41">
        <f>INDEX([1]!tbl_Forecast,MATCH($D$8&amp;$C14&amp;$D$7,[1]!rng_ForecastRowLookup,0),MATCH(K$11,[1]!rng_ForecastColumnLookup,0))</f>
        <v>913694.70561978838</v>
      </c>
      <c r="L14" s="41">
        <f>INDEX([1]!tbl_Forecast,MATCH($D$8&amp;$C14&amp;$D$7,[1]!rng_ForecastRowLookup,0),MATCH(L$11,[1]!rng_ForecastColumnLookup,0))</f>
        <v>911619.87140864041</v>
      </c>
      <c r="M14" s="41">
        <f>INDEX([1]!tbl_Forecast,MATCH($D$8&amp;$C14&amp;$D$7,[1]!rng_ForecastRowLookup,0),MATCH(M$11,[1]!rng_ForecastColumnLookup,0))</f>
        <v>909549.74876797362</v>
      </c>
      <c r="N14" s="41">
        <f>INDEX([1]!tbl_Forecast,MATCH($D$8&amp;$C14&amp;$D$7,[1]!rng_ForecastRowLookup,0),MATCH(N$11,[1]!rng_ForecastColumnLookup,0))</f>
        <v>907484.32699866977</v>
      </c>
      <c r="O14" s="41">
        <f>INDEX([1]!tbl_Forecast,MATCH($D$8&amp;$C14&amp;$D$7,[1]!rng_ForecastRowLookup,0),MATCH(O$11,[1]!rng_ForecastColumnLookup,0))</f>
        <v>905423.59542590659</v>
      </c>
      <c r="P14" s="41">
        <f>INDEX([1]!tbl_Forecast,MATCH($D$8&amp;$C14&amp;$D$7,[1]!rng_ForecastRowLookup,0),MATCH(P$11,[1]!rng_ForecastColumnLookup,0))</f>
        <v>903367.54339910217</v>
      </c>
      <c r="Q14" s="41">
        <f>INDEX([1]!tbl_Forecast,MATCH($D$8&amp;$C14&amp;$D$7,[1]!rng_ForecastRowLookup,0),MATCH(Q$11,[1]!rng_ForecastColumnLookup,0))</f>
        <v>901316.16029185988</v>
      </c>
      <c r="R14" s="41">
        <f>INDEX([1]!tbl_Forecast,MATCH($D$8&amp;$C14&amp;$D$7,[1]!rng_ForecastRowLookup,0),MATCH(R$11,[1]!rng_ForecastColumnLookup,0))</f>
        <v>899269.43550191447</v>
      </c>
      <c r="S14" s="41">
        <f>INDEX([1]!tbl_Forecast,MATCH($D$8&amp;$C14&amp;$D$7,[1]!rng_ForecastRowLookup,0),MATCH(S$11,[1]!rng_ForecastColumnLookup,0))</f>
        <v>897227.35845107585</v>
      </c>
      <c r="T14" s="41">
        <f>INDEX([1]!tbl_Forecast,MATCH($D$8&amp;$C14&amp;$D$7,[1]!rng_ForecastRowLookup,0),MATCH(T$11,[1]!rng_ForecastColumnLookup,0))</f>
        <v>895189.9185851753</v>
      </c>
      <c r="U14" s="41">
        <f>INDEX([1]!tbl_Forecast,MATCH($D$8&amp;$C14&amp;$D$7,[1]!rng_ForecastRowLookup,0),MATCH(U$11,[1]!rng_ForecastColumnLookup,0))</f>
        <v>893157.10537401051</v>
      </c>
      <c r="V14" s="41">
        <f>INDEX([1]!tbl_Forecast,MATCH($D$8&amp;$C14&amp;$D$7,[1]!rng_ForecastRowLookup,0),MATCH(V$11,[1]!rng_ForecastColumnLookup,0))</f>
        <v>891128.90831129183</v>
      </c>
      <c r="W14" s="41">
        <f>INDEX([1]!tbl_Forecast,MATCH($D$8&amp;$C14&amp;$D$7,[1]!rng_ForecastRowLookup,0),MATCH(W$11,[1]!rng_ForecastColumnLookup,0))</f>
        <v>889105.31691458682</v>
      </c>
      <c r="X14" s="41">
        <f>INDEX([1]!tbl_Forecast,MATCH($D$8&amp;$C14&amp;$D$7,[1]!rng_ForecastRowLookup,0),MATCH(X$11,[1]!rng_ForecastColumnLookup,0))</f>
        <v>887086.32072526717</v>
      </c>
      <c r="Y14" s="86"/>
      <c r="AA14" s="53"/>
    </row>
    <row r="15" spans="1:68">
      <c r="C15" s="9" t="s">
        <v>50</v>
      </c>
      <c r="E15" s="41">
        <f>INDEX([1]!tbl_Forecast,MATCH($D$8&amp;$C15&amp;$D$7,[1]!rng_ForecastRowLookup,0),MATCH(E$11,[1]!rng_ForecastColumnLookup,0))</f>
        <v>211180.07985625503</v>
      </c>
      <c r="F15" s="41">
        <f>INDEX([1]!tbl_Forecast,MATCH($D$8&amp;$C15&amp;$D$7,[1]!rng_ForecastRowLookup,0),MATCH(F$11,[1]!rng_ForecastColumnLookup,0))</f>
        <v>210700.52836963299</v>
      </c>
      <c r="G15" s="41">
        <f>INDEX([1]!tbl_Forecast,MATCH($D$8&amp;$C15&amp;$D$7,[1]!rng_ForecastRowLookup,0),MATCH(G$11,[1]!rng_ForecastColumnLookup,0))</f>
        <v>210222.06585706791</v>
      </c>
      <c r="H15" s="41">
        <f>INDEX([1]!tbl_Forecast,MATCH($D$8&amp;$C15&amp;$D$7,[1]!rng_ForecastRowLookup,0),MATCH(H$11,[1]!rng_ForecastColumnLookup,0))</f>
        <v>209744.68984569819</v>
      </c>
      <c r="I15" s="41">
        <f>INDEX([1]!tbl_Forecast,MATCH($D$8&amp;$C15&amp;$D$7,[1]!rng_ForecastRowLookup,0),MATCH(I$11,[1]!rng_ForecastColumnLookup,0))</f>
        <v>209268.39786827751</v>
      </c>
      <c r="J15" s="41">
        <f>INDEX([1]!tbl_Forecast,MATCH($D$8&amp;$C15&amp;$D$7,[1]!rng_ForecastRowLookup,0),MATCH(J$11,[1]!rng_ForecastColumnLookup,0))</f>
        <v>208793.18746316229</v>
      </c>
      <c r="K15" s="41">
        <f>INDEX([1]!tbl_Forecast,MATCH($D$8&amp;$C15&amp;$D$7,[1]!rng_ForecastRowLookup,0),MATCH(K$11,[1]!rng_ForecastColumnLookup,0))</f>
        <v>208319.05617429892</v>
      </c>
      <c r="L15" s="41">
        <f>INDEX([1]!tbl_Forecast,MATCH($D$8&amp;$C15&amp;$D$7,[1]!rng_ForecastRowLookup,0),MATCH(L$11,[1]!rng_ForecastColumnLookup,0))</f>
        <v>207846.00155121088</v>
      </c>
      <c r="M15" s="41">
        <f>INDEX([1]!tbl_Forecast,MATCH($D$8&amp;$C15&amp;$D$7,[1]!rng_ForecastRowLookup,0),MATCH(M$11,[1]!rng_ForecastColumnLookup,0))</f>
        <v>207374.0211489865</v>
      </c>
      <c r="N15" s="41">
        <f>INDEX([1]!tbl_Forecast,MATCH($D$8&amp;$C15&amp;$D$7,[1]!rng_ForecastRowLookup,0),MATCH(N$11,[1]!rng_ForecastColumnLookup,0))</f>
        <v>206903.11252826577</v>
      </c>
      <c r="O15" s="41">
        <f>INDEX([1]!tbl_Forecast,MATCH($D$8&amp;$C15&amp;$D$7,[1]!rng_ForecastRowLookup,0),MATCH(O$11,[1]!rng_ForecastColumnLookup,0))</f>
        <v>206433.27325522827</v>
      </c>
      <c r="P15" s="41">
        <f>INDEX([1]!tbl_Forecast,MATCH($D$8&amp;$C15&amp;$D$7,[1]!rng_ForecastRowLookup,0),MATCH(P$11,[1]!rng_ForecastColumnLookup,0))</f>
        <v>205964.50090158021</v>
      </c>
      <c r="Q15" s="41">
        <f>INDEX([1]!tbl_Forecast,MATCH($D$8&amp;$C15&amp;$D$7,[1]!rng_ForecastRowLookup,0),MATCH(Q$11,[1]!rng_ForecastColumnLookup,0))</f>
        <v>205496.79304454199</v>
      </c>
      <c r="R15" s="41">
        <f>INDEX([1]!tbl_Forecast,MATCH($D$8&amp;$C15&amp;$D$7,[1]!rng_ForecastRowLookup,0),MATCH(R$11,[1]!rng_ForecastColumnLookup,0))</f>
        <v>205030.14726683579</v>
      </c>
      <c r="S15" s="41">
        <f>INDEX([1]!tbl_Forecast,MATCH($D$8&amp;$C15&amp;$D$7,[1]!rng_ForecastRowLookup,0),MATCH(S$11,[1]!rng_ForecastColumnLookup,0))</f>
        <v>204564.56115667295</v>
      </c>
      <c r="T15" s="41">
        <f>INDEX([1]!tbl_Forecast,MATCH($D$8&amp;$C15&amp;$D$7,[1]!rng_ForecastRowLookup,0),MATCH(T$11,[1]!rng_ForecastColumnLookup,0))</f>
        <v>204100.03230774152</v>
      </c>
      <c r="U15" s="41">
        <f>INDEX([1]!tbl_Forecast,MATCH($D$8&amp;$C15&amp;$D$7,[1]!rng_ForecastRowLookup,0),MATCH(U$11,[1]!rng_ForecastColumnLookup,0))</f>
        <v>203636.55831919383</v>
      </c>
      <c r="V15" s="41">
        <f>INDEX([1]!tbl_Forecast,MATCH($D$8&amp;$C15&amp;$D$7,[1]!rng_ForecastRowLookup,0),MATCH(V$11,[1]!rng_ForecastColumnLookup,0))</f>
        <v>203174.13679563423</v>
      </c>
      <c r="W15" s="41">
        <f>INDEX([1]!tbl_Forecast,MATCH($D$8&amp;$C15&amp;$D$7,[1]!rng_ForecastRowLookup,0),MATCH(W$11,[1]!rng_ForecastColumnLookup,0))</f>
        <v>202712.76534710638</v>
      </c>
      <c r="X15" s="41">
        <f>INDEX([1]!tbl_Forecast,MATCH($D$8&amp;$C15&amp;$D$7,[1]!rng_ForecastRowLookup,0),MATCH(X$11,[1]!rng_ForecastColumnLookup,0))</f>
        <v>202252.44158908122</v>
      </c>
      <c r="Y15" s="86"/>
      <c r="AA15" s="53"/>
    </row>
    <row r="16" spans="1:68">
      <c r="C16" s="9" t="s">
        <v>51</v>
      </c>
      <c r="E16" s="41">
        <f>INDEX([1]!tbl_Forecast,MATCH($D$8&amp;$C16&amp;$D$7,[1]!rng_ForecastRowLookup,0),MATCH(E$11,[1]!rng_ForecastColumnLookup,0))</f>
        <v>572006.3278356482</v>
      </c>
      <c r="F16" s="41">
        <f>INDEX([1]!tbl_Forecast,MATCH($D$8&amp;$C16&amp;$D$7,[1]!rng_ForecastRowLookup,0),MATCH(F$11,[1]!rng_ForecastColumnLookup,0))</f>
        <v>565893.30394507048</v>
      </c>
      <c r="G16" s="41">
        <f>INDEX([1]!tbl_Forecast,MATCH($D$8&amp;$C16&amp;$D$7,[1]!rng_ForecastRowLookup,0),MATCH(G$11,[1]!rng_ForecastColumnLookup,0))</f>
        <v>559845.60985814757</v>
      </c>
      <c r="H16" s="41">
        <f>INDEX([1]!tbl_Forecast,MATCH($D$8&amp;$C16&amp;$D$7,[1]!rng_ForecastRowLookup,0),MATCH(H$11,[1]!rng_ForecastColumnLookup,0))</f>
        <v>553862.54739615123</v>
      </c>
      <c r="I16" s="41">
        <f>INDEX([1]!tbl_Forecast,MATCH($D$8&amp;$C16&amp;$D$7,[1]!rng_ForecastRowLookup,0),MATCH(I$11,[1]!rng_ForecastColumnLookup,0))</f>
        <v>547943.42584177968</v>
      </c>
      <c r="J16" s="41">
        <f>INDEX([1]!tbl_Forecast,MATCH($D$8&amp;$C16&amp;$D$7,[1]!rng_ForecastRowLookup,0),MATCH(J$11,[1]!rng_ForecastColumnLookup,0))</f>
        <v>542087.56185941794</v>
      </c>
      <c r="K16" s="41">
        <f>INDEX([1]!tbl_Forecast,MATCH($D$8&amp;$C16&amp;$D$7,[1]!rng_ForecastRowLookup,0),MATCH(K$11,[1]!rng_ForecastColumnLookup,0))</f>
        <v>536294.27941624937</v>
      </c>
      <c r="L16" s="41">
        <f>INDEX([1]!tbl_Forecast,MATCH($D$8&amp;$C16&amp;$D$7,[1]!rng_ForecastRowLookup,0),MATCH(L$11,[1]!rng_ForecastColumnLookup,0))</f>
        <v>530562.90970421082</v>
      </c>
      <c r="M16" s="41">
        <f>INDEX([1]!tbl_Forecast,MATCH($D$8&amp;$C16&amp;$D$7,[1]!rng_ForecastRowLookup,0),MATCH(M$11,[1]!rng_ForecastColumnLookup,0))</f>
        <v>524892.79106278194</v>
      </c>
      <c r="N16" s="41">
        <f>INDEX([1]!tbl_Forecast,MATCH($D$8&amp;$C16&amp;$D$7,[1]!rng_ForecastRowLookup,0),MATCH(N$11,[1]!rng_ForecastColumnLookup,0))</f>
        <v>519283.26890259917</v>
      </c>
      <c r="O16" s="41">
        <f>INDEX([1]!tbl_Forecast,MATCH($D$8&amp;$C16&amp;$D$7,[1]!rng_ForecastRowLookup,0),MATCH(O$11,[1]!rng_ForecastColumnLookup,0))</f>
        <v>513733.69562988722</v>
      </c>
      <c r="P16" s="41">
        <f>INDEX([1]!tbl_Forecast,MATCH($D$8&amp;$C16&amp;$D$7,[1]!rng_ForecastRowLookup,0),MATCH(P$11,[1]!rng_ForecastColumnLookup,0))</f>
        <v>508243.4305716962</v>
      </c>
      <c r="Q16" s="41">
        <f>INDEX([1]!tbl_Forecast,MATCH($D$8&amp;$C16&amp;$D$7,[1]!rng_ForecastRowLookup,0),MATCH(Q$11,[1]!rng_ForecastColumnLookup,0))</f>
        <v>502811.8399019395</v>
      </c>
      <c r="R16" s="41">
        <f>INDEX([1]!tbl_Forecast,MATCH($D$8&amp;$C16&amp;$D$7,[1]!rng_ForecastRowLookup,0),MATCH(R$11,[1]!rng_ForecastColumnLookup,0))</f>
        <v>497438.2965682213</v>
      </c>
      <c r="S16" s="41">
        <f>INDEX([1]!tbl_Forecast,MATCH($D$8&amp;$C16&amp;$D$7,[1]!rng_ForecastRowLookup,0),MATCH(S$11,[1]!rng_ForecastColumnLookup,0))</f>
        <v>492122.18021944637</v>
      </c>
      <c r="T16" s="41">
        <f>INDEX([1]!tbl_Forecast,MATCH($D$8&amp;$C16&amp;$D$7,[1]!rng_ForecastRowLookup,0),MATCH(T$11,[1]!rng_ForecastColumnLookup,0))</f>
        <v>486862.87713420321</v>
      </c>
      <c r="U16" s="41">
        <f>INDEX([1]!tbl_Forecast,MATCH($D$8&amp;$C16&amp;$D$7,[1]!rng_ForecastRowLookup,0),MATCH(U$11,[1]!rng_ForecastColumnLookup,0))</f>
        <v>481659.78014991269</v>
      </c>
      <c r="V16" s="41">
        <f>INDEX([1]!tbl_Forecast,MATCH($D$8&amp;$C16&amp;$D$7,[1]!rng_ForecastRowLookup,0),MATCH(V$11,[1]!rng_ForecastColumnLookup,0))</f>
        <v>476512.28859273402</v>
      </c>
      <c r="W16" s="41">
        <f>INDEX([1]!tbl_Forecast,MATCH($D$8&amp;$C16&amp;$D$7,[1]!rng_ForecastRowLookup,0),MATCH(W$11,[1]!rng_ForecastColumnLookup,0))</f>
        <v>471419.80820821953</v>
      </c>
      <c r="X16" s="41">
        <f>INDEX([1]!tbl_Forecast,MATCH($D$8&amp;$C16&amp;$D$7,[1]!rng_ForecastRowLookup,0),MATCH(X$11,[1]!rng_ForecastColumnLookup,0))</f>
        <v>466381.75109271082</v>
      </c>
      <c r="Y16" s="86"/>
      <c r="AA16" s="53"/>
    </row>
    <row r="17" spans="1:68">
      <c r="E17" s="41"/>
      <c r="F17" s="41"/>
      <c r="G17" s="41"/>
      <c r="H17" s="41"/>
      <c r="I17" s="41"/>
      <c r="J17" s="41"/>
      <c r="K17" s="41"/>
      <c r="L17" s="41"/>
      <c r="M17" s="41"/>
      <c r="N17" s="41"/>
      <c r="O17" s="41"/>
      <c r="P17" s="41"/>
      <c r="Q17" s="41"/>
      <c r="R17" s="41"/>
      <c r="S17" s="41"/>
      <c r="T17" s="41"/>
      <c r="U17" s="41"/>
      <c r="V17" s="41"/>
      <c r="W17" s="41"/>
      <c r="X17" s="41"/>
      <c r="Y17" s="41"/>
    </row>
    <row r="18" spans="1:68">
      <c r="B18" s="9" t="s">
        <v>58</v>
      </c>
      <c r="C18" s="9" t="s">
        <v>59</v>
      </c>
      <c r="E18" s="41">
        <f t="shared" ref="E18:X18" si="1">SUM(E13:E16)</f>
        <v>5912957.9357845243</v>
      </c>
      <c r="F18" s="41">
        <f t="shared" si="1"/>
        <v>5894716.7373226183</v>
      </c>
      <c r="G18" s="41">
        <f t="shared" si="1"/>
        <v>5876568.4091907088</v>
      </c>
      <c r="H18" s="41">
        <f t="shared" si="1"/>
        <v>5858512.1906713378</v>
      </c>
      <c r="I18" s="41">
        <f t="shared" si="1"/>
        <v>5840547.3286504922</v>
      </c>
      <c r="J18" s="41">
        <f t="shared" si="1"/>
        <v>5822673.077537531</v>
      </c>
      <c r="K18" s="41">
        <f t="shared" si="1"/>
        <v>5804888.6991859814</v>
      </c>
      <c r="L18" s="41">
        <f t="shared" si="1"/>
        <v>5787193.462815172</v>
      </c>
      <c r="M18" s="41">
        <f t="shared" si="1"/>
        <v>5769586.6449326966</v>
      </c>
      <c r="N18" s="41">
        <f t="shared" si="1"/>
        <v>5752067.5292577213</v>
      </c>
      <c r="O18" s="41">
        <f t="shared" si="1"/>
        <v>5734635.406645081</v>
      </c>
      <c r="P18" s="41">
        <f t="shared" si="1"/>
        <v>5717289.5750102066</v>
      </c>
      <c r="Q18" s="41">
        <f t="shared" si="1"/>
        <v>5700029.3392548524</v>
      </c>
      <c r="R18" s="41">
        <f t="shared" si="1"/>
        <v>5682854.0111935912</v>
      </c>
      <c r="S18" s="41">
        <f t="shared" si="1"/>
        <v>5665762.9094811222</v>
      </c>
      <c r="T18" s="41">
        <f t="shared" si="1"/>
        <v>5648755.3595403275</v>
      </c>
      <c r="U18" s="41">
        <f t="shared" si="1"/>
        <v>5631830.6934911208</v>
      </c>
      <c r="V18" s="41">
        <f t="shared" si="1"/>
        <v>5614988.250080023</v>
      </c>
      <c r="W18" s="41">
        <f t="shared" si="1"/>
        <v>5598227.3746105134</v>
      </c>
      <c r="X18" s="41">
        <f t="shared" si="1"/>
        <v>5581547.4188741138</v>
      </c>
      <c r="Y18" s="41"/>
      <c r="AA18" s="53"/>
    </row>
    <row r="19" spans="1:68">
      <c r="D19" s="41"/>
      <c r="E19" s="41"/>
      <c r="F19" s="41"/>
      <c r="G19" s="41"/>
      <c r="H19" s="41"/>
      <c r="I19" s="41"/>
      <c r="J19" s="41"/>
      <c r="K19" s="41"/>
      <c r="L19" s="41"/>
      <c r="M19" s="41"/>
      <c r="N19" s="41"/>
      <c r="O19" s="41"/>
      <c r="P19" s="41"/>
      <c r="Q19" s="41"/>
      <c r="R19" s="41"/>
      <c r="S19" s="41"/>
      <c r="T19" s="41"/>
      <c r="U19" s="41"/>
      <c r="V19" s="41"/>
      <c r="W19" s="41"/>
      <c r="X19" s="41"/>
    </row>
    <row r="20" spans="1:68" ht="15">
      <c r="A20" s="62" t="str">
        <f>CONCATENATE("# OF UNTREATED NEW HOMES FOR MEASURE -",$C$8)</f>
        <v># OF UNTREATED NEW HOMES FOR MEASURE -Advanced Power Strips</v>
      </c>
      <c r="C20" s="9" t="s">
        <v>149</v>
      </c>
      <c r="E20" s="65">
        <v>2016</v>
      </c>
      <c r="F20" s="508">
        <v>2017</v>
      </c>
      <c r="G20" s="508">
        <v>2018</v>
      </c>
      <c r="H20" s="508">
        <v>2019</v>
      </c>
      <c r="I20" s="508">
        <v>2020</v>
      </c>
      <c r="J20" s="508">
        <v>2021</v>
      </c>
      <c r="K20" s="508">
        <v>2022</v>
      </c>
      <c r="L20" s="508">
        <v>2023</v>
      </c>
      <c r="M20" s="508">
        <v>2024</v>
      </c>
      <c r="N20" s="508">
        <v>2025</v>
      </c>
      <c r="O20" s="508">
        <v>2026</v>
      </c>
      <c r="P20" s="508">
        <v>2027</v>
      </c>
      <c r="Q20" s="508">
        <v>2028</v>
      </c>
      <c r="R20" s="508">
        <v>2029</v>
      </c>
      <c r="S20" s="508">
        <v>2030</v>
      </c>
      <c r="T20" s="508">
        <v>2031</v>
      </c>
      <c r="U20" s="508">
        <v>2032</v>
      </c>
      <c r="V20" s="508">
        <v>2033</v>
      </c>
      <c r="W20" s="508">
        <v>2034</v>
      </c>
      <c r="X20" s="508">
        <v>2035</v>
      </c>
      <c r="Y20" s="67"/>
      <c r="AA20" s="51"/>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68" t="str">
        <f>CONCATENATE("HOMES_",E20)</f>
        <v>HOMES_2016</v>
      </c>
      <c r="F21" s="69" t="str">
        <f t="shared" ref="F21:X21" si="2">CONCATENATE("HOMES_",F20)</f>
        <v>HOMES_2017</v>
      </c>
      <c r="G21" s="69" t="str">
        <f t="shared" si="2"/>
        <v>HOMES_2018</v>
      </c>
      <c r="H21" s="69" t="str">
        <f t="shared" si="2"/>
        <v>HOMES_2019</v>
      </c>
      <c r="I21" s="69" t="str">
        <f t="shared" si="2"/>
        <v>HOMES_2020</v>
      </c>
      <c r="J21" s="69" t="str">
        <f t="shared" si="2"/>
        <v>HOMES_2021</v>
      </c>
      <c r="K21" s="69" t="str">
        <f t="shared" si="2"/>
        <v>HOMES_2022</v>
      </c>
      <c r="L21" s="69" t="str">
        <f t="shared" si="2"/>
        <v>HOMES_2023</v>
      </c>
      <c r="M21" s="69" t="str">
        <f t="shared" si="2"/>
        <v>HOMES_2024</v>
      </c>
      <c r="N21" s="69" t="str">
        <f t="shared" si="2"/>
        <v>HOMES_2025</v>
      </c>
      <c r="O21" s="69" t="str">
        <f t="shared" si="2"/>
        <v>HOMES_2026</v>
      </c>
      <c r="P21" s="69" t="str">
        <f t="shared" si="2"/>
        <v>HOMES_2027</v>
      </c>
      <c r="Q21" s="69" t="str">
        <f t="shared" si="2"/>
        <v>HOMES_2028</v>
      </c>
      <c r="R21" s="69" t="str">
        <f t="shared" si="2"/>
        <v>HOMES_2029</v>
      </c>
      <c r="S21" s="69" t="str">
        <f t="shared" si="2"/>
        <v>HOMES_2030</v>
      </c>
      <c r="T21" s="69" t="str">
        <f t="shared" si="2"/>
        <v>HOMES_2031</v>
      </c>
      <c r="U21" s="69" t="str">
        <f t="shared" si="2"/>
        <v>HOMES_2032</v>
      </c>
      <c r="V21" s="69" t="str">
        <f t="shared" si="2"/>
        <v>HOMES_2033</v>
      </c>
      <c r="W21" s="69" t="str">
        <f t="shared" si="2"/>
        <v>HOMES_2034</v>
      </c>
      <c r="X21" s="69" t="str">
        <f t="shared" si="2"/>
        <v>HOMES_2035</v>
      </c>
      <c r="Y21" s="70"/>
      <c r="AA21" s="49"/>
    </row>
    <row r="22" spans="1:68">
      <c r="C22" s="9" t="s">
        <v>48</v>
      </c>
      <c r="E22" s="59">
        <f>+'SC-New'!D160</f>
        <v>0</v>
      </c>
      <c r="F22" s="59">
        <f>+'SC-New'!E160</f>
        <v>62587.988871354974</v>
      </c>
      <c r="G22" s="59">
        <f>+'SC-New'!F160</f>
        <v>59723.564175468913</v>
      </c>
      <c r="H22" s="59">
        <f>+'SC-New'!G160</f>
        <v>56337.092085759657</v>
      </c>
      <c r="I22" s="59">
        <f>+'SC-New'!H160</f>
        <v>54050.933446064293</v>
      </c>
      <c r="J22" s="59">
        <f>+'SC-New'!I160</f>
        <v>51920.561220510681</v>
      </c>
      <c r="K22" s="59">
        <f>+'SC-New'!J160</f>
        <v>48575.833622723396</v>
      </c>
      <c r="L22" s="59">
        <f>+'SC-New'!K160</f>
        <v>46130.750770041363</v>
      </c>
      <c r="M22" s="59">
        <f>+'SC-New'!L160</f>
        <v>44660.912336534027</v>
      </c>
      <c r="N22" s="59">
        <f>+'SC-New'!M160</f>
        <v>42890.944942488633</v>
      </c>
      <c r="O22" s="59">
        <f>+'SC-New'!N160</f>
        <v>42346.28229435804</v>
      </c>
      <c r="P22" s="59">
        <f>+'SC-New'!O160</f>
        <v>41442.523312248246</v>
      </c>
      <c r="Q22" s="59">
        <f>+'SC-New'!P160</f>
        <v>39905.381461144148</v>
      </c>
      <c r="R22" s="59">
        <f>+'SC-New'!Q160</f>
        <v>38074.85038061878</v>
      </c>
      <c r="S22" s="59">
        <f>+'SC-New'!R160</f>
        <v>37546.767421273013</v>
      </c>
      <c r="T22" s="59">
        <f>+'SC-New'!S160</f>
        <v>37599.178175821376</v>
      </c>
      <c r="U22" s="59">
        <f>+'SC-New'!T160</f>
        <v>37234.293214614037</v>
      </c>
      <c r="V22" s="59">
        <f>+'SC-New'!U160</f>
        <v>35920.363833816977</v>
      </c>
      <c r="W22" s="59">
        <f>+'SC-New'!V160</f>
        <v>35859.29583411404</v>
      </c>
      <c r="X22" s="59">
        <f>+'SC-New'!W160</f>
        <v>36006.442585458455</v>
      </c>
      <c r="Y22" s="59"/>
      <c r="AA22" s="53"/>
    </row>
    <row r="23" spans="1:68">
      <c r="C23" s="9" t="s">
        <v>49</v>
      </c>
      <c r="E23" s="59">
        <f>+'SC-New'!D161</f>
        <v>0</v>
      </c>
      <c r="F23" s="59">
        <f>+'SC-New'!E161</f>
        <v>23253.648540741066</v>
      </c>
      <c r="G23" s="59">
        <f>+'SC-New'!F161</f>
        <v>22950.179979289638</v>
      </c>
      <c r="H23" s="59">
        <f>+'SC-New'!G161</f>
        <v>22664.954130659302</v>
      </c>
      <c r="I23" s="59">
        <f>+'SC-New'!H161</f>
        <v>21809.986766948234</v>
      </c>
      <c r="J23" s="59">
        <f>+'SC-New'!I161</f>
        <v>20363.875020337538</v>
      </c>
      <c r="K23" s="59">
        <f>+'SC-New'!J161</f>
        <v>19373.76205487613</v>
      </c>
      <c r="L23" s="59">
        <f>+'SC-New'!K161</f>
        <v>18875.522598350773</v>
      </c>
      <c r="M23" s="59">
        <f>+'SC-New'!L161</f>
        <v>18849.24262693022</v>
      </c>
      <c r="N23" s="59">
        <f>+'SC-New'!M161</f>
        <v>18898.533052115967</v>
      </c>
      <c r="O23" s="59">
        <f>+'SC-New'!N161</f>
        <v>18999.928125415016</v>
      </c>
      <c r="P23" s="59">
        <f>+'SC-New'!O161</f>
        <v>18701.9269001096</v>
      </c>
      <c r="Q23" s="59">
        <f>+'SC-New'!P161</f>
        <v>18386.693023218355</v>
      </c>
      <c r="R23" s="59">
        <f>+'SC-New'!Q161</f>
        <v>18162.476822563382</v>
      </c>
      <c r="S23" s="59">
        <f>+'SC-New'!R161</f>
        <v>17780.837040218321</v>
      </c>
      <c r="T23" s="59">
        <f>+'SC-New'!S161</f>
        <v>17444.454681719883</v>
      </c>
      <c r="U23" s="59">
        <f>+'SC-New'!T161</f>
        <v>17023.871534792896</v>
      </c>
      <c r="V23" s="59">
        <f>+'SC-New'!U161</f>
        <v>16707.628334506768</v>
      </c>
      <c r="W23" s="59">
        <f>+'SC-New'!V161</f>
        <v>16495.937560071157</v>
      </c>
      <c r="X23" s="59">
        <f>+'SC-New'!W161</f>
        <v>16195.498427137345</v>
      </c>
      <c r="Y23" s="59"/>
      <c r="AA23" s="53"/>
    </row>
    <row r="24" spans="1:68">
      <c r="C24" s="9" t="s">
        <v>50</v>
      </c>
      <c r="E24" s="59">
        <f>+'SC-New'!D162</f>
        <v>0</v>
      </c>
      <c r="F24" s="59">
        <f>+'SC-New'!E162</f>
        <v>5220.2451428281229</v>
      </c>
      <c r="G24" s="59">
        <f>+'SC-New'!F162</f>
        <v>5224.6462573394147</v>
      </c>
      <c r="H24" s="59">
        <f>+'SC-New'!G162</f>
        <v>5237.3726687694134</v>
      </c>
      <c r="I24" s="59">
        <f>+'SC-New'!H162</f>
        <v>4923.5925940203952</v>
      </c>
      <c r="J24" s="59">
        <f>+'SC-New'!I162</f>
        <v>4508.0907812903069</v>
      </c>
      <c r="K24" s="59">
        <f>+'SC-New'!J162</f>
        <v>4353.1355146063042</v>
      </c>
      <c r="L24" s="59">
        <f>+'SC-New'!K162</f>
        <v>4253.6346763036017</v>
      </c>
      <c r="M24" s="59">
        <f>+'SC-New'!L162</f>
        <v>4300.5139495787753</v>
      </c>
      <c r="N24" s="59">
        <f>+'SC-New'!M162</f>
        <v>4281.446649270838</v>
      </c>
      <c r="O24" s="59">
        <f>+'SC-New'!N162</f>
        <v>4303.9672676674882</v>
      </c>
      <c r="P24" s="59">
        <f>+'SC-New'!O162</f>
        <v>4185.4645491046867</v>
      </c>
      <c r="Q24" s="59">
        <f>+'SC-New'!P162</f>
        <v>4106.9548474386474</v>
      </c>
      <c r="R24" s="59">
        <f>+'SC-New'!Q162</f>
        <v>4021.8764851499818</v>
      </c>
      <c r="S24" s="59">
        <f>+'SC-New'!R162</f>
        <v>3968.2136655002296</v>
      </c>
      <c r="T24" s="59">
        <f>+'SC-New'!S162</f>
        <v>3911.6881624186299</v>
      </c>
      <c r="U24" s="59">
        <f>+'SC-New'!T162</f>
        <v>3814.67441585387</v>
      </c>
      <c r="V24" s="59">
        <f>+'SC-New'!U162</f>
        <v>3748.3032028986977</v>
      </c>
      <c r="W24" s="59">
        <f>+'SC-New'!V162</f>
        <v>3661.9998680410108</v>
      </c>
      <c r="X24" s="59">
        <f>+'SC-New'!W162</f>
        <v>3651.8947228694324</v>
      </c>
      <c r="Y24" s="59"/>
      <c r="AA24" s="53"/>
    </row>
    <row r="25" spans="1:68">
      <c r="C25" s="9" t="s">
        <v>51</v>
      </c>
      <c r="E25" s="59">
        <f>+'SC-New'!D163</f>
        <v>0</v>
      </c>
      <c r="F25" s="59">
        <f>+'SC-New'!E163</f>
        <v>1867.4313231673225</v>
      </c>
      <c r="G25" s="59">
        <f>+'SC-New'!F163</f>
        <v>1876.299231597407</v>
      </c>
      <c r="H25" s="59">
        <f>+'SC-New'!G163</f>
        <v>1936.6031635064026</v>
      </c>
      <c r="I25" s="59">
        <f>+'SC-New'!H163</f>
        <v>1995.9446159711006</v>
      </c>
      <c r="J25" s="59">
        <f>+'SC-New'!I163</f>
        <v>1916.774848362352</v>
      </c>
      <c r="K25" s="59">
        <f>+'SC-New'!J163</f>
        <v>1861.6472822372984</v>
      </c>
      <c r="L25" s="59">
        <f>+'SC-New'!K163</f>
        <v>1836.4726850134211</v>
      </c>
      <c r="M25" s="59">
        <f>+'SC-New'!L163</f>
        <v>1810.5826849607499</v>
      </c>
      <c r="N25" s="59">
        <f>+'SC-New'!M163</f>
        <v>1781.9314692794917</v>
      </c>
      <c r="O25" s="59">
        <f>+'SC-New'!N163</f>
        <v>1745.1902851789223</v>
      </c>
      <c r="P25" s="59">
        <f>+'SC-New'!O163</f>
        <v>1701.4426431527256</v>
      </c>
      <c r="Q25" s="59">
        <f>+'SC-New'!P163</f>
        <v>1670.5455514130545</v>
      </c>
      <c r="R25" s="59">
        <f>+'SC-New'!Q163</f>
        <v>1649.8807691336037</v>
      </c>
      <c r="S25" s="59">
        <f>+'SC-New'!R163</f>
        <v>1634.8036402926393</v>
      </c>
      <c r="T25" s="59">
        <f>+'SC-New'!S163</f>
        <v>1624.0313950286779</v>
      </c>
      <c r="U25" s="59">
        <f>+'SC-New'!T163</f>
        <v>1617.1847105570616</v>
      </c>
      <c r="V25" s="59">
        <f>+'SC-New'!U163</f>
        <v>1613.5731054177488</v>
      </c>
      <c r="W25" s="59">
        <f>+'SC-New'!V163</f>
        <v>1613.7629732926771</v>
      </c>
      <c r="X25" s="59">
        <f>+'SC-New'!W163</f>
        <v>1615.9663251333807</v>
      </c>
      <c r="Y25" s="59"/>
      <c r="AA25" s="53"/>
    </row>
    <row r="26" spans="1:68">
      <c r="E26" s="41"/>
      <c r="F26" s="41"/>
      <c r="G26" s="41"/>
      <c r="H26" s="41"/>
      <c r="I26" s="41"/>
      <c r="J26" s="41"/>
      <c r="K26" s="41"/>
      <c r="L26" s="41"/>
      <c r="M26" s="41"/>
      <c r="N26" s="41"/>
      <c r="O26" s="41"/>
      <c r="P26" s="41"/>
      <c r="Q26" s="41"/>
      <c r="R26" s="41"/>
      <c r="S26" s="41"/>
      <c r="T26" s="41"/>
      <c r="U26" s="41"/>
      <c r="V26" s="41"/>
      <c r="W26" s="41"/>
      <c r="X26" s="41"/>
      <c r="Y26" s="41"/>
    </row>
    <row r="27" spans="1:68">
      <c r="B27" s="9" t="s">
        <v>58</v>
      </c>
      <c r="C27" s="9" t="s">
        <v>59</v>
      </c>
      <c r="E27" s="41">
        <f>E18+SUM(E22:E25)</f>
        <v>5912957.9357845243</v>
      </c>
      <c r="F27" s="41">
        <f t="shared" ref="F27:X27" si="3">F18+SUM(F22:F25)</f>
        <v>5987646.0512007093</v>
      </c>
      <c r="G27" s="41">
        <f t="shared" si="3"/>
        <v>5966343.0988344038</v>
      </c>
      <c r="H27" s="41">
        <f t="shared" si="3"/>
        <v>5944688.2127200328</v>
      </c>
      <c r="I27" s="41">
        <f t="shared" si="3"/>
        <v>5923327.7860734966</v>
      </c>
      <c r="J27" s="41">
        <f t="shared" si="3"/>
        <v>5901382.3794080317</v>
      </c>
      <c r="K27" s="41">
        <f t="shared" si="3"/>
        <v>5879053.0776604246</v>
      </c>
      <c r="L27" s="41">
        <f t="shared" si="3"/>
        <v>5858289.8435448809</v>
      </c>
      <c r="M27" s="41">
        <f t="shared" si="3"/>
        <v>5839207.8965306999</v>
      </c>
      <c r="N27" s="41">
        <f t="shared" si="3"/>
        <v>5819920.3853708766</v>
      </c>
      <c r="O27" s="41">
        <f t="shared" si="3"/>
        <v>5802030.7746177008</v>
      </c>
      <c r="P27" s="41">
        <f t="shared" si="3"/>
        <v>5783320.9324148213</v>
      </c>
      <c r="Q27" s="41">
        <f t="shared" si="3"/>
        <v>5764098.9141380666</v>
      </c>
      <c r="R27" s="41">
        <f t="shared" si="3"/>
        <v>5744763.0956510566</v>
      </c>
      <c r="S27" s="41">
        <f t="shared" si="3"/>
        <v>5726693.5312484065</v>
      </c>
      <c r="T27" s="41">
        <f t="shared" si="3"/>
        <v>5709334.7119553164</v>
      </c>
      <c r="U27" s="41">
        <f t="shared" si="3"/>
        <v>5691520.7173669385</v>
      </c>
      <c r="V27" s="41">
        <f t="shared" si="3"/>
        <v>5672978.1185566634</v>
      </c>
      <c r="W27" s="41">
        <f t="shared" si="3"/>
        <v>5655858.3708460322</v>
      </c>
      <c r="X27" s="41">
        <f t="shared" si="3"/>
        <v>5639017.2209347123</v>
      </c>
      <c r="Y27" s="41"/>
      <c r="AA27" s="53"/>
    </row>
    <row r="28" spans="1:68">
      <c r="D28" s="41"/>
      <c r="E28" s="41"/>
      <c r="F28" s="41"/>
      <c r="G28" s="41"/>
      <c r="H28" s="41"/>
      <c r="I28" s="41"/>
      <c r="J28" s="41"/>
      <c r="K28" s="41"/>
      <c r="L28" s="41"/>
      <c r="M28" s="41"/>
      <c r="N28" s="41"/>
      <c r="O28" s="41"/>
      <c r="P28" s="41"/>
      <c r="Q28" s="41"/>
      <c r="R28" s="41"/>
      <c r="S28" s="41"/>
      <c r="T28" s="41"/>
      <c r="U28" s="41"/>
      <c r="V28" s="41"/>
      <c r="W28" s="41"/>
      <c r="X28" s="41"/>
    </row>
    <row r="29" spans="1:68" ht="15">
      <c r="A29" s="62" t="str">
        <f>CONCATENATE("# HOMES APPLICABLE BY YEAR FOR MEASURE - ",C30)</f>
        <v># HOMES APPLICABLE BY YEAR FOR MEASURE - Advanced Power Strips - Retro</v>
      </c>
      <c r="C29" s="9" t="s">
        <v>150</v>
      </c>
      <c r="D29" s="41"/>
      <c r="E29" s="41"/>
      <c r="F29" s="41"/>
      <c r="G29" s="41"/>
      <c r="H29" s="41"/>
      <c r="I29" s="41"/>
      <c r="J29" s="41"/>
      <c r="K29" s="41"/>
      <c r="L29" s="41"/>
      <c r="M29" s="41"/>
      <c r="N29" s="41"/>
      <c r="O29" s="41"/>
      <c r="P29" s="41"/>
      <c r="Q29" s="41"/>
      <c r="R29" s="41"/>
      <c r="S29" s="41"/>
      <c r="T29" s="41"/>
      <c r="U29" s="41"/>
      <c r="V29" s="41"/>
      <c r="W29" s="41"/>
      <c r="X29" s="41"/>
      <c r="AA29" s="51">
        <v>0.85</v>
      </c>
    </row>
    <row r="30" spans="1:68" ht="15">
      <c r="A30" s="71" t="s">
        <v>60</v>
      </c>
      <c r="B30" s="71" t="s">
        <v>148</v>
      </c>
      <c r="C30" s="71" t="str">
        <f>CONCATENATE(C8," - ",C7)</f>
        <v>Advanced Power Strips - Retro</v>
      </c>
      <c r="D30" s="9">
        <v>2</v>
      </c>
      <c r="E30" s="9">
        <v>3</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AA30" s="49" t="s">
        <v>61</v>
      </c>
    </row>
    <row r="31" spans="1:68">
      <c r="A31" s="63">
        <f>INDEX([2]!ResApplic,MATCH($C$30,[2]APPLIC!$B$9:$B$120,0)+1,MATCH($C31,[2]APPLIC!$C$8:$F$8,0)+1)</f>
        <v>0.33660000000000001</v>
      </c>
      <c r="B31" s="476">
        <f>VLOOKUP($D31,'Units per home'!$A$3:$E$15,MATCH('SC-Retro'!$C31,'Units per home'!$B$3:$E$3,0)+1,FALSE)</f>
        <v>0.96428380745963449</v>
      </c>
      <c r="C31" s="9" t="str">
        <f>C13</f>
        <v>Single Family</v>
      </c>
      <c r="D31" s="9" t="s">
        <v>794</v>
      </c>
      <c r="E31" s="41">
        <f>$A31*$B31*VLOOKUP($C31,$C$13:$Y$16,E$30,FALSE)*VLOOKUP($D31,'Units per home'!$A$40:$U$42,'SC-New'!E$22-1,FALSE)</f>
        <v>1344470.0929503648</v>
      </c>
      <c r="F31" s="41">
        <f>$A31*$B31*VLOOKUP($C31,$C$13:$Y$16,F$30,FALSE)*VLOOKUP($D31,'Units per home'!$A$40:$U$42,F$30-1,FALSE)</f>
        <v>1328523.2371102336</v>
      </c>
      <c r="G31" s="41">
        <f>$A31*$B31*VLOOKUP($C31,$C$13:$Y$16,G$30,FALSE)*VLOOKUP($D31,'Units per home'!$A$40:$U$42,G$30-1,FALSE)</f>
        <v>1312641.8722244846</v>
      </c>
      <c r="H31" s="41">
        <f>$A31*$B31*VLOOKUP($C31,$C$13:$Y$16,H$30,FALSE)*VLOOKUP($D31,'Units per home'!$A$40:$U$42,H$30-1,FALSE)</f>
        <v>1296825.783090977</v>
      </c>
      <c r="I31" s="41">
        <f>$A31*$B31*VLOOKUP($C31,$C$13:$Y$16,I$30,FALSE)*VLOOKUP($D31,'Units per home'!$A$40:$U$42,I$30-1,FALSE)</f>
        <v>1281074.7551472238</v>
      </c>
      <c r="J31" s="41">
        <f>$A31*$B31*VLOOKUP($C31,$C$13:$Y$16,J$30,FALSE)*VLOOKUP($D31,'Units per home'!$A$40:$U$42,J$30-1,FALSE)</f>
        <v>1266646.5302148003</v>
      </c>
      <c r="K31" s="41">
        <f>$A31*$B31*VLOOKUP($C31,$C$13:$Y$16,K$30,FALSE)*VLOOKUP($D31,'Units per home'!$A$40:$U$42,K$30-1,FALSE)</f>
        <v>1252277.2261741648</v>
      </c>
      <c r="L31" s="41">
        <f>$A31*$B31*VLOOKUP($C31,$C$13:$Y$16,L$30,FALSE)*VLOOKUP($D31,'Units per home'!$A$40:$U$42,L$30-1,FALSE)</f>
        <v>1237966.6498307865</v>
      </c>
      <c r="M31" s="41">
        <f>$A31*$B31*VLOOKUP($C31,$C$13:$Y$16,M$30,FALSE)*VLOOKUP($D31,'Units per home'!$A$40:$U$42,M$30-1,FALSE)</f>
        <v>1223714.6085637168</v>
      </c>
      <c r="N31" s="41">
        <f>$A31*$B31*VLOOKUP($C31,$C$13:$Y$16,N$30,FALSE)*VLOOKUP($D31,'Units per home'!$A$40:$U$42,N$30-1,FALSE)</f>
        <v>1209520.910323981</v>
      </c>
      <c r="O31" s="41">
        <f>$A31*$B31*VLOOKUP($C31,$C$13:$Y$16,O$30,FALSE)*VLOOKUP($D31,'Units per home'!$A$40:$U$42,O$30-1,FALSE)</f>
        <v>1195385.3636329733</v>
      </c>
      <c r="P31" s="41">
        <f>$A31*$B31*VLOOKUP($C31,$C$13:$Y$16,P$30,FALSE)*VLOOKUP($D31,'Units per home'!$A$40:$U$42,P$30-1,FALSE)</f>
        <v>1181307.7775808577</v>
      </c>
      <c r="Q31" s="41">
        <f>$A31*$B31*VLOOKUP($C31,$C$13:$Y$16,Q$30,FALSE)*VLOOKUP($D31,'Units per home'!$A$40:$U$42,Q$30-1,FALSE)</f>
        <v>1167287.9618249722</v>
      </c>
      <c r="R31" s="41">
        <f>$A31*$B31*VLOOKUP($C31,$C$13:$Y$16,R$30,FALSE)*VLOOKUP($D31,'Units per home'!$A$40:$U$42,R$30-1,FALSE)</f>
        <v>1153325.7265882357</v>
      </c>
      <c r="S31" s="41">
        <f>$A31*$B31*VLOOKUP($C31,$C$13:$Y$16,S$30,FALSE)*VLOOKUP($D31,'Units per home'!$A$40:$U$42,S$30-1,FALSE)</f>
        <v>1139420.8826575624</v>
      </c>
      <c r="T31" s="41">
        <f>$A31*$B31*VLOOKUP($C31,$C$13:$Y$16,T$30,FALSE)*VLOOKUP($D31,'Units per home'!$A$40:$U$42,T$30-1,FALSE)</f>
        <v>1123105.7034934275</v>
      </c>
      <c r="U31" s="41">
        <f>$A31*$B31*VLOOKUP($C31,$C$13:$Y$16,U$30,FALSE)*VLOOKUP($D31,'Units per home'!$A$40:$U$42,U$30-1,FALSE)</f>
        <v>1106858.7453726423</v>
      </c>
      <c r="V31" s="41">
        <f>$A31*$B31*VLOOKUP($C31,$C$13:$Y$16,V$30,FALSE)*VLOOKUP($D31,'Units per home'!$A$40:$U$42,V$30-1,FALSE)</f>
        <v>1090679.7825934358</v>
      </c>
      <c r="W31" s="41">
        <f>$A31*$B31*VLOOKUP($C31,$C$13:$Y$16,W$30,FALSE)*VLOOKUP($D31,'Units per home'!$A$40:$U$42,W$30-1,FALSE)</f>
        <v>1074568.5901272979</v>
      </c>
      <c r="X31" s="41">
        <f>$A31*$B31*VLOOKUP($C31,$C$13:$Y$16,X$30,FALSE)*VLOOKUP($D31,'Units per home'!$A$40:$U$42,X$30-1,FALSE)</f>
        <v>1072128.4798653352</v>
      </c>
      <c r="Y31" s="41"/>
      <c r="Z31" s="9" t="str">
        <f>C31&amp;D31</f>
        <v>Single FamilyOccupancy sensing advanced power strip</v>
      </c>
      <c r="AA31" s="53">
        <f>VLOOKUP(C31,$C$13:$X$16,$X$30,FALSE)*$AA$29*VLOOKUP($D31,'Units per home'!$A$40:$U$42,X$30-1,FALSE)*A31*B31</f>
        <v>911309.20788553497</v>
      </c>
    </row>
    <row r="32" spans="1:68">
      <c r="A32" s="63">
        <f>INDEX([2]!ResApplic,MATCH($C$30,[2]APPLIC!$B$9:$B$120,0)+1,MATCH($C32,[2]APPLIC!$C$8:$F$8,0)+1)</f>
        <v>0.2475</v>
      </c>
      <c r="B32" s="476">
        <f>VLOOKUP($D32,'Units per home'!$A$3:$E$15,MATCH('SC-Retro'!$C32,'Units per home'!$B$3:$E$3,0)+1,FALSE)</f>
        <v>0.44414870578030757</v>
      </c>
      <c r="C32" s="9" t="str">
        <f>C14</f>
        <v>Multifamily - Low Rise</v>
      </c>
      <c r="D32" s="9" t="s">
        <v>794</v>
      </c>
      <c r="E32" s="41">
        <f>$A32*$B32*VLOOKUP($C32,$C$13:$Y$16,E$30,FALSE)*VLOOKUP($D32,'Units per home'!$A$40:$U$42,'SC-New'!E$22-1,FALSE)</f>
        <v>100333.70525978954</v>
      </c>
      <c r="F32" s="41">
        <f>$A32*$B32*VLOOKUP($C32,$C$13:$Y$16,F$30,FALSE)*VLOOKUP($D32,'Units per home'!$A$40:$U$42,F$30-1,FALSE)</f>
        <v>99143.636384594996</v>
      </c>
      <c r="G32" s="41">
        <f>$A32*$B32*VLOOKUP($C32,$C$13:$Y$16,G$30,FALSE)*VLOOKUP($D32,'Units per home'!$A$40:$U$42,G$30-1,FALSE)</f>
        <v>97958.454986454119</v>
      </c>
      <c r="H32" s="41">
        <f>$A32*$B32*VLOOKUP($C32,$C$13:$Y$16,H$30,FALSE)*VLOOKUP($D32,'Units per home'!$A$40:$U$42,H$30-1,FALSE)</f>
        <v>96778.145004952326</v>
      </c>
      <c r="I32" s="41">
        <f>$A32*$B32*VLOOKUP($C32,$C$13:$Y$16,I$30,FALSE)*VLOOKUP($D32,'Units per home'!$A$40:$U$42,I$30-1,FALSE)</f>
        <v>95602.690427412672</v>
      </c>
      <c r="J32" s="41">
        <f>$A32*$B32*VLOOKUP($C32,$C$13:$Y$16,J$30,FALSE)*VLOOKUP($D32,'Units per home'!$A$40:$U$42,J$30-1,FALSE)</f>
        <v>94525.952674833316</v>
      </c>
      <c r="K32" s="41">
        <f>$A32*$B32*VLOOKUP($C32,$C$13:$Y$16,K$30,FALSE)*VLOOKUP($D32,'Units per home'!$A$40:$U$42,K$30-1,FALSE)</f>
        <v>93453.612086659239</v>
      </c>
      <c r="L32" s="41">
        <f>$A32*$B32*VLOOKUP($C32,$C$13:$Y$16,L$30,FALSE)*VLOOKUP($D32,'Units per home'!$A$40:$U$42,L$30-1,FALSE)</f>
        <v>92385.654244892386</v>
      </c>
      <c r="M32" s="41">
        <f>$A32*$B32*VLOOKUP($C32,$C$13:$Y$16,M$30,FALSE)*VLOOKUP($D32,'Units per home'!$A$40:$U$42,M$30-1,FALSE)</f>
        <v>91322.064774341547</v>
      </c>
      <c r="N32" s="41">
        <f>$A32*$B32*VLOOKUP($C32,$C$13:$Y$16,N$30,FALSE)*VLOOKUP($D32,'Units per home'!$A$40:$U$42,N$30-1,FALSE)</f>
        <v>90262.829342502271</v>
      </c>
      <c r="O32" s="41">
        <f>$A32*$B32*VLOOKUP($C32,$C$13:$Y$16,O$30,FALSE)*VLOOKUP($D32,'Units per home'!$A$40:$U$42,O$30-1,FALSE)</f>
        <v>89207.933659437113</v>
      </c>
      <c r="P32" s="41">
        <f>$A32*$B32*VLOOKUP($C32,$C$13:$Y$16,P$30,FALSE)*VLOOKUP($D32,'Units per home'!$A$40:$U$42,P$30-1,FALSE)</f>
        <v>88157.363477656196</v>
      </c>
      <c r="Q32" s="41">
        <f>$A32*$B32*VLOOKUP($C32,$C$13:$Y$16,Q$30,FALSE)*VLOOKUP($D32,'Units per home'!$A$40:$U$42,Q$30-1,FALSE)</f>
        <v>87111.104591998112</v>
      </c>
      <c r="R32" s="41">
        <f>$A32*$B32*VLOOKUP($C32,$C$13:$Y$16,R$30,FALSE)*VLOOKUP($D32,'Units per home'!$A$40:$U$42,R$30-1,FALSE)</f>
        <v>86069.142839511318</v>
      </c>
      <c r="S32" s="41">
        <f>$A32*$B32*VLOOKUP($C32,$C$13:$Y$16,S$30,FALSE)*VLOOKUP($D32,'Units per home'!$A$40:$U$42,S$30-1,FALSE)</f>
        <v>85031.464099335324</v>
      </c>
      <c r="T32" s="41">
        <f>$A32*$B32*VLOOKUP($C32,$C$13:$Y$16,T$30,FALSE)*VLOOKUP($D32,'Units per home'!$A$40:$U$42,T$30-1,FALSE)</f>
        <v>83813.909561759254</v>
      </c>
      <c r="U32" s="41">
        <f>$A32*$B32*VLOOKUP($C32,$C$13:$Y$16,U$30,FALSE)*VLOOKUP($D32,'Units per home'!$A$40:$U$42,U$30-1,FALSE)</f>
        <v>82601.446238844001</v>
      </c>
      <c r="V32" s="41">
        <f>$A32*$B32*VLOOKUP($C32,$C$13:$Y$16,V$30,FALSE)*VLOOKUP($D32,'Units per home'!$A$40:$U$42,V$30-1,FALSE)</f>
        <v>81394.057286605937</v>
      </c>
      <c r="W32" s="41">
        <f>$A32*$B32*VLOOKUP($C32,$C$13:$Y$16,W$30,FALSE)*VLOOKUP($D32,'Units per home'!$A$40:$U$42,W$30-1,FALSE)</f>
        <v>80191.725911307207</v>
      </c>
      <c r="X32" s="41">
        <f>$A32*$B32*VLOOKUP($C32,$C$13:$Y$16,X$30,FALSE)*VLOOKUP($D32,'Units per home'!$A$40:$U$42,X$30-1,FALSE)</f>
        <v>80009.62511182962</v>
      </c>
      <c r="Y32" s="41"/>
      <c r="Z32" s="9" t="str">
        <f t="shared" ref="Z32:Z42" si="4">C32&amp;D32</f>
        <v>Multifamily - Low RiseOccupancy sensing advanced power strip</v>
      </c>
      <c r="AA32" s="53">
        <f>VLOOKUP(C32,$C$13:$X$16,$X$30,FALSE)*$AA$29*VLOOKUP($D32,'Units per home'!$A$40:$U$42,X$30-1,FALSE)*A32*B32</f>
        <v>68008.181345055156</v>
      </c>
    </row>
    <row r="33" spans="1:27">
      <c r="A33" s="63">
        <f>INDEX([2]!ResApplic,MATCH($C$30,[2]APPLIC!$B$9:$B$120,0)+1,MATCH($C33,[2]APPLIC!$C$8:$F$8,0)+1)</f>
        <v>0.2475</v>
      </c>
      <c r="B33" s="476">
        <f>VLOOKUP($D33,'Units per home'!$A$3:$E$15,MATCH('SC-Retro'!$C33,'Units per home'!$B$3:$E$3,0)+1,FALSE)</f>
        <v>0.44414870578030757</v>
      </c>
      <c r="C33" s="9" t="str">
        <f>C15</f>
        <v>Multifamily - High Rise</v>
      </c>
      <c r="D33" s="9" t="s">
        <v>794</v>
      </c>
      <c r="E33" s="41">
        <f>$A33*$B33*VLOOKUP($C33,$C$13:$Y$16,E$30,FALSE)*VLOOKUP($D33,'Units per home'!$A$40:$U$42,'SC-New'!E$22-1,FALSE)</f>
        <v>22875.718392186089</v>
      </c>
      <c r="F33" s="41">
        <f>$A33*$B33*VLOOKUP($C33,$C$13:$Y$16,F$30,FALSE)*VLOOKUP($D33,'Units per home'!$A$40:$U$42,F$30-1,FALSE)</f>
        <v>22604.387034635136</v>
      </c>
      <c r="G33" s="41">
        <f>$A33*$B33*VLOOKUP($C33,$C$13:$Y$16,G$30,FALSE)*VLOOKUP($D33,'Units per home'!$A$40:$U$42,G$30-1,FALSE)</f>
        <v>22334.170004003921</v>
      </c>
      <c r="H33" s="41">
        <f>$A33*$B33*VLOOKUP($C33,$C$13:$Y$16,H$30,FALSE)*VLOOKUP($D33,'Units per home'!$A$40:$U$42,H$30-1,FALSE)</f>
        <v>22065.063638576565</v>
      </c>
      <c r="I33" s="41">
        <f>$A33*$B33*VLOOKUP($C33,$C$13:$Y$16,I$30,FALSE)*VLOOKUP($D33,'Units per home'!$A$40:$U$42,I$30-1,FALSE)</f>
        <v>21797.064287521211</v>
      </c>
      <c r="J33" s="41">
        <f>$A33*$B33*VLOOKUP($C33,$C$13:$Y$16,J$30,FALSE)*VLOOKUP($D33,'Units per home'!$A$40:$U$42,J$30-1,FALSE)</f>
        <v>21551.57201205441</v>
      </c>
      <c r="K33" s="41">
        <f>$A33*$B33*VLOOKUP($C33,$C$13:$Y$16,K$30,FALSE)*VLOOKUP($D33,'Units per home'!$A$40:$U$42,K$30-1,FALSE)</f>
        <v>21307.082274014083</v>
      </c>
      <c r="L33" s="41">
        <f>$A33*$B33*VLOOKUP($C33,$C$13:$Y$16,L$30,FALSE)*VLOOKUP($D33,'Units per home'!$A$40:$U$42,L$30-1,FALSE)</f>
        <v>21063.591786149314</v>
      </c>
      <c r="M33" s="41">
        <f>$A33*$B33*VLOOKUP($C33,$C$13:$Y$16,M$30,FALSE)*VLOOKUP($D33,'Units per home'!$A$40:$U$42,M$30-1,FALSE)</f>
        <v>20821.097270969025</v>
      </c>
      <c r="N33" s="41">
        <f>$A33*$B33*VLOOKUP($C33,$C$13:$Y$16,N$30,FALSE)*VLOOKUP($D33,'Units per home'!$A$40:$U$42,N$30-1,FALSE)</f>
        <v>20579.595460714521</v>
      </c>
      <c r="O33" s="41">
        <f>$A33*$B33*VLOOKUP($C33,$C$13:$Y$16,O$30,FALSE)*VLOOKUP($D33,'Units per home'!$A$40:$U$42,O$30-1,FALSE)</f>
        <v>20339.083097332255</v>
      </c>
      <c r="P33" s="41">
        <f>$A33*$B33*VLOOKUP($C33,$C$13:$Y$16,P$30,FALSE)*VLOOKUP($D33,'Units per home'!$A$40:$U$42,P$30-1,FALSE)</f>
        <v>20099.556932446572</v>
      </c>
      <c r="Q33" s="41">
        <f>$A33*$B33*VLOOKUP($C33,$C$13:$Y$16,Q$30,FALSE)*VLOOKUP($D33,'Units per home'!$A$40:$U$42,Q$30-1,FALSE)</f>
        <v>19861.013727332545</v>
      </c>
      <c r="R33" s="41">
        <f>$A33*$B33*VLOOKUP($C33,$C$13:$Y$16,R$30,FALSE)*VLOOKUP($D33,'Units per home'!$A$40:$U$42,R$30-1,FALSE)</f>
        <v>19623.450252888932</v>
      </c>
      <c r="S33" s="41">
        <f>$A33*$B33*VLOOKUP($C33,$C$13:$Y$16,S$30,FALSE)*VLOOKUP($D33,'Units per home'!$A$40:$U$42,S$30-1,FALSE)</f>
        <v>19386.863289611127</v>
      </c>
      <c r="T33" s="41">
        <f>$A33*$B33*VLOOKUP($C33,$C$13:$Y$16,T$30,FALSE)*VLOOKUP($D33,'Units per home'!$A$40:$U$42,T$30-1,FALSE)</f>
        <v>19109.265301411626</v>
      </c>
      <c r="U33" s="41">
        <f>$A33*$B33*VLOOKUP($C33,$C$13:$Y$16,U$30,FALSE)*VLOOKUP($D33,'Units per home'!$A$40:$U$42,U$30-1,FALSE)</f>
        <v>18832.828091562271</v>
      </c>
      <c r="V33" s="41">
        <f>$A33*$B33*VLOOKUP($C33,$C$13:$Y$16,V$30,FALSE)*VLOOKUP($D33,'Units per home'!$A$40:$U$42,V$30-1,FALSE)</f>
        <v>18557.547819696309</v>
      </c>
      <c r="W33" s="41">
        <f>$A33*$B33*VLOOKUP($C33,$C$13:$Y$16,W$30,FALSE)*VLOOKUP($D33,'Units per home'!$A$40:$U$42,W$30-1,FALSE)</f>
        <v>18283.420656902825</v>
      </c>
      <c r="X33" s="41">
        <f>$A33*$B33*VLOOKUP($C33,$C$13:$Y$16,X$30,FALSE)*VLOOKUP($D33,'Units per home'!$A$40:$U$42,X$30-1,FALSE)</f>
        <v>18241.902339632918</v>
      </c>
      <c r="Y33" s="41"/>
      <c r="Z33" s="9" t="str">
        <f t="shared" si="4"/>
        <v>Multifamily - High RiseOccupancy sensing advanced power strip</v>
      </c>
      <c r="AA33" s="53">
        <f>VLOOKUP(C33,$C$13:$X$16,$X$30,FALSE)*$AA$29*VLOOKUP($D33,'Units per home'!$A$40:$U$42,X$30-1,FALSE)*A33*B33</f>
        <v>15505.616988687978</v>
      </c>
    </row>
    <row r="34" spans="1:27">
      <c r="A34" s="63">
        <f>INDEX([2]!ResApplic,MATCH($C$30,[2]APPLIC!$B$9:$B$120,0)+1,MATCH($C34,[2]APPLIC!$C$8:$F$8,0)+1)</f>
        <v>0.2475</v>
      </c>
      <c r="B34" s="476">
        <f>VLOOKUP($D34,'Units per home'!$A$3:$E$15,MATCH('SC-Retro'!$C34,'Units per home'!$B$3:$E$3,0)+1,FALSE)</f>
        <v>0.70646803257015534</v>
      </c>
      <c r="C34" s="9" t="str">
        <f>C16</f>
        <v>Manufactured</v>
      </c>
      <c r="D34" s="9" t="s">
        <v>794</v>
      </c>
      <c r="E34" s="41">
        <f>$A34*$B34*VLOOKUP($C34,$C$13:$Y$16,E$30,FALSE)*VLOOKUP($D34,'Units per home'!$A$40:$U$42,'SC-New'!E$22-1,FALSE)</f>
        <v>98556.832890993697</v>
      </c>
      <c r="F34" s="41">
        <f>$A34*$B34*VLOOKUP($C34,$C$13:$Y$16,F$30,FALSE)*VLOOKUP($D34,'Units per home'!$A$40:$U$42,F$30-1,FALSE)</f>
        <v>96566.341733074703</v>
      </c>
      <c r="G34" s="41">
        <f>$A34*$B34*VLOOKUP($C34,$C$13:$Y$16,G$30,FALSE)*VLOOKUP($D34,'Units per home'!$A$40:$U$42,G$30-1,FALSE)</f>
        <v>94607.138937875046</v>
      </c>
      <c r="H34" s="41">
        <f>$A34*$B34*VLOOKUP($C34,$C$13:$Y$16,H$30,FALSE)*VLOOKUP($D34,'Units per home'!$A$40:$U$42,H$30-1,FALSE)</f>
        <v>92678.783086115291</v>
      </c>
      <c r="I34" s="41">
        <f>$A34*$B34*VLOOKUP($C34,$C$13:$Y$16,I$30,FALSE)*VLOOKUP($D34,'Units per home'!$A$40:$U$42,I$30-1,FALSE)</f>
        <v>90780.838619903239</v>
      </c>
      <c r="J34" s="41">
        <f>$A34*$B34*VLOOKUP($C34,$C$13:$Y$16,J$30,FALSE)*VLOOKUP($D34,'Units per home'!$A$40:$U$42,J$30-1,FALSE)</f>
        <v>89001.266373916354</v>
      </c>
      <c r="K34" s="41">
        <f>$A34*$B34*VLOOKUP($C34,$C$13:$Y$16,K$30,FALSE)*VLOOKUP($D34,'Units per home'!$A$40:$U$42,K$30-1,FALSE)</f>
        <v>87249.362424898631</v>
      </c>
      <c r="L34" s="41">
        <f>$A34*$B34*VLOOKUP($C34,$C$13:$Y$16,L$30,FALSE)*VLOOKUP($D34,'Units per home'!$A$40:$U$42,L$30-1,FALSE)</f>
        <v>85524.738639354822</v>
      </c>
      <c r="M34" s="41">
        <f>$A34*$B34*VLOOKUP($C34,$C$13:$Y$16,M$30,FALSE)*VLOOKUP($D34,'Units per home'!$A$40:$U$42,M$30-1,FALSE)</f>
        <v>83827.012019701753</v>
      </c>
      <c r="N34" s="41">
        <f>$A34*$B34*VLOOKUP($C34,$C$13:$Y$16,N$30,FALSE)*VLOOKUP($D34,'Units per home'!$A$40:$U$42,N$30-1,FALSE)</f>
        <v>82155.804638822956</v>
      </c>
      <c r="O34" s="41">
        <f>$A34*$B34*VLOOKUP($C34,$C$13:$Y$16,O$30,FALSE)*VLOOKUP($D34,'Units per home'!$A$40:$U$42,O$30-1,FALSE)</f>
        <v>80510.74357543551</v>
      </c>
      <c r="P34" s="41">
        <f>$A34*$B34*VLOOKUP($C34,$C$13:$Y$16,P$30,FALSE)*VLOOKUP($D34,'Units per home'!$A$40:$U$42,P$30-1,FALSE)</f>
        <v>78891.460850258984</v>
      </c>
      <c r="Q34" s="41">
        <f>$A34*$B34*VLOOKUP($C34,$C$13:$Y$16,Q$30,FALSE)*VLOOKUP($D34,'Units per home'!$A$40:$U$42,Q$30-1,FALSE)</f>
        <v>77297.593362977364</v>
      </c>
      <c r="R34" s="41">
        <f>$A34*$B34*VLOOKUP($C34,$C$13:$Y$16,R$30,FALSE)*VLOOKUP($D34,'Units per home'!$A$40:$U$42,R$30-1,FALSE)</f>
        <v>75728.782829983596</v>
      </c>
      <c r="S34" s="41">
        <f>$A34*$B34*VLOOKUP($C34,$C$13:$Y$16,S$30,FALSE)*VLOOKUP($D34,'Units per home'!$A$40:$U$42,S$30-1,FALSE)</f>
        <v>74184.675722897751</v>
      </c>
      <c r="T34" s="41">
        <f>$A34*$B34*VLOOKUP($C34,$C$13:$Y$16,T$30,FALSE)*VLOOKUP($D34,'Units per home'!$A$40:$U$42,T$30-1,FALSE)</f>
        <v>72505.623533146776</v>
      </c>
      <c r="U34" s="41">
        <f>$A34*$B34*VLOOKUP($C34,$C$13:$Y$16,U$30,FALSE)*VLOOKUP($D34,'Units per home'!$A$40:$U$42,U$30-1,FALSE)</f>
        <v>70853.986603047073</v>
      </c>
      <c r="V34" s="41">
        <f>$A34*$B34*VLOOKUP($C34,$C$13:$Y$16,V$30,FALSE)*VLOOKUP($D34,'Units per home'!$A$40:$U$42,V$30-1,FALSE)</f>
        <v>69229.370726951645</v>
      </c>
      <c r="W34" s="41">
        <f>$A34*$B34*VLOOKUP($C34,$C$13:$Y$16,W$30,FALSE)*VLOOKUP($D34,'Units per home'!$A$40:$U$42,W$30-1,FALSE)</f>
        <v>67631.386993811466</v>
      </c>
      <c r="X34" s="41">
        <f>$A34*$B34*VLOOKUP($C34,$C$13:$Y$16,X$30,FALSE)*VLOOKUP($D34,'Units per home'!$A$40:$U$42,X$30-1,FALSE)</f>
        <v>66908.611275559495</v>
      </c>
      <c r="Y34" s="41"/>
      <c r="Z34" s="9" t="str">
        <f t="shared" si="4"/>
        <v>ManufacturedOccupancy sensing advanced power strip</v>
      </c>
      <c r="AA34" s="53">
        <f>VLOOKUP(C34,$C$13:$X$16,$X$30,FALSE)*$AA$29*VLOOKUP($D34,'Units per home'!$A$40:$U$42,X$30-1,FALSE)*A34*B34</f>
        <v>56872.319584225566</v>
      </c>
    </row>
    <row r="35" spans="1:27">
      <c r="A35" s="63">
        <f>INDEX([2]!ResApplic,MATCH($C$30,[2]APPLIC!$B$9:$B$120,0)+1,MATCH($C35,[2]APPLIC!$C$8:$F$8,0)+1)</f>
        <v>0.33660000000000001</v>
      </c>
      <c r="B35" s="476">
        <f>VLOOKUP($D35,'Units per home'!$A$3:$E$15,MATCH('SC-Retro'!$C35,'Units per home'!$B$3:$E$3,0)+1,FALSE)</f>
        <v>2.2906090340948593</v>
      </c>
      <c r="C35" s="9" t="str">
        <f>C31</f>
        <v>Single Family</v>
      </c>
      <c r="D35" s="9" t="s">
        <v>795</v>
      </c>
      <c r="E35" s="41">
        <f>$A35*$B35*VLOOKUP($C35,$C$13:$Y$16,E$30,FALSE)*VLOOKUP($D35,'Units per home'!$A$40:$U$42,'SC-New'!E$22-1,FALSE)</f>
        <v>4316418.5011201175</v>
      </c>
      <c r="F35" s="41">
        <f>$A35*$B35*VLOOKUP($C35,$C$13:$Y$16,F$30,FALSE)*VLOOKUP($D35,'Units per home'!$A$40:$U$42,F$30-1,FALSE)</f>
        <v>4581180.5887941178</v>
      </c>
      <c r="G35" s="41">
        <f>$A35*$B35*VLOOKUP($C35,$C$13:$Y$16,G$30,FALSE)*VLOOKUP($D35,'Units per home'!$A$40:$U$42,G$30-1,FALSE)</f>
        <v>4777718.1289592311</v>
      </c>
      <c r="H35" s="41">
        <f>$A35*$B35*VLOOKUP($C35,$C$13:$Y$16,H$30,FALSE)*VLOOKUP($D35,'Units per home'!$A$40:$U$42,H$30-1,FALSE)</f>
        <v>4921046.1807534704</v>
      </c>
      <c r="I35" s="41">
        <f>$A35*$B35*VLOOKUP($C35,$C$13:$Y$16,I$30,FALSE)*VLOOKUP($D35,'Units per home'!$A$40:$U$42,I$30-1,FALSE)</f>
        <v>5648244.002787645</v>
      </c>
      <c r="J35" s="41">
        <f>$A35*$B35*VLOOKUP($C35,$C$13:$Y$16,J$30,FALSE)*VLOOKUP($D35,'Units per home'!$A$40:$U$42,J$30-1,FALSE)</f>
        <v>5661422.0181235075</v>
      </c>
      <c r="K35" s="41">
        <f>$A35*$B35*VLOOKUP($C35,$C$13:$Y$16,K$30,FALSE)*VLOOKUP($D35,'Units per home'!$A$40:$U$42,K$30-1,FALSE)</f>
        <v>5674010.6456058035</v>
      </c>
      <c r="L35" s="41">
        <f>$A35*$B35*VLOOKUP($C35,$C$13:$Y$16,L$30,FALSE)*VLOOKUP($D35,'Units per home'!$A$40:$U$42,L$30-1,FALSE)</f>
        <v>5687636.0565731358</v>
      </c>
      <c r="M35" s="41">
        <f>$A35*$B35*VLOOKUP($C35,$C$13:$Y$16,M$30,FALSE)*VLOOKUP($D35,'Units per home'!$A$40:$U$42,M$30-1,FALSE)</f>
        <v>5700978.2851841217</v>
      </c>
      <c r="N35" s="41">
        <f>$A35*$B35*VLOOKUP($C35,$C$13:$Y$16,N$30,FALSE)*VLOOKUP($D35,'Units per home'!$A$40:$U$42,N$30-1,FALSE)</f>
        <v>5713126.220941049</v>
      </c>
      <c r="O35" s="41">
        <f>$A35*$B35*VLOOKUP($C35,$C$13:$Y$16,O$30,FALSE)*VLOOKUP($D35,'Units per home'!$A$40:$U$42,O$30-1,FALSE)</f>
        <v>5724272.8969010208</v>
      </c>
      <c r="P35" s="41">
        <f>$A35*$B35*VLOOKUP($C35,$C$13:$Y$16,P$30,FALSE)*VLOOKUP($D35,'Units per home'!$A$40:$U$42,P$30-1,FALSE)</f>
        <v>5735061.2328668321</v>
      </c>
      <c r="Q35" s="41">
        <f>$A35*$B35*VLOOKUP($C35,$C$13:$Y$16,Q$30,FALSE)*VLOOKUP($D35,'Units per home'!$A$40:$U$42,Q$30-1,FALSE)</f>
        <v>5744845.1236530012</v>
      </c>
      <c r="R35" s="41">
        <f>$A35*$B35*VLOOKUP($C35,$C$13:$Y$16,R$30,FALSE)*VLOOKUP($D35,'Units per home'!$A$40:$U$42,R$30-1,FALSE)</f>
        <v>5754055.4769817032</v>
      </c>
      <c r="S35" s="41">
        <f>$A35*$B35*VLOOKUP($C35,$C$13:$Y$16,S$30,FALSE)*VLOOKUP($D35,'Units per home'!$A$40:$U$42,S$30-1,FALSE)</f>
        <v>5763111.8118028603</v>
      </c>
      <c r="T35" s="41">
        <f>$A35*$B35*VLOOKUP($C35,$C$13:$Y$16,T$30,FALSE)*VLOOKUP($D35,'Units per home'!$A$40:$U$42,T$30-1,FALSE)</f>
        <v>5763384.5029523121</v>
      </c>
      <c r="U35" s="41">
        <f>$A35*$B35*VLOOKUP($C35,$C$13:$Y$16,U$30,FALSE)*VLOOKUP($D35,'Units per home'!$A$40:$U$42,U$30-1,FALSE)</f>
        <v>5763611.4975116877</v>
      </c>
      <c r="V35" s="41">
        <f>$A35*$B35*VLOOKUP($C35,$C$13:$Y$16,V$30,FALSE)*VLOOKUP($D35,'Units per home'!$A$40:$U$42,V$30-1,FALSE)</f>
        <v>5763359.8945557903</v>
      </c>
      <c r="W35" s="41">
        <f>$A35*$B35*VLOOKUP($C35,$C$13:$Y$16,W$30,FALSE)*VLOOKUP($D35,'Units per home'!$A$40:$U$42,W$30-1,FALSE)</f>
        <v>5762877.1858367138</v>
      </c>
      <c r="X35" s="41">
        <f>$A35*$B35*VLOOKUP($C35,$C$13:$Y$16,X$30,FALSE)*VLOOKUP($D35,'Units per home'!$A$40:$U$42,X$30-1,FALSE)</f>
        <v>5762325.2469143299</v>
      </c>
      <c r="Y35" s="41"/>
      <c r="Z35" s="9" t="str">
        <f t="shared" si="4"/>
        <v>Single FamilyInfrared sensing advanced power strip</v>
      </c>
      <c r="AA35" s="53">
        <f>VLOOKUP(C35,$C$13:$X$16,$X$30,FALSE)*$AA$29*VLOOKUP($D35,'Units per home'!$A$40:$U$42,X$30-1,FALSE)*A35*B35</f>
        <v>4897976.4598771809</v>
      </c>
    </row>
    <row r="36" spans="1:27">
      <c r="A36" s="63">
        <f>INDEX([2]!ResApplic,MATCH($C$30,[2]APPLIC!$B$9:$B$120,0)+1,MATCH($C36,[2]APPLIC!$C$8:$F$8,0)+1)</f>
        <v>0.2475</v>
      </c>
      <c r="B36" s="476">
        <f>VLOOKUP($D36,'Units per home'!$A$3:$E$15,MATCH('SC-Retro'!$C36,'Units per home'!$B$3:$E$3,0)+1,FALSE)</f>
        <v>1.5145007606068333</v>
      </c>
      <c r="C36" s="9" t="str">
        <f t="shared" ref="C36:C38" si="5">C32</f>
        <v>Multifamily - Low Rise</v>
      </c>
      <c r="D36" s="9" t="s">
        <v>795</v>
      </c>
      <c r="E36" s="41">
        <f>$A36*$B36*VLOOKUP($C36,$C$13:$Y$16,E$30,FALSE)*VLOOKUP($D36,'Units per home'!$A$40:$U$42,'SC-New'!E$22-1,FALSE)</f>
        <v>462396.19293315586</v>
      </c>
      <c r="F36" s="41">
        <f>$A36*$B36*VLOOKUP($C36,$C$13:$Y$16,F$30,FALSE)*VLOOKUP($D36,'Units per home'!$A$40:$U$42,F$30-1,FALSE)</f>
        <v>490758.8050913515</v>
      </c>
      <c r="G36" s="41">
        <f>$A36*$B36*VLOOKUP($C36,$C$13:$Y$16,G$30,FALSE)*VLOOKUP($D36,'Units per home'!$A$40:$U$42,G$30-1,FALSE)</f>
        <v>511812.86325383198</v>
      </c>
      <c r="H36" s="41">
        <f>$A36*$B36*VLOOKUP($C36,$C$13:$Y$16,H$30,FALSE)*VLOOKUP($D36,'Units per home'!$A$40:$U$42,H$30-1,FALSE)</f>
        <v>527166.85577296687</v>
      </c>
      <c r="I36" s="41">
        <f>$A36*$B36*VLOOKUP($C36,$C$13:$Y$16,I$30,FALSE)*VLOOKUP($D36,'Units per home'!$A$40:$U$42,I$30-1,FALSE)</f>
        <v>605067.86834843154</v>
      </c>
      <c r="J36" s="41">
        <f>$A36*$B36*VLOOKUP($C36,$C$13:$Y$16,J$30,FALSE)*VLOOKUP($D36,'Units per home'!$A$40:$U$42,J$30-1,FALSE)</f>
        <v>606479.54041794233</v>
      </c>
      <c r="K36" s="41">
        <f>$A36*$B36*VLOOKUP($C36,$C$13:$Y$16,K$30,FALSE)*VLOOKUP($D36,'Units per home'!$A$40:$U$42,K$30-1,FALSE)</f>
        <v>607828.07424316881</v>
      </c>
      <c r="L36" s="41">
        <f>$A36*$B36*VLOOKUP($C36,$C$13:$Y$16,L$30,FALSE)*VLOOKUP($D36,'Units per home'!$A$40:$U$42,L$30-1,FALSE)</f>
        <v>609287.6733387016</v>
      </c>
      <c r="M36" s="41">
        <f>$A36*$B36*VLOOKUP($C36,$C$13:$Y$16,M$30,FALSE)*VLOOKUP($D36,'Units per home'!$A$40:$U$42,M$30-1,FALSE)</f>
        <v>610716.93643548992</v>
      </c>
      <c r="N36" s="41">
        <f>$A36*$B36*VLOOKUP($C36,$C$13:$Y$16,N$30,FALSE)*VLOOKUP($D36,'Units per home'!$A$40:$U$42,N$30-1,FALSE)</f>
        <v>612018.26088628022</v>
      </c>
      <c r="O36" s="41">
        <f>$A36*$B36*VLOOKUP($C36,$C$13:$Y$16,O$30,FALSE)*VLOOKUP($D36,'Units per home'!$A$40:$U$42,O$30-1,FALSE)</f>
        <v>613212.32535757625</v>
      </c>
      <c r="P36" s="41">
        <f>$A36*$B36*VLOOKUP($C36,$C$13:$Y$16,P$30,FALSE)*VLOOKUP($D36,'Units per home'!$A$40:$U$42,P$30-1,FALSE)</f>
        <v>614368.00259660115</v>
      </c>
      <c r="Q36" s="41">
        <f>$A36*$B36*VLOOKUP($C36,$C$13:$Y$16,Q$30,FALSE)*VLOOKUP($D36,'Units per home'!$A$40:$U$42,Q$30-1,FALSE)</f>
        <v>615416.07864077261</v>
      </c>
      <c r="R36" s="41">
        <f>$A36*$B36*VLOOKUP($C36,$C$13:$Y$16,R$30,FALSE)*VLOOKUP($D36,'Units per home'!$A$40:$U$42,R$30-1,FALSE)</f>
        <v>616402.71445580572</v>
      </c>
      <c r="S36" s="41">
        <f>$A36*$B36*VLOOKUP($C36,$C$13:$Y$16,S$30,FALSE)*VLOOKUP($D36,'Units per home'!$A$40:$U$42,S$30-1,FALSE)</f>
        <v>617372.85097942315</v>
      </c>
      <c r="T36" s="41">
        <f>$A36*$B36*VLOOKUP($C36,$C$13:$Y$16,T$30,FALSE)*VLOOKUP($D36,'Units per home'!$A$40:$U$42,T$30-1,FALSE)</f>
        <v>617402.04040303326</v>
      </c>
      <c r="U36" s="41">
        <f>$A36*$B36*VLOOKUP($C36,$C$13:$Y$16,U$30,FALSE)*VLOOKUP($D36,'Units per home'!$A$40:$U$42,U$30-1,FALSE)</f>
        <v>617426.3345816317</v>
      </c>
      <c r="V36" s="41">
        <f>$A36*$B36*VLOOKUP($C36,$C$13:$Y$16,V$30,FALSE)*VLOOKUP($D36,'Units per home'!$A$40:$U$42,V$30-1,FALSE)</f>
        <v>617399.35904693312</v>
      </c>
      <c r="W36" s="41">
        <f>$A36*$B36*VLOOKUP($C36,$C$13:$Y$16,W$30,FALSE)*VLOOKUP($D36,'Units per home'!$A$40:$U$42,W$30-1,FALSE)</f>
        <v>617347.62633307604</v>
      </c>
      <c r="X36" s="41">
        <f>$A36*$B36*VLOOKUP($C36,$C$13:$Y$16,X$30,FALSE)*VLOOKUP($D36,'Units per home'!$A$40:$U$42,X$30-1,FALSE)</f>
        <v>617288.47734486032</v>
      </c>
      <c r="Y36" s="41"/>
      <c r="Z36" s="9" t="str">
        <f t="shared" si="4"/>
        <v>Multifamily - Low RiseInfrared sensing advanced power strip</v>
      </c>
      <c r="AA36" s="53">
        <f>VLOOKUP(C36,$C$13:$X$16,$X$30,FALSE)*$AA$29*VLOOKUP($D36,'Units per home'!$A$40:$U$42,X$30-1,FALSE)*A36*B36</f>
        <v>524695.20574313123</v>
      </c>
    </row>
    <row r="37" spans="1:27">
      <c r="A37" s="63">
        <f>INDEX([2]!ResApplic,MATCH($C$30,[2]APPLIC!$B$9:$B$120,0)+1,MATCH($C37,[2]APPLIC!$C$8:$F$8,0)+1)</f>
        <v>0.2475</v>
      </c>
      <c r="B37" s="476">
        <f>VLOOKUP($D37,'Units per home'!$A$3:$E$15,MATCH('SC-Retro'!$C37,'Units per home'!$B$3:$E$3,0)+1,FALSE)</f>
        <v>1.5145007606068333</v>
      </c>
      <c r="C37" s="9" t="str">
        <f t="shared" si="5"/>
        <v>Multifamily - High Rise</v>
      </c>
      <c r="D37" s="9" t="s">
        <v>795</v>
      </c>
      <c r="E37" s="41">
        <f>$A37*$B37*VLOOKUP($C37,$C$13:$Y$16,E$30,FALSE)*VLOOKUP($D37,'Units per home'!$A$40:$U$42,'SC-New'!E$22-1,FALSE)</f>
        <v>105424.64337153303</v>
      </c>
      <c r="F37" s="41">
        <f>$A37*$B37*VLOOKUP($C37,$C$13:$Y$16,F$30,FALSE)*VLOOKUP($D37,'Units per home'!$A$40:$U$42,F$30-1,FALSE)</f>
        <v>111891.21536663409</v>
      </c>
      <c r="G37" s="41">
        <f>$A37*$B37*VLOOKUP($C37,$C$13:$Y$16,G$30,FALSE)*VLOOKUP($D37,'Units per home'!$A$40:$U$42,G$30-1,FALSE)</f>
        <v>116691.46374070297</v>
      </c>
      <c r="H37" s="41">
        <f>$A37*$B37*VLOOKUP($C37,$C$13:$Y$16,H$30,FALSE)*VLOOKUP($D37,'Units per home'!$A$40:$U$42,H$30-1,FALSE)</f>
        <v>120192.11796406718</v>
      </c>
      <c r="I37" s="41">
        <f>$A37*$B37*VLOOKUP($C37,$C$13:$Y$16,I$30,FALSE)*VLOOKUP($D37,'Units per home'!$A$40:$U$42,I$30-1,FALSE)</f>
        <v>137953.26434581715</v>
      </c>
      <c r="J37" s="41">
        <f>$A37*$B37*VLOOKUP($C37,$C$13:$Y$16,J$30,FALSE)*VLOOKUP($D37,'Units per home'!$A$40:$U$42,J$30-1,FALSE)</f>
        <v>138275.12042240304</v>
      </c>
      <c r="K37" s="41">
        <f>$A37*$B37*VLOOKUP($C37,$C$13:$Y$16,K$30,FALSE)*VLOOKUP($D37,'Units per home'!$A$40:$U$42,K$30-1,FALSE)</f>
        <v>138582.58120986566</v>
      </c>
      <c r="L37" s="41">
        <f>$A37*$B37*VLOOKUP($C37,$C$13:$Y$16,L$30,FALSE)*VLOOKUP($D37,'Units per home'!$A$40:$U$42,L$30-1,FALSE)</f>
        <v>138915.36447336065</v>
      </c>
      <c r="M37" s="41">
        <f>$A37*$B37*VLOOKUP($C37,$C$13:$Y$16,M$30,FALSE)*VLOOKUP($D37,'Units per home'!$A$40:$U$42,M$30-1,FALSE)</f>
        <v>139241.23123992549</v>
      </c>
      <c r="N37" s="41">
        <f>$A37*$B37*VLOOKUP($C37,$C$13:$Y$16,N$30,FALSE)*VLOOKUP($D37,'Units per home'!$A$40:$U$42,N$30-1,FALSE)</f>
        <v>139537.9284624198</v>
      </c>
      <c r="O37" s="41">
        <f>$A37*$B37*VLOOKUP($C37,$C$13:$Y$16,O$30,FALSE)*VLOOKUP($D37,'Units per home'!$A$40:$U$42,O$30-1,FALSE)</f>
        <v>139810.17080129043</v>
      </c>
      <c r="P37" s="41">
        <f>$A37*$B37*VLOOKUP($C37,$C$13:$Y$16,P$30,FALSE)*VLOOKUP($D37,'Units per home'!$A$40:$U$42,P$30-1,FALSE)</f>
        <v>140073.66099138898</v>
      </c>
      <c r="Q37" s="41">
        <f>$A37*$B37*VLOOKUP($C37,$C$13:$Y$16,Q$30,FALSE)*VLOOKUP($D37,'Units per home'!$A$40:$U$42,Q$30-1,FALSE)</f>
        <v>140312.618502008</v>
      </c>
      <c r="R37" s="41">
        <f>$A37*$B37*VLOOKUP($C37,$C$13:$Y$16,R$30,FALSE)*VLOOKUP($D37,'Units per home'!$A$40:$U$42,R$30-1,FALSE)</f>
        <v>140537.56786475607</v>
      </c>
      <c r="S37" s="41">
        <f>$A37*$B37*VLOOKUP($C37,$C$13:$Y$16,S$30,FALSE)*VLOOKUP($D37,'Units per home'!$A$40:$U$42,S$30-1,FALSE)</f>
        <v>140758.75544931486</v>
      </c>
      <c r="T37" s="41">
        <f>$A37*$B37*VLOOKUP($C37,$C$13:$Y$16,T$30,FALSE)*VLOOKUP($D37,'Units per home'!$A$40:$U$42,T$30-1,FALSE)</f>
        <v>140765.41053130158</v>
      </c>
      <c r="U37" s="41">
        <f>$A37*$B37*VLOOKUP($C37,$C$13:$Y$16,U$30,FALSE)*VLOOKUP($D37,'Units per home'!$A$40:$U$42,U$30-1,FALSE)</f>
        <v>140770.94951530249</v>
      </c>
      <c r="V37" s="41">
        <f>$A37*$B37*VLOOKUP($C37,$C$13:$Y$16,V$30,FALSE)*VLOOKUP($D37,'Units per home'!$A$40:$U$42,V$30-1,FALSE)</f>
        <v>140764.79919190274</v>
      </c>
      <c r="W37" s="41">
        <f>$A37*$B37*VLOOKUP($C37,$C$13:$Y$16,W$30,FALSE)*VLOOKUP($D37,'Units per home'!$A$40:$U$42,W$30-1,FALSE)</f>
        <v>140753.00432206516</v>
      </c>
      <c r="X37" s="41">
        <f>$A37*$B37*VLOOKUP($C37,$C$13:$Y$16,X$30,FALSE)*VLOOKUP($D37,'Units per home'!$A$40:$U$42,X$30-1,FALSE)</f>
        <v>140739.51856875719</v>
      </c>
      <c r="Y37" s="41"/>
      <c r="Z37" s="9" t="str">
        <f t="shared" si="4"/>
        <v>Multifamily - High RiseInfrared sensing advanced power strip</v>
      </c>
      <c r="AA37" s="53">
        <f>VLOOKUP(C37,$C$13:$X$16,$X$30,FALSE)*$AA$29*VLOOKUP($D37,'Units per home'!$A$40:$U$42,X$30-1,FALSE)*A37*B37</f>
        <v>119628.59078344365</v>
      </c>
    </row>
    <row r="38" spans="1:27">
      <c r="A38" s="63">
        <f>INDEX([2]!ResApplic,MATCH($C$30,[2]APPLIC!$B$9:$B$120,0)+1,MATCH($C38,[2]APPLIC!$C$8:$F$8,0)+1)</f>
        <v>0.2475</v>
      </c>
      <c r="B38" s="476">
        <f>VLOOKUP($D38,'Units per home'!$A$3:$E$15,MATCH('SC-Retro'!$C38,'Units per home'!$B$3:$E$3,0)+1,FALSE)</f>
        <v>2.0454162110233622</v>
      </c>
      <c r="C38" s="9" t="str">
        <f t="shared" si="5"/>
        <v>Manufactured</v>
      </c>
      <c r="D38" s="9" t="s">
        <v>795</v>
      </c>
      <c r="E38" s="41">
        <f>$A38*$B38*VLOOKUP($C38,$C$13:$Y$16,E$30,FALSE)*VLOOKUP($D38,'Units per home'!$A$40:$U$42,'SC-New'!E$22-1,FALSE)</f>
        <v>385657.89093551232</v>
      </c>
      <c r="F38" s="41">
        <f>$A38*$B38*VLOOKUP($C38,$C$13:$Y$16,F$30,FALSE)*VLOOKUP($D38,'Units per home'!$A$40:$U$42,F$30-1,FALSE)</f>
        <v>405860.81157205906</v>
      </c>
      <c r="G38" s="41">
        <f>$A38*$B38*VLOOKUP($C38,$C$13:$Y$16,G$30,FALSE)*VLOOKUP($D38,'Units per home'!$A$40:$U$42,G$30-1,FALSE)</f>
        <v>419702.21646962292</v>
      </c>
      <c r="H38" s="41">
        <f>$A38*$B38*VLOOKUP($C38,$C$13:$Y$16,H$30,FALSE)*VLOOKUP($D38,'Units per home'!$A$40:$U$42,H$30-1,FALSE)</f>
        <v>428646.42930563627</v>
      </c>
      <c r="I38" s="41">
        <f>$A38*$B38*VLOOKUP($C38,$C$13:$Y$16,I$30,FALSE)*VLOOKUP($D38,'Units per home'!$A$40:$U$42,I$30-1,FALSE)</f>
        <v>487838.70105279895</v>
      </c>
      <c r="J38" s="41">
        <f>$A38*$B38*VLOOKUP($C38,$C$13:$Y$16,J$30,FALSE)*VLOOKUP($D38,'Units per home'!$A$40:$U$42,J$30-1,FALSE)</f>
        <v>484852.18984513689</v>
      </c>
      <c r="K38" s="41">
        <f>$A38*$B38*VLOOKUP($C38,$C$13:$Y$16,K$30,FALSE)*VLOOKUP($D38,'Units per home'!$A$40:$U$42,K$30-1,FALSE)</f>
        <v>481831.3006972812</v>
      </c>
      <c r="L38" s="41">
        <f>$A38*$B38*VLOOKUP($C38,$C$13:$Y$16,L$30,FALSE)*VLOOKUP($D38,'Units per home'!$A$40:$U$42,L$30-1,FALSE)</f>
        <v>478914.17626601143</v>
      </c>
      <c r="M38" s="41">
        <f>$A38*$B38*VLOOKUP($C38,$C$13:$Y$16,M$30,FALSE)*VLOOKUP($D38,'Units per home'!$A$40:$U$42,M$30-1,FALSE)</f>
        <v>475988.3374007268</v>
      </c>
      <c r="N38" s="41">
        <f>$A38*$B38*VLOOKUP($C38,$C$13:$Y$16,N$30,FALSE)*VLOOKUP($D38,'Units per home'!$A$40:$U$42,N$30-1,FALSE)</f>
        <v>472978.90901708731</v>
      </c>
      <c r="O38" s="41">
        <f>$A38*$B38*VLOOKUP($C38,$C$13:$Y$16,O$30,FALSE)*VLOOKUP($D38,'Units per home'!$A$40:$U$42,O$30-1,FALSE)</f>
        <v>469904.18958819361</v>
      </c>
      <c r="P38" s="41">
        <f>$A38*$B38*VLOOKUP($C38,$C$13:$Y$16,P$30,FALSE)*VLOOKUP($D38,'Units per home'!$A$40:$U$42,P$30-1,FALSE)</f>
        <v>466818.52002515009</v>
      </c>
      <c r="Q38" s="41">
        <f>$A38*$B38*VLOOKUP($C38,$C$13:$Y$16,Q$30,FALSE)*VLOOKUP($D38,'Units per home'!$A$40:$U$42,Q$30-1,FALSE)</f>
        <v>463670.40229497035</v>
      </c>
      <c r="R38" s="41">
        <f>$A38*$B38*VLOOKUP($C38,$C$13:$Y$16,R$30,FALSE)*VLOOKUP($D38,'Units per home'!$A$40:$U$42,R$30-1,FALSE)</f>
        <v>460496.27884155582</v>
      </c>
      <c r="S38" s="41">
        <f>$A38*$B38*VLOOKUP($C38,$C$13:$Y$16,S$30,FALSE)*VLOOKUP($D38,'Units per home'!$A$40:$U$42,S$30-1,FALSE)</f>
        <v>457330.49042498833</v>
      </c>
      <c r="T38" s="41">
        <f>$A38*$B38*VLOOKUP($C38,$C$13:$Y$16,T$30,FALSE)*VLOOKUP($D38,'Units per home'!$A$40:$U$42,T$30-1,FALSE)</f>
        <v>453494.19989543397</v>
      </c>
      <c r="U38" s="41">
        <f>$A38*$B38*VLOOKUP($C38,$C$13:$Y$16,U$30,FALSE)*VLOOKUP($D38,'Units per home'!$A$40:$U$42,U$30-1,FALSE)</f>
        <v>449686.52353804919</v>
      </c>
      <c r="V38" s="41">
        <f>$A38*$B38*VLOOKUP($C38,$C$13:$Y$16,V$30,FALSE)*VLOOKUP($D38,'Units per home'!$A$40:$U$42,V$30-1,FALSE)</f>
        <v>445873.79092026758</v>
      </c>
      <c r="W38" s="41">
        <f>$A38*$B38*VLOOKUP($C38,$C$13:$Y$16,W$30,FALSE)*VLOOKUP($D38,'Units per home'!$A$40:$U$42,W$30-1,FALSE)</f>
        <v>442075.65593065793</v>
      </c>
      <c r="X38" s="41">
        <f>$A38*$B38*VLOOKUP($C38,$C$13:$Y$16,X$30,FALSE)*VLOOKUP($D38,'Units per home'!$A$40:$U$42,X$30-1,FALSE)</f>
        <v>438304.60601501958</v>
      </c>
      <c r="Y38" s="41"/>
      <c r="Z38" s="9" t="str">
        <f t="shared" si="4"/>
        <v>ManufacturedInfrared sensing advanced power strip</v>
      </c>
      <c r="AA38" s="53">
        <f>VLOOKUP(C38,$C$13:$X$16,$X$30,FALSE)*$AA$29*VLOOKUP($D38,'Units per home'!$A$40:$U$42,X$30-1,FALSE)*A38*B38</f>
        <v>372558.91511276667</v>
      </c>
    </row>
    <row r="39" spans="1:27">
      <c r="A39" s="63">
        <f>INDEX([2]!ResApplic,MATCH($C$30,[2]APPLIC!$B$9:$B$120,0)+1,MATCH($C39,[2]APPLIC!$C$8:$F$8,0)+1)</f>
        <v>0.33660000000000001</v>
      </c>
      <c r="B39" s="476">
        <f>VLOOKUP($D39,'Units per home'!$A$3:$E$15,MATCH('SC-Retro'!$C39,'Units per home'!$B$3:$E$3,0)+1,FALSE)</f>
        <v>3.2548928415544935</v>
      </c>
      <c r="C39" s="9" t="str">
        <f>C31</f>
        <v>Single Family</v>
      </c>
      <c r="D39" s="9" t="s">
        <v>793</v>
      </c>
      <c r="E39" s="41">
        <f>$A39*$B39*VLOOKUP($C39,$C$13:$Y$16,E$30,FALSE)*VLOOKUP($D39,'Units per home'!$A$40:$U$42,'SC-New'!E$22-1,FALSE)</f>
        <v>5335852.8964063954</v>
      </c>
      <c r="F39" s="41">
        <f>$A39*$B39*VLOOKUP($C39,$C$13:$Y$16,F$30,FALSE)*VLOOKUP($D39,'Units per home'!$A$40:$U$42,F$30-1,FALSE)</f>
        <v>5497048.8260296723</v>
      </c>
      <c r="G39" s="41">
        <f>$A39*$B39*VLOOKUP($C39,$C$13:$Y$16,G$30,FALSE)*VLOOKUP($D39,'Units per home'!$A$40:$U$42,G$30-1,FALSE)</f>
        <v>5609882.6775973691</v>
      </c>
      <c r="H39" s="41">
        <f>$A39*$B39*VLOOKUP($C39,$C$13:$Y$16,H$30,FALSE)*VLOOKUP($D39,'Units per home'!$A$40:$U$42,H$30-1,FALSE)</f>
        <v>5685022.0822652485</v>
      </c>
      <c r="I39" s="41">
        <f>$A39*$B39*VLOOKUP($C39,$C$13:$Y$16,I$30,FALSE)*VLOOKUP($D39,'Units per home'!$A$40:$U$42,I$30-1,FALSE)</f>
        <v>6175102.7863626722</v>
      </c>
      <c r="J39" s="41">
        <f>$A39*$B39*VLOOKUP($C39,$C$13:$Y$16,J$30,FALSE)*VLOOKUP($D39,'Units per home'!$A$40:$U$42,J$30-1,FALSE)</f>
        <v>6160114.7023180909</v>
      </c>
      <c r="K39" s="41">
        <f>$A39*$B39*VLOOKUP($C39,$C$13:$Y$16,K$30,FALSE)*VLOOKUP($D39,'Units per home'!$A$40:$U$42,K$30-1,FALSE)</f>
        <v>6144807.3085512947</v>
      </c>
      <c r="L39" s="41">
        <f>$A39*$B39*VLOOKUP($C39,$C$13:$Y$16,L$30,FALSE)*VLOOKUP($D39,'Units per home'!$A$40:$U$42,L$30-1,FALSE)</f>
        <v>6130335.6515196739</v>
      </c>
      <c r="M39" s="41">
        <f>$A39*$B39*VLOOKUP($C39,$C$13:$Y$16,M$30,FALSE)*VLOOKUP($D39,'Units per home'!$A$40:$U$42,M$30-1,FALSE)</f>
        <v>6115761.5884371037</v>
      </c>
      <c r="N39" s="41">
        <f>$A39*$B39*VLOOKUP($C39,$C$13:$Y$16,N$30,FALSE)*VLOOKUP($D39,'Units per home'!$A$40:$U$42,N$30-1,FALSE)</f>
        <v>6100437.463618041</v>
      </c>
      <c r="O39" s="41">
        <f>$A39*$B39*VLOOKUP($C39,$C$13:$Y$16,O$30,FALSE)*VLOOKUP($D39,'Units per home'!$A$40:$U$42,O$30-1,FALSE)</f>
        <v>6084500.1012486955</v>
      </c>
      <c r="P39" s="41">
        <f>$A39*$B39*VLOOKUP($C39,$C$13:$Y$16,P$30,FALSE)*VLOOKUP($D39,'Units per home'!$A$40:$U$42,P$30-1,FALSE)</f>
        <v>6068405.9648609506</v>
      </c>
      <c r="Q39" s="41">
        <f>$A39*$B39*VLOOKUP($C39,$C$13:$Y$16,Q$30,FALSE)*VLOOKUP($D39,'Units per home'!$A$40:$U$42,Q$30-1,FALSE)</f>
        <v>6051695.6843024688</v>
      </c>
      <c r="R39" s="41">
        <f>$A39*$B39*VLOOKUP($C39,$C$13:$Y$16,R$30,FALSE)*VLOOKUP($D39,'Units per home'!$A$40:$U$42,R$30-1,FALSE)</f>
        <v>6034675.0933304736</v>
      </c>
      <c r="S39" s="41">
        <f>$A39*$B39*VLOOKUP($C39,$C$13:$Y$16,S$30,FALSE)*VLOOKUP($D39,'Units per home'!$A$40:$U$42,S$30-1,FALSE)</f>
        <v>6017641.9350869935</v>
      </c>
      <c r="T39" s="41">
        <f>$A39*$B39*VLOOKUP($C39,$C$13:$Y$16,T$30,FALSE)*VLOOKUP($D39,'Units per home'!$A$40:$U$42,T$30-1,FALSE)</f>
        <v>5990300.1336696213</v>
      </c>
      <c r="U39" s="41">
        <f>$A39*$B39*VLOOKUP($C39,$C$13:$Y$16,U$30,FALSE)*VLOOKUP($D39,'Units per home'!$A$40:$U$42,U$30-1,FALSE)</f>
        <v>5963041.0038473932</v>
      </c>
      <c r="V39" s="41">
        <f>$A39*$B39*VLOOKUP($C39,$C$13:$Y$16,V$30,FALSE)*VLOOKUP($D39,'Units per home'!$A$40:$U$42,V$30-1,FALSE)</f>
        <v>5935556.5945052924</v>
      </c>
      <c r="W39" s="41">
        <f>$A39*$B39*VLOOKUP($C39,$C$13:$Y$16,W$30,FALSE)*VLOOKUP($D39,'Units per home'!$A$40:$U$42,W$30-1,FALSE)</f>
        <v>5908022.3653651886</v>
      </c>
      <c r="X39" s="41">
        <f>$A39*$B39*VLOOKUP($C39,$C$13:$Y$16,X$30,FALSE)*VLOOKUP($D39,'Units per home'!$A$40:$U$42,X$30-1,FALSE)</f>
        <v>5903511.9838646352</v>
      </c>
      <c r="Y39" s="41"/>
      <c r="Z39" s="9" t="str">
        <f t="shared" si="4"/>
        <v>Single FamilyLoad sensing advanced power strip</v>
      </c>
      <c r="AA39" s="53">
        <f>VLOOKUP(C39,$C$13:$X$16,$X$30,FALSE)*$AA$29*VLOOKUP($D39,'Units per home'!$A$40:$U$42,X$30-1,FALSE)*A39*B39</f>
        <v>5017985.1862849407</v>
      </c>
    </row>
    <row r="40" spans="1:27">
      <c r="A40" s="63">
        <f>INDEX([2]!ResApplic,MATCH($C$30,[2]APPLIC!$B$9:$B$120,0)+1,MATCH($C40,[2]APPLIC!$C$8:$F$8,0)+1)</f>
        <v>0.2475</v>
      </c>
      <c r="B40" s="476">
        <f>VLOOKUP($D40,'Units per home'!$A$3:$E$15,MATCH('SC-Retro'!$C40,'Units per home'!$B$3:$E$3,0)+1,FALSE)</f>
        <v>1.9586494663871408</v>
      </c>
      <c r="C40" s="9" t="str">
        <f t="shared" ref="C40:C42" si="6">C32</f>
        <v>Multifamily - Low Rise</v>
      </c>
      <c r="D40" s="9" t="s">
        <v>793</v>
      </c>
      <c r="E40" s="41">
        <f>$A40*$B40*VLOOKUP($C40,$C$13:$Y$16,E$30,FALSE)*VLOOKUP($D40,'Units per home'!$A$40:$U$42,'SC-New'!E$22-1,FALSE)</f>
        <v>520230.78618565015</v>
      </c>
      <c r="F40" s="41">
        <f>$A40*$B40*VLOOKUP($C40,$C$13:$Y$16,F$30,FALSE)*VLOOKUP($D40,'Units per home'!$A$40:$U$42,F$30-1,FALSE)</f>
        <v>535946.92045364901</v>
      </c>
      <c r="G40" s="41">
        <f>$A40*$B40*VLOOKUP($C40,$C$13:$Y$16,G$30,FALSE)*VLOOKUP($D40,'Units per home'!$A$40:$U$42,G$30-1,FALSE)</f>
        <v>546947.88609298272</v>
      </c>
      <c r="H40" s="41">
        <f>$A40*$B40*VLOOKUP($C40,$C$13:$Y$16,H$30,FALSE)*VLOOKUP($D40,'Units per home'!$A$40:$U$42,H$30-1,FALSE)</f>
        <v>554273.74781370582</v>
      </c>
      <c r="I40" s="41">
        <f>$A40*$B40*VLOOKUP($C40,$C$13:$Y$16,I$30,FALSE)*VLOOKUP($D40,'Units per home'!$A$40:$U$42,I$30-1,FALSE)</f>
        <v>602055.22331492126</v>
      </c>
      <c r="J40" s="41">
        <f>$A40*$B40*VLOOKUP($C40,$C$13:$Y$16,J$30,FALSE)*VLOOKUP($D40,'Units per home'!$A$40:$U$42,J$30-1,FALSE)</f>
        <v>600593.90512980754</v>
      </c>
      <c r="K40" s="41">
        <f>$A40*$B40*VLOOKUP($C40,$C$13:$Y$16,K$30,FALSE)*VLOOKUP($D40,'Units per home'!$A$40:$U$42,K$30-1,FALSE)</f>
        <v>599101.45525048522</v>
      </c>
      <c r="L40" s="41">
        <f>$A40*$B40*VLOOKUP($C40,$C$13:$Y$16,L$30,FALSE)*VLOOKUP($D40,'Units per home'!$A$40:$U$42,L$30-1,FALSE)</f>
        <v>597690.48746196576</v>
      </c>
      <c r="M40" s="41">
        <f>$A40*$B40*VLOOKUP($C40,$C$13:$Y$16,M$30,FALSE)*VLOOKUP($D40,'Units per home'!$A$40:$U$42,M$30-1,FALSE)</f>
        <v>596269.53547507059</v>
      </c>
      <c r="N40" s="41">
        <f>$A40*$B40*VLOOKUP($C40,$C$13:$Y$16,N$30,FALSE)*VLOOKUP($D40,'Units per home'!$A$40:$U$42,N$30-1,FALSE)</f>
        <v>594775.45468739013</v>
      </c>
      <c r="O40" s="41">
        <f>$A40*$B40*VLOOKUP($C40,$C$13:$Y$16,O$30,FALSE)*VLOOKUP($D40,'Units per home'!$A$40:$U$42,O$30-1,FALSE)</f>
        <v>593221.58507889276</v>
      </c>
      <c r="P40" s="41">
        <f>$A40*$B40*VLOOKUP($C40,$C$13:$Y$16,P$30,FALSE)*VLOOKUP($D40,'Units per home'!$A$40:$U$42,P$30-1,FALSE)</f>
        <v>591652.43056040676</v>
      </c>
      <c r="Q40" s="41">
        <f>$A40*$B40*VLOOKUP($C40,$C$13:$Y$16,Q$30,FALSE)*VLOOKUP($D40,'Units per home'!$A$40:$U$42,Q$30-1,FALSE)</f>
        <v>590023.20384370396</v>
      </c>
      <c r="R40" s="41">
        <f>$A40*$B40*VLOOKUP($C40,$C$13:$Y$16,R$30,FALSE)*VLOOKUP($D40,'Units per home'!$A$40:$U$42,R$30-1,FALSE)</f>
        <v>588363.72286015505</v>
      </c>
      <c r="S40" s="41">
        <f>$A40*$B40*VLOOKUP($C40,$C$13:$Y$16,S$30,FALSE)*VLOOKUP($D40,'Units per home'!$A$40:$U$42,S$30-1,FALSE)</f>
        <v>586703.01672473608</v>
      </c>
      <c r="T40" s="41">
        <f>$A40*$B40*VLOOKUP($C40,$C$13:$Y$16,T$30,FALSE)*VLOOKUP($D40,'Units per home'!$A$40:$U$42,T$30-1,FALSE)</f>
        <v>584037.24728361971</v>
      </c>
      <c r="U40" s="41">
        <f>$A40*$B40*VLOOKUP($C40,$C$13:$Y$16,U$30,FALSE)*VLOOKUP($D40,'Units per home'!$A$40:$U$42,U$30-1,FALSE)</f>
        <v>581379.5382829929</v>
      </c>
      <c r="V40" s="41">
        <f>$A40*$B40*VLOOKUP($C40,$C$13:$Y$16,V$30,FALSE)*VLOOKUP($D40,'Units per home'!$A$40:$U$42,V$30-1,FALSE)</f>
        <v>578699.86536520557</v>
      </c>
      <c r="W40" s="41">
        <f>$A40*$B40*VLOOKUP($C40,$C$13:$Y$16,W$30,FALSE)*VLOOKUP($D40,'Units per home'!$A$40:$U$42,W$30-1,FALSE)</f>
        <v>576015.33535527054</v>
      </c>
      <c r="X40" s="41">
        <f>$A40*$B40*VLOOKUP($C40,$C$13:$Y$16,X$30,FALSE)*VLOOKUP($D40,'Units per home'!$A$40:$U$42,X$30-1,FALSE)</f>
        <v>575575.56495769555</v>
      </c>
      <c r="Y40" s="41"/>
      <c r="Z40" s="9" t="str">
        <f t="shared" si="4"/>
        <v>Multifamily - Low RiseLoad sensing advanced power strip</v>
      </c>
      <c r="AA40" s="53">
        <f>VLOOKUP(C40,$C$13:$X$16,$X$30,FALSE)*$AA$29*VLOOKUP($D40,'Units per home'!$A$40:$U$42,X$30-1,FALSE)*A40*B40</f>
        <v>489239.23021404125</v>
      </c>
    </row>
    <row r="41" spans="1:27">
      <c r="A41" s="63">
        <f>INDEX([2]!ResApplic,MATCH($C$30,[2]APPLIC!$B$9:$B$120,0)+1,MATCH($C41,[2]APPLIC!$C$8:$F$8,0)+1)</f>
        <v>0.2475</v>
      </c>
      <c r="B41" s="476">
        <f>VLOOKUP($D41,'Units per home'!$A$3:$E$15,MATCH('SC-Retro'!$C41,'Units per home'!$B$3:$E$3,0)+1,FALSE)</f>
        <v>1.9586494663871408</v>
      </c>
      <c r="C41" s="9" t="str">
        <f t="shared" si="6"/>
        <v>Multifamily - High Rise</v>
      </c>
      <c r="D41" s="9" t="s">
        <v>793</v>
      </c>
      <c r="E41" s="41">
        <f>$A41*$B41*VLOOKUP($C41,$C$13:$Y$16,E$30,FALSE)*VLOOKUP($D41,'Units per home'!$A$40:$U$42,'SC-New'!E$22-1,FALSE)</f>
        <v>118610.71942788</v>
      </c>
      <c r="F41" s="41">
        <f>$A41*$B41*VLOOKUP($C41,$C$13:$Y$16,F$30,FALSE)*VLOOKUP($D41,'Units per home'!$A$40:$U$42,F$30-1,FALSE)</f>
        <v>122193.94064748558</v>
      </c>
      <c r="G41" s="41">
        <f>$A41*$B41*VLOOKUP($C41,$C$13:$Y$16,G$30,FALSE)*VLOOKUP($D41,'Units per home'!$A$40:$U$42,G$30-1,FALSE)</f>
        <v>124702.12063900405</v>
      </c>
      <c r="H41" s="41">
        <f>$A41*$B41*VLOOKUP($C41,$C$13:$Y$16,H$30,FALSE)*VLOOKUP($D41,'Units per home'!$A$40:$U$42,H$30-1,FALSE)</f>
        <v>126372.39035813219</v>
      </c>
      <c r="I41" s="41">
        <f>$A41*$B41*VLOOKUP($C41,$C$13:$Y$16,I$30,FALSE)*VLOOKUP($D41,'Units per home'!$A$40:$U$42,I$30-1,FALSE)</f>
        <v>137266.39228000678</v>
      </c>
      <c r="J41" s="41">
        <f>$A41*$B41*VLOOKUP($C41,$C$13:$Y$16,J$30,FALSE)*VLOOKUP($D41,'Units per home'!$A$40:$U$42,J$30-1,FALSE)</f>
        <v>136933.21707036521</v>
      </c>
      <c r="K41" s="41">
        <f>$A41*$B41*VLOOKUP($C41,$C$13:$Y$16,K$30,FALSE)*VLOOKUP($D41,'Units per home'!$A$40:$U$42,K$30-1,FALSE)</f>
        <v>136592.94394813347</v>
      </c>
      <c r="L41" s="41">
        <f>$A41*$B41*VLOOKUP($C41,$C$13:$Y$16,L$30,FALSE)*VLOOKUP($D41,'Units per home'!$A$40:$U$42,L$30-1,FALSE)</f>
        <v>136271.24844504162</v>
      </c>
      <c r="M41" s="41">
        <f>$A41*$B41*VLOOKUP($C41,$C$13:$Y$16,M$30,FALSE)*VLOOKUP($D41,'Units per home'!$A$40:$U$42,M$30-1,FALSE)</f>
        <v>135947.27658118124</v>
      </c>
      <c r="N41" s="41">
        <f>$A41*$B41*VLOOKUP($C41,$C$13:$Y$16,N$30,FALSE)*VLOOKUP($D41,'Units per home'!$A$40:$U$42,N$30-1,FALSE)</f>
        <v>135606.63161779975</v>
      </c>
      <c r="O41" s="41">
        <f>$A41*$B41*VLOOKUP($C41,$C$13:$Y$16,O$30,FALSE)*VLOOKUP($D41,'Units per home'!$A$40:$U$42,O$30-1,FALSE)</f>
        <v>135252.35502161377</v>
      </c>
      <c r="P41" s="41">
        <f>$A41*$B41*VLOOKUP($C41,$C$13:$Y$16,P$30,FALSE)*VLOOKUP($D41,'Units per home'!$A$40:$U$42,P$30-1,FALSE)</f>
        <v>134894.5935217691</v>
      </c>
      <c r="Q41" s="41">
        <f>$A41*$B41*VLOOKUP($C41,$C$13:$Y$16,Q$30,FALSE)*VLOOKUP($D41,'Units per home'!$A$40:$U$42,Q$30-1,FALSE)</f>
        <v>134523.13578010778</v>
      </c>
      <c r="R41" s="41">
        <f>$A41*$B41*VLOOKUP($C41,$C$13:$Y$16,R$30,FALSE)*VLOOKUP($D41,'Units per home'!$A$40:$U$42,R$30-1,FALSE)</f>
        <v>134144.78017609054</v>
      </c>
      <c r="S41" s="41">
        <f>$A41*$B41*VLOOKUP($C41,$C$13:$Y$16,S$30,FALSE)*VLOOKUP($D41,'Units per home'!$A$40:$U$42,S$30-1,FALSE)</f>
        <v>133766.14524192107</v>
      </c>
      <c r="T41" s="41">
        <f>$A41*$B41*VLOOKUP($C41,$C$13:$Y$16,T$30,FALSE)*VLOOKUP($D41,'Units per home'!$A$40:$U$42,T$30-1,FALSE)</f>
        <v>133158.3595444271</v>
      </c>
      <c r="U41" s="41">
        <f>$A41*$B41*VLOOKUP($C41,$C$13:$Y$16,U$30,FALSE)*VLOOKUP($D41,'Units per home'!$A$40:$U$42,U$30-1,FALSE)</f>
        <v>132552.41159792899</v>
      </c>
      <c r="V41" s="41">
        <f>$A41*$B41*VLOOKUP($C41,$C$13:$Y$16,V$30,FALSE)*VLOOKUP($D41,'Units per home'!$A$40:$U$42,V$30-1,FALSE)</f>
        <v>131941.45595852792</v>
      </c>
      <c r="W41" s="41">
        <f>$A41*$B41*VLOOKUP($C41,$C$13:$Y$16,W$30,FALSE)*VLOOKUP($D41,'Units per home'!$A$40:$U$42,W$30-1,FALSE)</f>
        <v>131329.39291985476</v>
      </c>
      <c r="X41" s="41">
        <f>$A41*$B41*VLOOKUP($C41,$C$13:$Y$16,X$30,FALSE)*VLOOKUP($D41,'Units per home'!$A$40:$U$42,X$30-1,FALSE)</f>
        <v>131229.1268751981</v>
      </c>
      <c r="Y41" s="41"/>
      <c r="Z41" s="9" t="str">
        <f t="shared" si="4"/>
        <v>Multifamily - High RiseLoad sensing advanced power strip</v>
      </c>
      <c r="AA41" s="53">
        <f>VLOOKUP(C41,$C$13:$X$16,$X$30,FALSE)*$AA$29*VLOOKUP($D41,'Units per home'!$A$40:$U$42,X$30-1,FALSE)*A41*B41</f>
        <v>111544.75784391839</v>
      </c>
    </row>
    <row r="42" spans="1:27">
      <c r="A42" s="63">
        <f>INDEX([2]!ResApplic,MATCH($C$30,[2]APPLIC!$B$9:$B$120,0)+1,MATCH($C42,[2]APPLIC!$C$8:$F$8,0)+1)</f>
        <v>0.2475</v>
      </c>
      <c r="B42" s="476">
        <f>VLOOKUP($D42,'Units per home'!$A$3:$E$15,MATCH('SC-Retro'!$C42,'Units per home'!$B$3:$E$3,0)+1,FALSE)</f>
        <v>2.7518842435935174</v>
      </c>
      <c r="C42" s="9" t="str">
        <f t="shared" si="6"/>
        <v>Manufactured</v>
      </c>
      <c r="D42" s="9" t="s">
        <v>793</v>
      </c>
      <c r="E42" s="41">
        <f>$A42*$B42*VLOOKUP($C42,$C$13:$Y$16,E$30,FALSE)*VLOOKUP($D42,'Units per home'!$A$40:$U$42,'SC-New'!E$22-1,FALSE)</f>
        <v>451383.07062264759</v>
      </c>
      <c r="F42" s="41">
        <f>$A42*$B42*VLOOKUP($C42,$C$13:$Y$16,F$30,FALSE)*VLOOKUP($D42,'Units per home'!$A$40:$U$42,F$30-1,FALSE)</f>
        <v>461096.73188604589</v>
      </c>
      <c r="G42" s="41">
        <f>$A42*$B42*VLOOKUP($C42,$C$13:$Y$16,G$30,FALSE)*VLOOKUP($D42,'Units per home'!$A$40:$U$42,G$30-1,FALSE)</f>
        <v>466591.9689547444</v>
      </c>
      <c r="H42" s="41">
        <f>$A42*$B42*VLOOKUP($C42,$C$13:$Y$16,H$30,FALSE)*VLOOKUP($D42,'Units per home'!$A$40:$U$42,H$30-1,FALSE)</f>
        <v>468852.96593947895</v>
      </c>
      <c r="I42" s="41">
        <f>$A42*$B42*VLOOKUP($C42,$C$13:$Y$16,I$30,FALSE)*VLOOKUP($D42,'Units per home'!$A$40:$U$42,I$30-1,FALSE)</f>
        <v>504974.83242168342</v>
      </c>
      <c r="J42" s="41">
        <f>$A42*$B42*VLOOKUP($C42,$C$13:$Y$16,J$30,FALSE)*VLOOKUP($D42,'Units per home'!$A$40:$U$42,J$30-1,FALSE)</f>
        <v>499499.86216961587</v>
      </c>
      <c r="K42" s="41">
        <f>$A42*$B42*VLOOKUP($C42,$C$13:$Y$16,K$30,FALSE)*VLOOKUP($D42,'Units per home'!$A$40:$U$42,K$30-1,FALSE)</f>
        <v>494055.65378811461</v>
      </c>
      <c r="L42" s="41">
        <f>$A42*$B42*VLOOKUP($C42,$C$13:$Y$16,L$30,FALSE)*VLOOKUP($D42,'Units per home'!$A$40:$U$42,L$30-1,FALSE)</f>
        <v>488734.3792674953</v>
      </c>
      <c r="M42" s="41">
        <f>$A42*$B42*VLOOKUP($C42,$C$13:$Y$16,M$30,FALSE)*VLOOKUP($D42,'Units per home'!$A$40:$U$42,M$30-1,FALSE)</f>
        <v>483459.62845841167</v>
      </c>
      <c r="N42" s="41">
        <f>$A42*$B42*VLOOKUP($C42,$C$13:$Y$16,N$30,FALSE)*VLOOKUP($D42,'Units per home'!$A$40:$U$42,N$30-1,FALSE)</f>
        <v>478180.29717016983</v>
      </c>
      <c r="O42" s="41">
        <f>$A42*$B42*VLOOKUP($C42,$C$13:$Y$16,O$30,FALSE)*VLOOKUP($D42,'Units per home'!$A$40:$U$42,O$30-1,FALSE)</f>
        <v>472907.96838718158</v>
      </c>
      <c r="P42" s="41">
        <f>$A42*$B42*VLOOKUP($C42,$C$13:$Y$16,P$30,FALSE)*VLOOKUP($D42,'Units per home'!$A$40:$U$42,P$30-1,FALSE)</f>
        <v>467678.48030213028</v>
      </c>
      <c r="Q42" s="41">
        <f>$A42*$B42*VLOOKUP($C42,$C$13:$Y$16,Q$30,FALSE)*VLOOKUP($D42,'Units per home'!$A$40:$U$42,Q$30-1,FALSE)</f>
        <v>462456.4832369549</v>
      </c>
      <c r="R42" s="41">
        <f>$A42*$B42*VLOOKUP($C42,$C$13:$Y$16,R$30,FALSE)*VLOOKUP($D42,'Units per home'!$A$40:$U$42,R$30-1,FALSE)</f>
        <v>457265.79405102169</v>
      </c>
      <c r="S42" s="41">
        <f>$A42*$B42*VLOOKUP($C42,$C$13:$Y$16,S$30,FALSE)*VLOOKUP($D42,'Units per home'!$A$40:$U$42,S$30-1,FALSE)</f>
        <v>452128.82507206121</v>
      </c>
      <c r="T42" s="41">
        <f>$A42*$B42*VLOOKUP($C42,$C$13:$Y$16,T$30,FALSE)*VLOOKUP($D42,'Units per home'!$A$40:$U$42,T$30-1,FALSE)</f>
        <v>446277.98857625091</v>
      </c>
      <c r="U42" s="41">
        <f>$A42*$B42*VLOOKUP($C42,$C$13:$Y$16,U$30,FALSE)*VLOOKUP($D42,'Units per home'!$A$40:$U$42,U$30-1,FALSE)</f>
        <v>440499.79563220468</v>
      </c>
      <c r="V42" s="41">
        <f>$A42*$B42*VLOOKUP($C42,$C$13:$Y$16,V$30,FALSE)*VLOOKUP($D42,'Units per home'!$A$40:$U$42,V$30-1,FALSE)</f>
        <v>434770.8285252116</v>
      </c>
      <c r="W42" s="41">
        <f>$A42*$B42*VLOOKUP($C42,$C$13:$Y$16,W$30,FALSE)*VLOOKUP($D42,'Units per home'!$A$40:$U$42,W$30-1,FALSE)</f>
        <v>429103.55087923014</v>
      </c>
      <c r="X42" s="41">
        <f>$A42*$B42*VLOOKUP($C42,$C$13:$Y$16,X$30,FALSE)*VLOOKUP($D42,'Units per home'!$A$40:$U$42,X$30-1,FALSE)</f>
        <v>425159.07931673009</v>
      </c>
      <c r="Y42" s="41"/>
      <c r="Z42" s="9" t="str">
        <f t="shared" si="4"/>
        <v>ManufacturedLoad sensing advanced power strip</v>
      </c>
      <c r="AA42" s="53">
        <f>VLOOKUP(C42,$C$13:$X$16,$X$30,FALSE)*$AA$29*VLOOKUP($D42,'Units per home'!$A$40:$U$42,X$30-1,FALSE)*A42*B42</f>
        <v>361385.2174192206</v>
      </c>
    </row>
    <row r="43" spans="1:27">
      <c r="E43" s="41"/>
      <c r="F43" s="41"/>
      <c r="G43" s="41"/>
      <c r="H43" s="41"/>
      <c r="I43" s="41"/>
      <c r="J43" s="41"/>
      <c r="K43" s="41"/>
      <c r="L43" s="41"/>
      <c r="M43" s="41"/>
      <c r="N43" s="41"/>
      <c r="O43" s="41"/>
      <c r="P43" s="41"/>
      <c r="Q43" s="41"/>
      <c r="R43" s="41"/>
      <c r="S43" s="41"/>
      <c r="T43" s="41"/>
      <c r="U43" s="41"/>
      <c r="V43" s="41"/>
      <c r="W43" s="41"/>
      <c r="X43" s="41"/>
      <c r="Y43" s="41"/>
    </row>
    <row r="44" spans="1:27">
      <c r="E44" s="41">
        <f t="shared" ref="E44:X44" si="7">SUM(E31:E34)</f>
        <v>1566236.3494933341</v>
      </c>
      <c r="F44" s="41">
        <f t="shared" si="7"/>
        <v>1546837.6022625384</v>
      </c>
      <c r="G44" s="41">
        <f t="shared" si="7"/>
        <v>1527541.6361528179</v>
      </c>
      <c r="H44" s="41">
        <f t="shared" si="7"/>
        <v>1508347.7748206211</v>
      </c>
      <c r="I44" s="41">
        <f t="shared" si="7"/>
        <v>1489255.3484820609</v>
      </c>
      <c r="J44" s="41">
        <f t="shared" si="7"/>
        <v>1471725.3212756044</v>
      </c>
      <c r="K44" s="41">
        <f t="shared" si="7"/>
        <v>1454287.2829597369</v>
      </c>
      <c r="L44" s="41">
        <f t="shared" si="7"/>
        <v>1436940.6345011829</v>
      </c>
      <c r="M44" s="41">
        <f t="shared" si="7"/>
        <v>1419684.7826287292</v>
      </c>
      <c r="N44" s="41">
        <f t="shared" si="7"/>
        <v>1402519.1397660207</v>
      </c>
      <c r="O44" s="41">
        <f t="shared" si="7"/>
        <v>1385443.1239651782</v>
      </c>
      <c r="P44" s="41">
        <f t="shared" si="7"/>
        <v>1368456.1588412195</v>
      </c>
      <c r="Q44" s="41">
        <f t="shared" si="7"/>
        <v>1351557.6735072799</v>
      </c>
      <c r="R44" s="41">
        <f t="shared" si="7"/>
        <v>1334747.1025106197</v>
      </c>
      <c r="S44" s="41">
        <f t="shared" si="7"/>
        <v>1318023.8857694066</v>
      </c>
      <c r="T44" s="41">
        <f t="shared" si="7"/>
        <v>1298534.5018897452</v>
      </c>
      <c r="U44" s="41">
        <f t="shared" si="7"/>
        <v>1279147.0063060955</v>
      </c>
      <c r="V44" s="41">
        <f t="shared" si="7"/>
        <v>1259860.7584266898</v>
      </c>
      <c r="W44" s="41">
        <f t="shared" si="7"/>
        <v>1240675.1236893192</v>
      </c>
      <c r="X44" s="41">
        <f t="shared" si="7"/>
        <v>1237288.6185923573</v>
      </c>
      <c r="Y44" s="41"/>
      <c r="AA44" s="53">
        <f>SUM(AA31:AA34)</f>
        <v>1051695.3258035036</v>
      </c>
    </row>
    <row r="45" spans="1:27">
      <c r="D45" s="41"/>
      <c r="E45" s="41"/>
      <c r="F45" s="41"/>
      <c r="G45" s="41"/>
      <c r="H45" s="41"/>
      <c r="I45" s="41"/>
      <c r="J45" s="41"/>
      <c r="K45" s="41"/>
      <c r="L45" s="41"/>
      <c r="M45" s="41"/>
      <c r="N45" s="41"/>
      <c r="O45" s="41"/>
      <c r="P45" s="41"/>
      <c r="Q45" s="41"/>
      <c r="R45" s="41"/>
      <c r="S45" s="41"/>
      <c r="T45" s="41"/>
      <c r="U45" s="41"/>
      <c r="V45" s="41"/>
      <c r="W45" s="41"/>
      <c r="X45" s="41"/>
    </row>
    <row r="46" spans="1:27" ht="15">
      <c r="A46" s="62" t="str">
        <f>CONCATENATE("# HOMES APPLICABLE BY YEAR FOR MEASURE - ",C30)</f>
        <v># HOMES APPLICABLE BY YEAR FOR MEASURE - Advanced Power Strips - Retro</v>
      </c>
      <c r="C46" s="9" t="s">
        <v>151</v>
      </c>
      <c r="D46" s="41"/>
      <c r="E46" s="41"/>
      <c r="F46" s="41"/>
      <c r="G46" s="41"/>
      <c r="H46" s="41"/>
      <c r="I46" s="41"/>
      <c r="J46" s="41"/>
      <c r="K46" s="41"/>
      <c r="L46" s="41"/>
      <c r="M46" s="41"/>
      <c r="N46" s="41"/>
      <c r="O46" s="41"/>
      <c r="P46" s="41"/>
      <c r="Q46" s="41"/>
      <c r="R46" s="41"/>
      <c r="S46" s="41"/>
      <c r="T46" s="41"/>
      <c r="U46" s="41"/>
      <c r="V46" s="41"/>
      <c r="W46" s="41"/>
      <c r="X46" s="41"/>
      <c r="AA46" s="51">
        <v>0.85</v>
      </c>
    </row>
    <row r="47" spans="1:27" ht="15">
      <c r="A47" s="71" t="s">
        <v>60</v>
      </c>
      <c r="B47" s="71" t="s">
        <v>148</v>
      </c>
      <c r="C47" s="71" t="str">
        <f>CONCATENATE(C8," - ","NEW")</f>
        <v>Advanced Power Strips - NEW</v>
      </c>
      <c r="D47" s="9">
        <v>2</v>
      </c>
      <c r="E47" s="9">
        <v>3</v>
      </c>
      <c r="F47" s="9">
        <v>4</v>
      </c>
      <c r="G47" s="9">
        <v>5</v>
      </c>
      <c r="H47" s="9">
        <v>6</v>
      </c>
      <c r="I47" s="9">
        <v>7</v>
      </c>
      <c r="J47" s="9">
        <v>8</v>
      </c>
      <c r="K47" s="9">
        <v>9</v>
      </c>
      <c r="L47" s="9">
        <v>10</v>
      </c>
      <c r="M47" s="9">
        <v>11</v>
      </c>
      <c r="N47" s="9">
        <v>12</v>
      </c>
      <c r="O47" s="9">
        <v>13</v>
      </c>
      <c r="P47" s="9">
        <v>14</v>
      </c>
      <c r="Q47" s="9">
        <v>15</v>
      </c>
      <c r="R47" s="9">
        <v>16</v>
      </c>
      <c r="S47" s="9">
        <v>17</v>
      </c>
      <c r="T47" s="9">
        <v>18</v>
      </c>
      <c r="U47" s="9">
        <v>19</v>
      </c>
      <c r="V47" s="9">
        <v>20</v>
      </c>
      <c r="W47" s="9">
        <v>21</v>
      </c>
      <c r="X47" s="9">
        <v>22</v>
      </c>
      <c r="AA47" s="49" t="s">
        <v>61</v>
      </c>
    </row>
    <row r="48" spans="1:27">
      <c r="A48" s="63">
        <f>INDEX([2]!ResApplic,MATCH($C$47,[2]APPLIC!$B$9:$B$120,0)+1,MATCH($C48,[2]APPLIC!$C$8:$F$8,0)+1)</f>
        <v>0.33660000000000001</v>
      </c>
      <c r="B48" s="476">
        <f>VLOOKUP($D48,'Units per home'!$A$18:$E$24,MATCH('SC-Retro'!$C48,'Units per home'!$B$18:$E$18,0)+1,FALSE)</f>
        <v>0.96428380745963449</v>
      </c>
      <c r="C48" s="9" t="str">
        <f>C31</f>
        <v>Single Family</v>
      </c>
      <c r="D48" s="9" t="str">
        <f>$D$31</f>
        <v>Occupancy sensing advanced power strip</v>
      </c>
      <c r="E48" s="41">
        <f>$A48*$B48*VLOOKUP($C48,$C$22:$Y$25,E$47,FALSE)</f>
        <v>0</v>
      </c>
      <c r="F48" s="41">
        <f>$A48*$B48*VLOOKUP($C48,$C$22:$Y$25,F$47,FALSE)*VLOOKUP($D48,'Units per home'!$A$40:$U$42,F$47-1,FALSE)</f>
        <v>19825.926333964449</v>
      </c>
      <c r="G48" s="41">
        <f>$A48*$B48*VLOOKUP($C48,$C$22:$Y$25,G$47,FALSE)*VLOOKUP($D48,'Units per home'!$A$40:$U$42,G$47-1,FALSE)+F48</f>
        <v>38560.879727416002</v>
      </c>
      <c r="H48" s="41">
        <f>$A48*$B48*VLOOKUP($C48,$C$22:$Y$25,H$47,FALSE)*VLOOKUP($D48,'Units per home'!$A$40:$U$42,H$47-1,FALSE)+G48</f>
        <v>56060.314359785079</v>
      </c>
      <c r="I48" s="41">
        <f>$A48*$B48*VLOOKUP($C48,$C$22:$Y$25,I$47,FALSE)*VLOOKUP($D48,'Units per home'!$A$40:$U$42,I$47-1,FALSE)+H48</f>
        <v>72683.449502943404</v>
      </c>
      <c r="J48" s="41">
        <f>$A48*$B48*VLOOKUP($C48,$C$22:$Y$25,J$47,FALSE)*VLOOKUP($D48,'Units per home'!$A$40:$U$42,J$47-1,FALSE)+I48</f>
        <v>88507.49012811709</v>
      </c>
      <c r="K48" s="41">
        <f>$A48*$B48*VLOOKUP($C48,$C$22:$Y$25,K$47,FALSE)*VLOOKUP($D48,'Units per home'!$A$40:$U$42,K$47-1,FALSE)+J48</f>
        <v>103177.50747630467</v>
      </c>
      <c r="L48" s="41">
        <f>$A48*$B48*VLOOKUP($C48,$C$22:$Y$25,L$47,FALSE)*VLOOKUP($D48,'Units per home'!$A$40:$U$42,L$47-1,FALSE)+K48</f>
        <v>116981.24394803758</v>
      </c>
      <c r="M48" s="41">
        <f>$A48*$B48*VLOOKUP($C48,$C$22:$Y$25,M$47,FALSE)*VLOOKUP($D48,'Units per home'!$A$40:$U$42,M$47-1,FALSE)+L48</f>
        <v>130221.37354499966</v>
      </c>
      <c r="N48" s="41">
        <f>$A48*$B48*VLOOKUP($C48,$C$22:$Y$25,N$47,FALSE)*VLOOKUP($D48,'Units per home'!$A$40:$U$42,N$47-1,FALSE)+M48</f>
        <v>142817.90006452583</v>
      </c>
      <c r="O48" s="41">
        <f>$A48*$B48*VLOOKUP($C48,$C$22:$Y$25,O$47,FALSE)*VLOOKUP($D48,'Units per home'!$A$40:$U$42,O$47-1,FALSE)+N48</f>
        <v>155137.09540097584</v>
      </c>
      <c r="P48" s="41">
        <f>$A48*$B48*VLOOKUP($C48,$C$22:$Y$25,P$47,FALSE)*VLOOKUP($D48,'Units per home'!$A$40:$U$42,P$47-1,FALSE)+O48</f>
        <v>167078.50739106777</v>
      </c>
      <c r="Q48" s="41">
        <f>$A48*$B48*VLOOKUP($C48,$C$22:$Y$25,Q$47,FALSE)*VLOOKUP($D48,'Units per home'!$A$40:$U$42,Q$47-1,FALSE)+P48</f>
        <v>178466.39601372016</v>
      </c>
      <c r="R48" s="41">
        <f>$A48*$B48*VLOOKUP($C48,$C$22:$Y$25,R$47,FALSE)*VLOOKUP($D48,'Units per home'!$A$40:$U$42,R$47-1,FALSE)+Q48</f>
        <v>189226.37026125239</v>
      </c>
      <c r="S48" s="41">
        <f>$A48*$B48*VLOOKUP($C48,$C$22:$Y$25,S$47,FALSE)*VLOOKUP($D48,'Units per home'!$A$40:$U$42,S$47-1,FALSE)+R48</f>
        <v>199733.04005082182</v>
      </c>
      <c r="T48" s="41">
        <f>$A48*$B48*VLOOKUP($C48,$C$22:$Y$25,T$47,FALSE)*VLOOKUP($D48,'Units per home'!$A$40:$U$42,T$47-1,FALSE)+S48</f>
        <v>210127.32576505875</v>
      </c>
      <c r="U48" s="41">
        <f>$A48*$B48*VLOOKUP($C48,$C$22:$Y$25,U$47,FALSE)*VLOOKUP($D48,'Units per home'!$A$40:$U$42,U$47-1,FALSE)+T48</f>
        <v>220294.92195313715</v>
      </c>
      <c r="V48" s="41">
        <f>$A48*$B48*VLOOKUP($C48,$C$22:$Y$25,V$47,FALSE)*VLOOKUP($D48,'Units per home'!$A$40:$U$42,V$47-1,FALSE)+U48</f>
        <v>229982.34517341072</v>
      </c>
      <c r="W48" s="41">
        <f>$A48*$B48*VLOOKUP($C48,$C$22:$Y$25,W$47,FALSE)*VLOOKUP($D48,'Units per home'!$A$40:$U$42,W$47-1,FALSE)+V48</f>
        <v>239532.12792225688</v>
      </c>
      <c r="X48" s="41">
        <f>$A48*$B48*VLOOKUP($C48,$C$22:$Y$25,X$47,FALSE)*VLOOKUP($D48,'Units per home'!$A$40:$U$42,X$47-1,FALSE)+W48</f>
        <v>249121.09770684515</v>
      </c>
      <c r="Y48" s="41"/>
      <c r="Z48" s="9" t="str">
        <f>C48&amp;D48</f>
        <v>Single FamilyOccupancy sensing advanced power strip</v>
      </c>
      <c r="AA48" s="53">
        <f>X48*$AA$46</f>
        <v>211752.93305081836</v>
      </c>
    </row>
    <row r="49" spans="1:71">
      <c r="A49" s="63">
        <f>INDEX([2]!ResApplic,MATCH($C$47,[2]APPLIC!$B$9:$B$120,0)+1,MATCH($C49,[2]APPLIC!$C$8:$F$8,0)+1)</f>
        <v>0.2475</v>
      </c>
      <c r="B49" s="476">
        <f>VLOOKUP($D49,'Units per home'!$A$18:$E$24,MATCH('SC-Retro'!$C49,'Units per home'!$B$18:$E$18,0)+1,FALSE)</f>
        <v>0.44414870578030757</v>
      </c>
      <c r="C49" s="9" t="str">
        <f t="shared" ref="C49:C59" si="8">C32</f>
        <v>Multifamily - Low Rise</v>
      </c>
      <c r="D49" s="9" t="str">
        <f t="shared" ref="D49:D51" si="9">$D$31</f>
        <v>Occupancy sensing advanced power strip</v>
      </c>
      <c r="E49" s="41">
        <f t="shared" ref="E49:E59" si="10">$A49*$B49*VLOOKUP($C49,$C$22:$Y$25,E$47,FALSE)</f>
        <v>0</v>
      </c>
      <c r="F49" s="41">
        <f>$A49*$B49*VLOOKUP($C49,$C$22:$Y$25,F$47,FALSE)*VLOOKUP($D49,'Units per home'!$A$40:$U$42,F$47-1,FALSE)</f>
        <v>2494.6993519644452</v>
      </c>
      <c r="G49" s="41">
        <f>$A49*$B49*VLOOKUP($C49,$C$22:$Y$25,G$47,FALSE)*VLOOKUP($D49,'Units per home'!$A$40:$U$42,G$47-1,FALSE)+F49</f>
        <v>4932.9458756592776</v>
      </c>
      <c r="H49" s="41">
        <f>$A49*$B49*VLOOKUP($C49,$C$22:$Y$25,H$47,FALSE)*VLOOKUP($D49,'Units per home'!$A$40:$U$42,H$47-1,FALSE)+G49</f>
        <v>7317.2906503771737</v>
      </c>
      <c r="I49" s="41">
        <f>$A49*$B49*VLOOKUP($C49,$C$22:$Y$25,I$47,FALSE)*VLOOKUP($D49,'Units per home'!$A$40:$U$42,I$47-1,FALSE)+H49</f>
        <v>9588.9842673388266</v>
      </c>
      <c r="J49" s="41">
        <f>$A49*$B49*VLOOKUP($C49,$C$22:$Y$25,J$47,FALSE)*VLOOKUP($D49,'Units per home'!$A$40:$U$42,J$47-1,FALSE)+I49</f>
        <v>11690.937517239337</v>
      </c>
      <c r="K49" s="41">
        <f>$A49*$B49*VLOOKUP($C49,$C$22:$Y$25,K$47,FALSE)*VLOOKUP($D49,'Units per home'!$A$40:$U$42,K$47-1,FALSE)+J49</f>
        <v>13672.505356693413</v>
      </c>
      <c r="L49" s="41">
        <f>$A49*$B49*VLOOKUP($C49,$C$22:$Y$25,L$47,FALSE)*VLOOKUP($D49,'Units per home'!$A$40:$U$42,L$47-1,FALSE)+K49</f>
        <v>15585.394225349068</v>
      </c>
      <c r="M49" s="41">
        <f>$A49*$B49*VLOOKUP($C49,$C$22:$Y$25,M$47,FALSE)*VLOOKUP($D49,'Units per home'!$A$40:$U$42,M$47-1,FALSE)+L49</f>
        <v>17477.925951574543</v>
      </c>
      <c r="N49" s="41">
        <f>$A49*$B49*VLOOKUP($C49,$C$22:$Y$25,N$47,FALSE)*VLOOKUP($D49,'Units per home'!$A$40:$U$42,N$47-1,FALSE)+M49</f>
        <v>19357.666474861049</v>
      </c>
      <c r="O49" s="41">
        <f>$A49*$B49*VLOOKUP($C49,$C$22:$Y$25,O$47,FALSE)*VLOOKUP($D49,'Units per home'!$A$40:$U$42,O$47-1,FALSE)+N49</f>
        <v>21229.656929172994</v>
      </c>
      <c r="P49" s="41">
        <f>$A49*$B49*VLOOKUP($C49,$C$22:$Y$25,P$47,FALSE)*VLOOKUP($D49,'Units per home'!$A$40:$U$42,P$47-1,FALSE)+O49</f>
        <v>23054.730875555775</v>
      </c>
      <c r="Q49" s="41">
        <f>$A49*$B49*VLOOKUP($C49,$C$22:$Y$25,Q$47,FALSE)*VLOOKUP($D49,'Units per home'!$A$40:$U$42,Q$47-1,FALSE)+P49</f>
        <v>24831.78226951712</v>
      </c>
      <c r="R49" s="41">
        <f>$A49*$B49*VLOOKUP($C49,$C$22:$Y$25,R$47,FALSE)*VLOOKUP($D49,'Units per home'!$A$40:$U$42,R$47-1,FALSE)+Q49</f>
        <v>26570.11424239022</v>
      </c>
      <c r="S49" s="41">
        <f>$A49*$B49*VLOOKUP($C49,$C$22:$Y$25,S$47,FALSE)*VLOOKUP($D49,'Units per home'!$A$40:$U$42,S$47-1,FALSE)+R49</f>
        <v>28255.228491527218</v>
      </c>
      <c r="T49" s="41">
        <f>$A49*$B49*VLOOKUP($C49,$C$22:$Y$25,T$47,FALSE)*VLOOKUP($D49,'Units per home'!$A$40:$U$42,T$47-1,FALSE)+S49</f>
        <v>29888.499730058</v>
      </c>
      <c r="U49" s="41">
        <f>$A49*$B49*VLOOKUP($C49,$C$22:$Y$25,U$47,FALSE)*VLOOKUP($D49,'Units per home'!$A$40:$U$42,U$47-1,FALSE)+T49</f>
        <v>31462.910772524414</v>
      </c>
      <c r="V49" s="41">
        <f>$A49*$B49*VLOOKUP($C49,$C$22:$Y$25,V$47,FALSE)*VLOOKUP($D49,'Units per home'!$A$40:$U$42,V$47-1,FALSE)+U49</f>
        <v>32988.954474057122</v>
      </c>
      <c r="W49" s="41">
        <f>$A49*$B49*VLOOKUP($C49,$C$22:$Y$25,W$47,FALSE)*VLOOKUP($D49,'Units per home'!$A$40:$U$42,W$47-1,FALSE)+V49</f>
        <v>34476.784631296352</v>
      </c>
      <c r="X49" s="41">
        <f>$A49*$B49*VLOOKUP($C49,$C$22:$Y$25,X$47,FALSE)*VLOOKUP($D49,'Units per home'!$A$40:$U$42,X$47-1,FALSE)+W49</f>
        <v>35937.517062155013</v>
      </c>
      <c r="Y49" s="41"/>
      <c r="Z49" s="9" t="str">
        <f t="shared" ref="Z49:Z59" si="11">C49&amp;D49</f>
        <v>Multifamily - Low RiseOccupancy sensing advanced power strip</v>
      </c>
      <c r="AA49" s="53">
        <f t="shared" ref="AA49:AA59" si="12">X49*$AA$46</f>
        <v>30546.88950283176</v>
      </c>
    </row>
    <row r="50" spans="1:71">
      <c r="A50" s="63">
        <f>INDEX([2]!ResApplic,MATCH($C$47,[2]APPLIC!$B$9:$B$120,0)+1,MATCH($C50,[2]APPLIC!$C$8:$F$8,0)+1)</f>
        <v>0.2475</v>
      </c>
      <c r="B50" s="476">
        <f>VLOOKUP($D50,'Units per home'!$A$18:$E$24,MATCH('SC-Retro'!$C50,'Units per home'!$B$18:$E$18,0)+1,FALSE)</f>
        <v>0.44414870578030757</v>
      </c>
      <c r="C50" s="9" t="str">
        <f t="shared" si="8"/>
        <v>Multifamily - High Rise</v>
      </c>
      <c r="D50" s="9" t="str">
        <f t="shared" si="9"/>
        <v>Occupancy sensing advanced power strip</v>
      </c>
      <c r="E50" s="41">
        <f t="shared" si="10"/>
        <v>0</v>
      </c>
      <c r="F50" s="41">
        <f>$A50*$B50*VLOOKUP($C50,$C$22:$Y$25,F$47,FALSE)*VLOOKUP($D50,'Units per home'!$A$40:$U$42,F$47-1,FALSE)</f>
        <v>560.03866025979926</v>
      </c>
      <c r="G50" s="41">
        <f>$A50*$B50*VLOOKUP($C50,$C$22:$Y$25,G$47,FALSE)*VLOOKUP($D50,'Units per home'!$A$40:$U$42,G$47-1,FALSE)+F50</f>
        <v>1115.109495695023</v>
      </c>
      <c r="H50" s="41">
        <f>$A50*$B50*VLOOKUP($C50,$C$22:$Y$25,H$47,FALSE)*VLOOKUP($D50,'Units per home'!$A$40:$U$42,H$47-1,FALSE)+G50</f>
        <v>1666.0791594340876</v>
      </c>
      <c r="I50" s="41">
        <f>$A50*$B50*VLOOKUP($C50,$C$22:$Y$25,I$47,FALSE)*VLOOKUP($D50,'Units per home'!$A$40:$U$42,I$47-1,FALSE)+H50</f>
        <v>2178.9127520388229</v>
      </c>
      <c r="J50" s="41">
        <f>$A50*$B50*VLOOKUP($C50,$C$22:$Y$25,J$47,FALSE)*VLOOKUP($D50,'Units per home'!$A$40:$U$42,J$47-1,FALSE)+I50</f>
        <v>2644.2365697855016</v>
      </c>
      <c r="K50" s="41">
        <f>$A50*$B50*VLOOKUP($C50,$C$22:$Y$25,K$47,FALSE)*VLOOKUP($D50,'Units per home'!$A$40:$U$42,K$47-1,FALSE)+J50</f>
        <v>3089.4796419413383</v>
      </c>
      <c r="L50" s="41">
        <f>$A50*$B50*VLOOKUP($C50,$C$22:$Y$25,L$47,FALSE)*VLOOKUP($D50,'Units per home'!$A$40:$U$42,L$47-1,FALSE)+K50</f>
        <v>3520.5527622341665</v>
      </c>
      <c r="M50" s="41">
        <f>$A50*$B50*VLOOKUP($C50,$C$22:$Y$25,M$47,FALSE)*VLOOKUP($D50,'Units per home'!$A$40:$U$42,M$47-1,FALSE)+L50</f>
        <v>3952.339823907665</v>
      </c>
      <c r="N50" s="41">
        <f>$A50*$B50*VLOOKUP($C50,$C$22:$Y$25,N$47,FALSE)*VLOOKUP($D50,'Units per home'!$A$40:$U$42,N$47-1,FALSE)+M50</f>
        <v>4378.1934466586927</v>
      </c>
      <c r="O50" s="41">
        <f>$A50*$B50*VLOOKUP($C50,$C$22:$Y$25,O$47,FALSE)*VLOOKUP($D50,'Units per home'!$A$40:$U$42,O$47-1,FALSE)+N50</f>
        <v>4802.2469266277703</v>
      </c>
      <c r="P50" s="41">
        <f>$A50*$B50*VLOOKUP($C50,$C$22:$Y$25,P$47,FALSE)*VLOOKUP($D50,'Units per home'!$A$40:$U$42,P$47-1,FALSE)+O50</f>
        <v>5210.6958711071202</v>
      </c>
      <c r="Q50" s="41">
        <f>$A50*$B50*VLOOKUP($C50,$C$22:$Y$25,Q$47,FALSE)*VLOOKUP($D50,'Units per home'!$A$40:$U$42,Q$47-1,FALSE)+P50</f>
        <v>5607.6280343493645</v>
      </c>
      <c r="R50" s="41">
        <f>$A50*$B50*VLOOKUP($C50,$C$22:$Y$25,R$47,FALSE)*VLOOKUP($D50,'Units per home'!$A$40:$U$42,R$47-1,FALSE)+Q50</f>
        <v>5992.5621241975768</v>
      </c>
      <c r="S50" s="41">
        <f>$A50*$B50*VLOOKUP($C50,$C$22:$Y$25,S$47,FALSE)*VLOOKUP($D50,'Units per home'!$A$40:$U$42,S$47-1,FALSE)+R50</f>
        <v>6368.6351614921405</v>
      </c>
      <c r="T50" s="41">
        <f>$A50*$B50*VLOOKUP($C50,$C$22:$Y$25,T$47,FALSE)*VLOOKUP($D50,'Units per home'!$A$40:$U$42,T$47-1,FALSE)+S50</f>
        <v>6734.8746276346146</v>
      </c>
      <c r="U50" s="41">
        <f>$A50*$B50*VLOOKUP($C50,$C$22:$Y$25,U$47,FALSE)*VLOOKUP($D50,'Units per home'!$A$40:$U$42,U$47-1,FALSE)+T50</f>
        <v>7087.6654432525447</v>
      </c>
      <c r="V50" s="41">
        <f>$A50*$B50*VLOOKUP($C50,$C$22:$Y$25,V$47,FALSE)*VLOOKUP($D50,'Units per home'!$A$40:$U$42,V$47-1,FALSE)+U50</f>
        <v>7430.0284872283664</v>
      </c>
      <c r="W50" s="41">
        <f>$A50*$B50*VLOOKUP($C50,$C$22:$Y$25,W$47,FALSE)*VLOOKUP($D50,'Units per home'!$A$40:$U$42,W$47-1,FALSE)+V50</f>
        <v>7760.3179187709284</v>
      </c>
      <c r="X50" s="41">
        <f>$A50*$B50*VLOOKUP($C50,$C$22:$Y$25,X$47,FALSE)*VLOOKUP($D50,'Units per home'!$A$40:$U$42,X$47-1,FALSE)+W50</f>
        <v>8089.6959295667266</v>
      </c>
      <c r="Y50" s="41"/>
      <c r="Z50" s="9" t="str">
        <f t="shared" si="11"/>
        <v>Multifamily - High RiseOccupancy sensing advanced power strip</v>
      </c>
      <c r="AA50" s="53">
        <f t="shared" si="12"/>
        <v>6876.2415401317176</v>
      </c>
    </row>
    <row r="51" spans="1:71">
      <c r="A51" s="63">
        <f>INDEX([2]!ResApplic,MATCH($C$47,[2]APPLIC!$B$9:$B$120,0)+1,MATCH($C51,[2]APPLIC!$C$8:$F$8,0)+1)</f>
        <v>0.2475</v>
      </c>
      <c r="B51" s="476">
        <f>VLOOKUP($D51,'Units per home'!$A$18:$E$24,MATCH('SC-Retro'!$C51,'Units per home'!$B$18:$E$18,0)+1,FALSE)</f>
        <v>0.70646803257015534</v>
      </c>
      <c r="C51" s="9" t="str">
        <f t="shared" si="8"/>
        <v>Manufactured</v>
      </c>
      <c r="D51" s="9" t="str">
        <f t="shared" si="9"/>
        <v>Occupancy sensing advanced power strip</v>
      </c>
      <c r="E51" s="41">
        <f t="shared" si="10"/>
        <v>0</v>
      </c>
      <c r="F51" s="41">
        <f>$A51*$B51*VLOOKUP($C51,$C$22:$Y$25,F$47,FALSE)*VLOOKUP($D51,'Units per home'!$A$40:$U$42,F$47-1,FALSE)</f>
        <v>318.66609846567064</v>
      </c>
      <c r="G51" s="41">
        <f>$A51*$B51*VLOOKUP($C51,$C$22:$Y$25,G$47,FALSE)*VLOOKUP($D51,'Units per home'!$A$40:$U$42,G$47-1,FALSE)+F51</f>
        <v>635.73798215471402</v>
      </c>
      <c r="H51" s="41">
        <f>$A51*$B51*VLOOKUP($C51,$C$22:$Y$25,H$47,FALSE)*VLOOKUP($D51,'Units per home'!$A$40:$U$42,H$47-1,FALSE)+G51</f>
        <v>959.79315677933027</v>
      </c>
      <c r="I51" s="41">
        <f>$A51*$B51*VLOOKUP($C51,$C$22:$Y$25,I$47,FALSE)*VLOOKUP($D51,'Units per home'!$A$40:$U$42,I$47-1,FALSE)+H51</f>
        <v>1290.4724158622878</v>
      </c>
      <c r="J51" s="41">
        <f>$A51*$B51*VLOOKUP($C51,$C$22:$Y$25,J$47,FALSE)*VLOOKUP($D51,'Units per home'!$A$40:$U$42,J$47-1,FALSE)+I51</f>
        <v>1605.1732148859003</v>
      </c>
      <c r="K51" s="41">
        <f>$A51*$B51*VLOOKUP($C51,$C$22:$Y$25,K$47,FALSE)*VLOOKUP($D51,'Units per home'!$A$40:$U$42,K$47-1,FALSE)+J51</f>
        <v>1908.0433827572606</v>
      </c>
      <c r="L51" s="41">
        <f>$A51*$B51*VLOOKUP($C51,$C$22:$Y$25,L$47,FALSE)*VLOOKUP($D51,'Units per home'!$A$40:$U$42,L$47-1,FALSE)+K51</f>
        <v>2204.0758485239503</v>
      </c>
      <c r="M51" s="41">
        <f>$A51*$B51*VLOOKUP($C51,$C$22:$Y$25,M$47,FALSE)*VLOOKUP($D51,'Units per home'!$A$40:$U$42,M$47-1,FALSE)+L51</f>
        <v>2493.2315372267026</v>
      </c>
      <c r="N51" s="41">
        <f>$A51*$B51*VLOOKUP($C51,$C$22:$Y$25,N$47,FALSE)*VLOOKUP($D51,'Units per home'!$A$40:$U$42,N$47-1,FALSE)+M51</f>
        <v>2775.1509104028792</v>
      </c>
      <c r="O51" s="41">
        <f>$A51*$B51*VLOOKUP($C51,$C$22:$Y$25,O$47,FALSE)*VLOOKUP($D51,'Units per home'!$A$40:$U$42,O$47-1,FALSE)+N51</f>
        <v>3048.6516924921416</v>
      </c>
      <c r="P51" s="41">
        <f>$A51*$B51*VLOOKUP($C51,$C$22:$Y$25,P$47,FALSE)*VLOOKUP($D51,'Units per home'!$A$40:$U$42,P$47-1,FALSE)+O51</f>
        <v>3312.7560322575509</v>
      </c>
      <c r="Q51" s="41">
        <f>$A51*$B51*VLOOKUP($C51,$C$22:$Y$25,Q$47,FALSE)*VLOOKUP($D51,'Units per home'!$A$40:$U$42,Q$47-1,FALSE)+P51</f>
        <v>3569.5700936619928</v>
      </c>
      <c r="R51" s="41">
        <f>$A51*$B51*VLOOKUP($C51,$C$22:$Y$25,R$47,FALSE)*VLOOKUP($D51,'Units per home'!$A$40:$U$42,R$47-1,FALSE)+Q51</f>
        <v>3820.7438841060698</v>
      </c>
      <c r="S51" s="41">
        <f>$A51*$B51*VLOOKUP($C51,$C$22:$Y$25,S$47,FALSE)*VLOOKUP($D51,'Units per home'!$A$40:$U$42,S$47-1,FALSE)+R51</f>
        <v>4067.1814209625522</v>
      </c>
      <c r="T51" s="41">
        <f>$A51*$B51*VLOOKUP($C51,$C$22:$Y$25,T$47,FALSE)*VLOOKUP($D51,'Units per home'!$A$40:$U$42,T$47-1,FALSE)+S51</f>
        <v>4309.0388606323722</v>
      </c>
      <c r="U51" s="41">
        <f>$A51*$B51*VLOOKUP($C51,$C$22:$Y$25,U$47,FALSE)*VLOOKUP($D51,'Units per home'!$A$40:$U$42,U$47-1,FALSE)+T51</f>
        <v>4546.9328857070823</v>
      </c>
      <c r="V51" s="41">
        <f>$A51*$B51*VLOOKUP($C51,$C$22:$Y$25,V$47,FALSE)*VLOOKUP($D51,'Units per home'!$A$40:$U$42,V$47-1,FALSE)+U51</f>
        <v>4781.3584260009184</v>
      </c>
      <c r="W51" s="41">
        <f>$A51*$B51*VLOOKUP($C51,$C$22:$Y$25,W$47,FALSE)*VLOOKUP($D51,'Units per home'!$A$40:$U$42,W$47-1,FALSE)+V51</f>
        <v>5012.8740014237374</v>
      </c>
      <c r="X51" s="41">
        <f>$A51*$B51*VLOOKUP($C51,$C$22:$Y$25,X$47,FALSE)*VLOOKUP($D51,'Units per home'!$A$40:$U$42,X$47-1,FALSE)+W51</f>
        <v>5244.7056767185331</v>
      </c>
      <c r="Y51" s="41"/>
      <c r="Z51" s="9" t="str">
        <f t="shared" si="11"/>
        <v>ManufacturedOccupancy sensing advanced power strip</v>
      </c>
      <c r="AA51" s="53">
        <f t="shared" si="12"/>
        <v>4457.9998252107534</v>
      </c>
    </row>
    <row r="52" spans="1:71">
      <c r="A52" s="63">
        <f>INDEX([2]!ResApplic,MATCH($C$47,[2]APPLIC!$B$9:$B$120,0)+1,MATCH($C52,[2]APPLIC!$C$8:$F$8,0)+1)</f>
        <v>0.33660000000000001</v>
      </c>
      <c r="B52" s="476">
        <f>VLOOKUP($D52,'Units per home'!$A$18:$E$24,MATCH('SC-Retro'!$C52,'Units per home'!$B$18:$E$18,0)+1,FALSE)</f>
        <v>2.6054137843968896</v>
      </c>
      <c r="C52" s="9" t="str">
        <f t="shared" si="8"/>
        <v>Single Family</v>
      </c>
      <c r="D52" s="9" t="str">
        <f>$D$35</f>
        <v>Infrared sensing advanced power strip</v>
      </c>
      <c r="E52" s="41">
        <f t="shared" si="10"/>
        <v>0</v>
      </c>
      <c r="F52" s="41">
        <f>$A52*$B52*VLOOKUP($C52,$C$22:$Y$25,F$47,FALSE)*VLOOKUP($D52,'Units per home'!$A$40:$U$42,F$47-1,FALSE)</f>
        <v>77762.010815531481</v>
      </c>
      <c r="G52" s="41">
        <f>$A52*$B52*VLOOKUP($C52,$C$22:$Y$25,G$47,FALSE)*VLOOKUP($D52,'Units per home'!$A$40:$U$42,G$47-1,FALSE)+F52</f>
        <v>155324.65830019832</v>
      </c>
      <c r="H52" s="41">
        <f>$A52*$B52*VLOOKUP($C52,$C$22:$Y$25,H$47,FALSE)*VLOOKUP($D52,'Units per home'!$A$40:$U$42,H$47-1,FALSE)+G52</f>
        <v>230855.71476880138</v>
      </c>
      <c r="I52" s="41">
        <f>$A52*$B52*VLOOKUP($C52,$C$22:$Y$25,I$47,FALSE)*VLOOKUP($D52,'Units per home'!$A$40:$U$42,I$47-1,FALSE)+H52</f>
        <v>314219.54293298163</v>
      </c>
      <c r="J52" s="41">
        <f>$A52*$B52*VLOOKUP($C52,$C$22:$Y$25,J$47,FALSE)*VLOOKUP($D52,'Units per home'!$A$40:$U$42,J$47-1,FALSE)+I52</f>
        <v>394667.16628477094</v>
      </c>
      <c r="K52" s="41">
        <f>$A52*$B52*VLOOKUP($C52,$C$22:$Y$25,K$47,FALSE)*VLOOKUP($D52,'Units per home'!$A$40:$U$42,K$47-1,FALSE)+J52</f>
        <v>470271.38475476555</v>
      </c>
      <c r="L52" s="41">
        <f>$A52*$B52*VLOOKUP($C52,$C$22:$Y$25,L$47,FALSE)*VLOOKUP($D52,'Units per home'!$A$40:$U$42,L$47-1,FALSE)+K52</f>
        <v>542406.25424981385</v>
      </c>
      <c r="M52" s="41">
        <f>$A52*$B52*VLOOKUP($C52,$C$22:$Y$25,M$47,FALSE)*VLOOKUP($D52,'Units per home'!$A$40:$U$42,M$47-1,FALSE)+L52</f>
        <v>612565.87221742235</v>
      </c>
      <c r="N52" s="41">
        <f>$A52*$B52*VLOOKUP($C52,$C$22:$Y$25,N$47,FALSE)*VLOOKUP($D52,'Units per home'!$A$40:$U$42,N$47-1,FALSE)+M52</f>
        <v>680242.2304832571</v>
      </c>
      <c r="O52" s="41">
        <f>$A52*$B52*VLOOKUP($C52,$C$22:$Y$25,O$47,FALSE)*VLOOKUP($D52,'Units per home'!$A$40:$U$42,O$47-1,FALSE)+N52</f>
        <v>747341.91447291593</v>
      </c>
      <c r="P52" s="41">
        <f>$A52*$B52*VLOOKUP($C52,$C$22:$Y$25,P$47,FALSE)*VLOOKUP($D52,'Units per home'!$A$40:$U$42,P$47-1,FALSE)+O52</f>
        <v>813283.04905753478</v>
      </c>
      <c r="Q52" s="41">
        <f>$A52*$B52*VLOOKUP($C52,$C$22:$Y$25,Q$47,FALSE)*VLOOKUP($D52,'Units per home'!$A$40:$U$42,Q$47-1,FALSE)+P52</f>
        <v>877031.44575207424</v>
      </c>
      <c r="R52" s="41">
        <f>$A52*$B52*VLOOKUP($C52,$C$22:$Y$25,R$47,FALSE)*VLOOKUP($D52,'Units per home'!$A$40:$U$42,R$47-1,FALSE)+Q52</f>
        <v>938091.75988781266</v>
      </c>
      <c r="S52" s="41">
        <f>$A52*$B52*VLOOKUP($C52,$C$22:$Y$25,S$47,FALSE)*VLOOKUP($D52,'Units per home'!$A$40:$U$42,S$47-1,FALSE)+R52</f>
        <v>998537.22049121687</v>
      </c>
      <c r="T52" s="41">
        <f>$A52*$B52*VLOOKUP($C52,$C$22:$Y$25,T$47,FALSE)*VLOOKUP($D52,'Units per home'!$A$40:$U$42,T$47-1,FALSE)+S52</f>
        <v>1059207.6890951991</v>
      </c>
      <c r="U52" s="41">
        <f>$A52*$B52*VLOOKUP($C52,$C$22:$Y$25,U$47,FALSE)*VLOOKUP($D52,'Units per home'!$A$40:$U$42,U$47-1,FALSE)+T52</f>
        <v>1119428.489730621</v>
      </c>
      <c r="V52" s="41">
        <f>$A52*$B52*VLOOKUP($C52,$C$22:$Y$25,V$47,FALSE)*VLOOKUP($D52,'Units per home'!$A$40:$U$42,V$47-1,FALSE)+U52</f>
        <v>1177653.8906871716</v>
      </c>
      <c r="W52" s="41">
        <f>$A52*$B52*VLOOKUP($C52,$C$22:$Y$25,W$47,FALSE)*VLOOKUP($D52,'Units per home'!$A$40:$U$42,W$47-1,FALSE)+V52</f>
        <v>1235907.7163166888</v>
      </c>
      <c r="X52" s="41">
        <f>$A52*$B52*VLOOKUP($C52,$C$22:$Y$25,X$47,FALSE)*VLOOKUP($D52,'Units per home'!$A$40:$U$42,X$47-1,FALSE)+W52</f>
        <v>1294528.0953961473</v>
      </c>
      <c r="Y52" s="41"/>
      <c r="Z52" s="9" t="str">
        <f t="shared" si="11"/>
        <v>Single FamilyInfrared sensing advanced power strip</v>
      </c>
      <c r="AA52" s="53">
        <f t="shared" si="12"/>
        <v>1100348.8810867253</v>
      </c>
    </row>
    <row r="53" spans="1:71">
      <c r="A53" s="63">
        <f>INDEX([2]!ResApplic,MATCH($C$47,[2]APPLIC!$B$9:$B$120,0)+1,MATCH($C53,[2]APPLIC!$C$8:$F$8,0)+1)</f>
        <v>0.2475</v>
      </c>
      <c r="B53" s="476">
        <f>VLOOKUP($D53,'Units per home'!$A$18:$E$24,MATCH('SC-Retro'!$C53,'Units per home'!$B$18:$E$18,0)+1,FALSE)</f>
        <v>1.5145007606068333</v>
      </c>
      <c r="C53" s="9" t="str">
        <f t="shared" si="8"/>
        <v>Multifamily - Low Rise</v>
      </c>
      <c r="D53" s="9" t="str">
        <f t="shared" ref="D53:D55" si="13">$D$35</f>
        <v>Infrared sensing advanced power strip</v>
      </c>
      <c r="E53" s="41">
        <f t="shared" si="10"/>
        <v>0</v>
      </c>
      <c r="F53" s="41">
        <f>$A53*$B53*VLOOKUP($C53,$C$22:$Y$25,F$47,FALSE)*VLOOKUP($D53,'Units per home'!$A$40:$U$42,F$47-1,FALSE)</f>
        <v>12348.706560277751</v>
      </c>
      <c r="G53" s="41">
        <f>$A53*$B53*VLOOKUP($C53,$C$22:$Y$25,G$47,FALSE)*VLOOKUP($D53,'Units per home'!$A$40:$U$42,G$47-1,FALSE)+F53</f>
        <v>25088.045239961095</v>
      </c>
      <c r="H53" s="41">
        <f>$A53*$B53*VLOOKUP($C53,$C$22:$Y$25,H$47,FALSE)*VLOOKUP($D53,'Units per home'!$A$40:$U$42,H$47-1,FALSE)+G53</f>
        <v>38075.972812890046</v>
      </c>
      <c r="I53" s="41">
        <f>$A53*$B53*VLOOKUP($C53,$C$22:$Y$25,I$47,FALSE)*VLOOKUP($D53,'Units per home'!$A$40:$U$42,I$47-1,FALSE)+H53</f>
        <v>52453.484661255345</v>
      </c>
      <c r="J53" s="41">
        <f>$A53*$B53*VLOOKUP($C53,$C$22:$Y$25,J$47,FALSE)*VLOOKUP($D53,'Units per home'!$A$40:$U$42,J$47-1,FALSE)+I53</f>
        <v>65939.639573281573</v>
      </c>
      <c r="K53" s="41">
        <f>$A53*$B53*VLOOKUP($C53,$C$22:$Y$25,K$47,FALSE)*VLOOKUP($D53,'Units per home'!$A$40:$U$42,K$47-1,FALSE)+J53</f>
        <v>78827.879384929329</v>
      </c>
      <c r="L53" s="41">
        <f>$A53*$B53*VLOOKUP($C53,$C$22:$Y$25,L$47,FALSE)*VLOOKUP($D53,'Units per home'!$A$40:$U$42,L$47-1,FALSE)+K53</f>
        <v>91443.470167554973</v>
      </c>
      <c r="M53" s="41">
        <f>$A53*$B53*VLOOKUP($C53,$C$22:$Y$25,M$47,FALSE)*VLOOKUP($D53,'Units per home'!$A$40:$U$42,M$47-1,FALSE)+L53</f>
        <v>104099.78910650359</v>
      </c>
      <c r="N53" s="41">
        <f>$A53*$B53*VLOOKUP($C53,$C$22:$Y$25,N$47,FALSE)*VLOOKUP($D53,'Units per home'!$A$40:$U$42,N$47-1,FALSE)+M53</f>
        <v>116845.18534944594</v>
      </c>
      <c r="O53" s="41">
        <f>$A53*$B53*VLOOKUP($C53,$C$22:$Y$25,O$47,FALSE)*VLOOKUP($D53,'Units per home'!$A$40:$U$42,O$47-1,FALSE)+N53</f>
        <v>129713.18455586379</v>
      </c>
      <c r="P53" s="41">
        <f>$A53*$B53*VLOOKUP($C53,$C$22:$Y$25,P$47,FALSE)*VLOOKUP($D53,'Units per home'!$A$40:$U$42,P$47-1,FALSE)+O53</f>
        <v>142432.1111525567</v>
      </c>
      <c r="Q53" s="41">
        <f>$A53*$B53*VLOOKUP($C53,$C$22:$Y$25,Q$47,FALSE)*VLOOKUP($D53,'Units per home'!$A$40:$U$42,Q$47-1,FALSE)+P53</f>
        <v>154986.4921988885</v>
      </c>
      <c r="R53" s="41">
        <f>$A53*$B53*VLOOKUP($C53,$C$22:$Y$25,R$47,FALSE)*VLOOKUP($D53,'Units per home'!$A$40:$U$42,R$47-1,FALSE)+Q53</f>
        <v>167435.93123538836</v>
      </c>
      <c r="S53" s="41">
        <f>$A53*$B53*VLOOKUP($C53,$C$22:$Y$25,S$47,FALSE)*VLOOKUP($D53,'Units per home'!$A$40:$U$42,S$47-1,FALSE)+R53</f>
        <v>179670.74101121922</v>
      </c>
      <c r="T53" s="41">
        <f>$A53*$B53*VLOOKUP($C53,$C$22:$Y$25,T$47,FALSE)*VLOOKUP($D53,'Units per home'!$A$40:$U$42,T$47-1,FALSE)+S53</f>
        <v>191701.97783662291</v>
      </c>
      <c r="U53" s="41">
        <f>$A53*$B53*VLOOKUP($C53,$C$22:$Y$25,U$47,FALSE)*VLOOKUP($D53,'Units per home'!$A$40:$U$42,U$47-1,FALSE)+T53</f>
        <v>203470.32915899667</v>
      </c>
      <c r="V53" s="41">
        <f>$A53*$B53*VLOOKUP($C53,$C$22:$Y$25,V$47,FALSE)*VLOOKUP($D53,'Units per home'!$A$40:$U$42,V$47-1,FALSE)+U53</f>
        <v>215045.84750287636</v>
      </c>
      <c r="W53" s="41">
        <f>$A53*$B53*VLOOKUP($C53,$C$22:$Y$25,W$47,FALSE)*VLOOKUP($D53,'Units per home'!$A$40:$U$42,W$47-1,FALSE)+V53</f>
        <v>226499.75257251266</v>
      </c>
      <c r="X53" s="41">
        <f>$A53*$B53*VLOOKUP($C53,$C$22:$Y$25,X$47,FALSE)*VLOOKUP($D53,'Units per home'!$A$40:$U$42,X$47-1,FALSE)+W53</f>
        <v>237769.5628833684</v>
      </c>
      <c r="Y53" s="41"/>
      <c r="Z53" s="9" t="str">
        <f t="shared" si="11"/>
        <v>Multifamily - Low RiseInfrared sensing advanced power strip</v>
      </c>
      <c r="AA53" s="53">
        <f t="shared" si="12"/>
        <v>202104.12845086315</v>
      </c>
    </row>
    <row r="54" spans="1:71">
      <c r="A54" s="63">
        <f>INDEX([2]!ResApplic,MATCH($C$47,[2]APPLIC!$B$9:$B$120,0)+1,MATCH($C54,[2]APPLIC!$C$8:$F$8,0)+1)</f>
        <v>0.2475</v>
      </c>
      <c r="B54" s="476">
        <f>VLOOKUP($D54,'Units per home'!$A$18:$E$24,MATCH('SC-Retro'!$C54,'Units per home'!$B$18:$E$18,0)+1,FALSE)</f>
        <v>1.5145007606068333</v>
      </c>
      <c r="C54" s="9" t="str">
        <f t="shared" si="8"/>
        <v>Multifamily - High Rise</v>
      </c>
      <c r="D54" s="9" t="str">
        <f t="shared" si="13"/>
        <v>Infrared sensing advanced power strip</v>
      </c>
      <c r="E54" s="41">
        <f t="shared" si="10"/>
        <v>0</v>
      </c>
      <c r="F54" s="41">
        <f>$A54*$B54*VLOOKUP($C54,$C$22:$Y$25,F$47,FALSE)*VLOOKUP($D54,'Units per home'!$A$40:$U$42,F$47-1,FALSE)</f>
        <v>2772.1789691866275</v>
      </c>
      <c r="G54" s="41">
        <f>$A54*$B54*VLOOKUP($C54,$C$22:$Y$25,G$47,FALSE)*VLOOKUP($D54,'Units per home'!$A$40:$U$42,G$47-1,FALSE)+F54</f>
        <v>5672.310393595917</v>
      </c>
      <c r="H54" s="41">
        <f>$A54*$B54*VLOOKUP($C54,$C$22:$Y$25,H$47,FALSE)*VLOOKUP($D54,'Units per home'!$A$40:$U$42,H$47-1,FALSE)+G54</f>
        <v>8673.5349494576603</v>
      </c>
      <c r="I54" s="41">
        <f>$A54*$B54*VLOOKUP($C54,$C$22:$Y$25,I$47,FALSE)*VLOOKUP($D54,'Units per home'!$A$40:$U$42,I$47-1,FALSE)+H54</f>
        <v>11919.250392271615</v>
      </c>
      <c r="J54" s="41">
        <f>$A54*$B54*VLOOKUP($C54,$C$22:$Y$25,J$47,FALSE)*VLOOKUP($D54,'Units per home'!$A$40:$U$42,J$47-1,FALSE)+I54</f>
        <v>14904.773067756523</v>
      </c>
      <c r="K54" s="41">
        <f>$A54*$B54*VLOOKUP($C54,$C$22:$Y$25,K$47,FALSE)*VLOOKUP($D54,'Units per home'!$A$40:$U$42,K$47-1,FALSE)+J54</f>
        <v>17800.661552704958</v>
      </c>
      <c r="L54" s="41">
        <f>$A54*$B54*VLOOKUP($C54,$C$22:$Y$25,L$47,FALSE)*VLOOKUP($D54,'Units per home'!$A$40:$U$42,L$47-1,FALSE)+K54</f>
        <v>20643.608768360922</v>
      </c>
      <c r="M54" s="41">
        <f>$A54*$B54*VLOOKUP($C54,$C$22:$Y$25,M$47,FALSE)*VLOOKUP($D54,'Units per home'!$A$40:$U$42,M$47-1,FALSE)+L54</f>
        <v>23531.187713814332</v>
      </c>
      <c r="N54" s="41">
        <f>$A54*$B54*VLOOKUP($C54,$C$22:$Y$25,N$47,FALSE)*VLOOKUP($D54,'Units per home'!$A$40:$U$42,N$47-1,FALSE)+M54</f>
        <v>26418.646432831934</v>
      </c>
      <c r="O54" s="41">
        <f>$A54*$B54*VLOOKUP($C54,$C$22:$Y$25,O$47,FALSE)*VLOOKUP($D54,'Units per home'!$A$40:$U$42,O$47-1,FALSE)+N54</f>
        <v>29333.575743049201</v>
      </c>
      <c r="P54" s="41">
        <f>$A54*$B54*VLOOKUP($C54,$C$22:$Y$25,P$47,FALSE)*VLOOKUP($D54,'Units per home'!$A$40:$U$42,P$47-1,FALSE)+O54</f>
        <v>32180.053363107214</v>
      </c>
      <c r="Q54" s="41">
        <f>$A54*$B54*VLOOKUP($C54,$C$22:$Y$25,Q$47,FALSE)*VLOOKUP($D54,'Units per home'!$A$40:$U$42,Q$47-1,FALSE)+P54</f>
        <v>34984.270305746926</v>
      </c>
      <c r="R54" s="41">
        <f>$A54*$B54*VLOOKUP($C54,$C$22:$Y$25,R$47,FALSE)*VLOOKUP($D54,'Units per home'!$A$40:$U$42,R$47-1,FALSE)+Q54</f>
        <v>37741.058743984853</v>
      </c>
      <c r="S54" s="41">
        <f>$A54*$B54*VLOOKUP($C54,$C$22:$Y$25,S$47,FALSE)*VLOOKUP($D54,'Units per home'!$A$40:$U$42,S$47-1,FALSE)+R54</f>
        <v>40471.545460523121</v>
      </c>
      <c r="T54" s="41">
        <f>$A54*$B54*VLOOKUP($C54,$C$22:$Y$25,T$47,FALSE)*VLOOKUP($D54,'Units per home'!$A$40:$U$42,T$47-1,FALSE)+S54</f>
        <v>43169.391138582847</v>
      </c>
      <c r="U54" s="41">
        <f>$A54*$B54*VLOOKUP($C54,$C$22:$Y$25,U$47,FALSE)*VLOOKUP($D54,'Units per home'!$A$40:$U$42,U$47-1,FALSE)+T54</f>
        <v>45806.419303092276</v>
      </c>
      <c r="V54" s="41">
        <f>$A54*$B54*VLOOKUP($C54,$C$22:$Y$25,V$47,FALSE)*VLOOKUP($D54,'Units per home'!$A$40:$U$42,V$47-1,FALSE)+U54</f>
        <v>48403.349975410696</v>
      </c>
      <c r="W54" s="41">
        <f>$A54*$B54*VLOOKUP($C54,$C$22:$Y$25,W$47,FALSE)*VLOOKUP($D54,'Units per home'!$A$40:$U$42,W$47-1,FALSE)+V54</f>
        <v>50946.048667183713</v>
      </c>
      <c r="X54" s="41">
        <f>$A54*$B54*VLOOKUP($C54,$C$22:$Y$25,X$47,FALSE)*VLOOKUP($D54,'Units per home'!$A$40:$U$42,X$47-1,FALSE)+W54</f>
        <v>53487.258558754067</v>
      </c>
      <c r="Y54" s="41"/>
      <c r="Z54" s="9" t="str">
        <f t="shared" si="11"/>
        <v>Multifamily - High RiseInfrared sensing advanced power strip</v>
      </c>
      <c r="AA54" s="53">
        <f t="shared" si="12"/>
        <v>45464.169774940958</v>
      </c>
    </row>
    <row r="55" spans="1:71">
      <c r="A55" s="63">
        <f>INDEX([2]!ResApplic,MATCH($C$47,[2]APPLIC!$B$9:$B$120,0)+1,MATCH($C55,[2]APPLIC!$C$8:$F$8,0)+1)</f>
        <v>0.2475</v>
      </c>
      <c r="B55" s="476">
        <f>VLOOKUP($D55,'Units per home'!$A$18:$E$24,MATCH('SC-Retro'!$C55,'Units per home'!$B$18:$E$18,0)+1,FALSE)</f>
        <v>2.0454162110233622</v>
      </c>
      <c r="C55" s="9" t="str">
        <f t="shared" si="8"/>
        <v>Manufactured</v>
      </c>
      <c r="D55" s="9" t="str">
        <f t="shared" si="13"/>
        <v>Infrared sensing advanced power strip</v>
      </c>
      <c r="E55" s="41">
        <f t="shared" si="10"/>
        <v>0</v>
      </c>
      <c r="F55" s="41">
        <f>$A55*$B55*VLOOKUP($C55,$C$22:$Y$25,F$47,FALSE)*VLOOKUP($D55,'Units per home'!$A$40:$U$42,F$47-1,FALSE)</f>
        <v>1339.3287870558408</v>
      </c>
      <c r="G55" s="41">
        <f>$A55*$B55*VLOOKUP($C55,$C$22:$Y$25,G$47,FALSE)*VLOOKUP($D55,'Units per home'!$A$40:$U$42,G$47-1,FALSE)+F55</f>
        <v>2745.9432757560626</v>
      </c>
      <c r="H55" s="41">
        <f>$A55*$B55*VLOOKUP($C55,$C$22:$Y$25,H$47,FALSE)*VLOOKUP($D55,'Units per home'!$A$40:$U$42,H$47-1,FALSE)+G55</f>
        <v>4244.7231353468851</v>
      </c>
      <c r="I55" s="41">
        <f>$A55*$B55*VLOOKUP($C55,$C$22:$Y$25,I$47,FALSE)*VLOOKUP($D55,'Units per home'!$A$40:$U$42,I$47-1,FALSE)+H55</f>
        <v>6021.7296343897769</v>
      </c>
      <c r="J55" s="41">
        <f>$A55*$B55*VLOOKUP($C55,$C$22:$Y$25,J$47,FALSE)*VLOOKUP($D55,'Units per home'!$A$40:$U$42,J$47-1,FALSE)+I55</f>
        <v>7736.1251454780386</v>
      </c>
      <c r="K55" s="41">
        <f>$A55*$B55*VLOOKUP($C55,$C$22:$Y$25,K$47,FALSE)*VLOOKUP($D55,'Units per home'!$A$40:$U$42,K$47-1,FALSE)+J55</f>
        <v>9408.714180767267</v>
      </c>
      <c r="L55" s="41">
        <f>$A55*$B55*VLOOKUP($C55,$C$22:$Y$25,L$47,FALSE)*VLOOKUP($D55,'Units per home'!$A$40:$U$42,L$47-1,FALSE)+K55</f>
        <v>11066.411669776746</v>
      </c>
      <c r="M55" s="41">
        <f>$A55*$B55*VLOOKUP($C55,$C$22:$Y$25,M$47,FALSE)*VLOOKUP($D55,'Units per home'!$A$40:$U$42,M$47-1,FALSE)+L55</f>
        <v>12708.301702589048</v>
      </c>
      <c r="N55" s="41">
        <f>$A55*$B55*VLOOKUP($C55,$C$22:$Y$25,N$47,FALSE)*VLOOKUP($D55,'Units per home'!$A$40:$U$42,N$47-1,FALSE)+M55</f>
        <v>14331.338786114098</v>
      </c>
      <c r="O55" s="41">
        <f>$A55*$B55*VLOOKUP($C55,$C$22:$Y$25,O$47,FALSE)*VLOOKUP($D55,'Units per home'!$A$40:$U$42,O$47-1,FALSE)+N55</f>
        <v>15927.637089320981</v>
      </c>
      <c r="P55" s="41">
        <f>$A55*$B55*VLOOKUP($C55,$C$22:$Y$25,P$47,FALSE)*VLOOKUP($D55,'Units per home'!$A$40:$U$42,P$47-1,FALSE)+O55</f>
        <v>17490.401876444364</v>
      </c>
      <c r="Q55" s="41">
        <f>$A55*$B55*VLOOKUP($C55,$C$22:$Y$25,Q$47,FALSE)*VLOOKUP($D55,'Units per home'!$A$40:$U$42,Q$47-1,FALSE)+P55</f>
        <v>19030.903643520545</v>
      </c>
      <c r="R55" s="41">
        <f>$A55*$B55*VLOOKUP($C55,$C$22:$Y$25,R$47,FALSE)*VLOOKUP($D55,'Units per home'!$A$40:$U$42,R$47-1,FALSE)+Q55</f>
        <v>20558.256804625766</v>
      </c>
      <c r="S55" s="41">
        <f>$A55*$B55*VLOOKUP($C55,$C$22:$Y$25,S$47,FALSE)*VLOOKUP($D55,'Units per home'!$A$40:$U$42,S$47-1,FALSE)+R55</f>
        <v>22077.484306686736</v>
      </c>
      <c r="T55" s="41">
        <f>$A55*$B55*VLOOKUP($C55,$C$22:$Y$25,T$47,FALSE)*VLOOKUP($D55,'Units per home'!$A$40:$U$42,T$47-1,FALSE)+S55</f>
        <v>23590.20760657921</v>
      </c>
      <c r="U55" s="41">
        <f>$A55*$B55*VLOOKUP($C55,$C$22:$Y$25,U$47,FALSE)*VLOOKUP($D55,'Units per home'!$A$40:$U$42,U$47-1,FALSE)+T55</f>
        <v>25100.041311571036</v>
      </c>
      <c r="V55" s="41">
        <f>$A55*$B55*VLOOKUP($C55,$C$22:$Y$25,V$47,FALSE)*VLOOKUP($D55,'Units per home'!$A$40:$U$42,V$47-1,FALSE)+U55</f>
        <v>26609.86587362866</v>
      </c>
      <c r="W55" s="41">
        <f>$A55*$B55*VLOOKUP($C55,$C$22:$Y$25,W$47,FALSE)*VLOOKUP($D55,'Units per home'!$A$40:$U$42,W$47-1,FALSE)+V55</f>
        <v>28123.178026646779</v>
      </c>
      <c r="X55" s="41">
        <f>$A55*$B55*VLOOKUP($C55,$C$22:$Y$25,X$47,FALSE)*VLOOKUP($D55,'Units per home'!$A$40:$U$42,X$47-1,FALSE)+W55</f>
        <v>29641.859840014575</v>
      </c>
      <c r="Y55" s="41"/>
      <c r="Z55" s="9" t="str">
        <f t="shared" si="11"/>
        <v>ManufacturedInfrared sensing advanced power strip</v>
      </c>
      <c r="AA55" s="53">
        <f t="shared" si="12"/>
        <v>25195.580864012387</v>
      </c>
    </row>
    <row r="56" spans="1:71">
      <c r="A56" s="63">
        <f>INDEX([2]!ResApplic,MATCH($C$47,[2]APPLIC!$B$9:$B$120,0)+1,MATCH($C56,[2]APPLIC!$C$8:$F$8,0)+1)</f>
        <v>0.33660000000000001</v>
      </c>
      <c r="B56" s="476">
        <f>VLOOKUP($D56,'Units per home'!$A$18:$E$24,MATCH('SC-Retro'!$C56,'Units per home'!$B$18:$E$18,0)+1,FALSE)</f>
        <v>3.5696975918565244</v>
      </c>
      <c r="C56" s="9" t="str">
        <f t="shared" si="8"/>
        <v>Single Family</v>
      </c>
      <c r="D56" s="9" t="str">
        <f>$D$39</f>
        <v>Load sensing advanced power strip</v>
      </c>
      <c r="E56" s="41">
        <f t="shared" si="10"/>
        <v>0</v>
      </c>
      <c r="F56" s="41">
        <f>$A56*$B56*VLOOKUP($C56,$C$22:$Y$25,F$47,FALSE)*VLOOKUP($D56,'Units per home'!$A$40:$U$42,F$47-1,FALSE)</f>
        <v>89968.122749716582</v>
      </c>
      <c r="G56" s="41">
        <f>$A56*$B56*VLOOKUP($C56,$C$22:$Y$25,G$47,FALSE)*VLOOKUP($D56,'Units per home'!$A$40:$U$42,G$47-1,FALSE)+F56</f>
        <v>177780.32582199646</v>
      </c>
      <c r="H56" s="41">
        <f>$A56*$B56*VLOOKUP($C56,$C$22:$Y$25,H$47,FALSE)*VLOOKUP($D56,'Units per home'!$A$40:$U$42,H$47-1,FALSE)+G56</f>
        <v>261913.8863122008</v>
      </c>
      <c r="I56" s="41">
        <f>$A56*$B56*VLOOKUP($C56,$C$22:$Y$25,I$47,FALSE)*VLOOKUP($D56,'Units per home'!$A$40:$U$42,I$47-1,FALSE)+H56</f>
        <v>349791.32384412526</v>
      </c>
      <c r="J56" s="41">
        <f>$A56*$B56*VLOOKUP($C56,$C$22:$Y$25,J$47,FALSE)*VLOOKUP($D56,'Units per home'!$A$40:$U$42,J$47-1,FALSE)+I56</f>
        <v>434191.91361913487</v>
      </c>
      <c r="K56" s="41">
        <f>$A56*$B56*VLOOKUP($C56,$C$22:$Y$25,K$47,FALSE)*VLOOKUP($D56,'Units per home'!$A$40:$U$42,K$47-1,FALSE)+J56</f>
        <v>513138.46155722428</v>
      </c>
      <c r="L56" s="41">
        <f>$A56*$B56*VLOOKUP($C56,$C$22:$Y$25,L$47,FALSE)*VLOOKUP($D56,'Units per home'!$A$40:$U$42,L$47-1,FALSE)+K56</f>
        <v>588104.86906368937</v>
      </c>
      <c r="M56" s="41">
        <f>$A56*$B56*VLOOKUP($C56,$C$22:$Y$25,M$47,FALSE)*VLOOKUP($D56,'Units per home'!$A$40:$U$42,M$47-1,FALSE)+L56</f>
        <v>660674.91023192764</v>
      </c>
      <c r="N56" s="41">
        <f>$A56*$B56*VLOOKUP($C56,$C$22:$Y$25,N$47,FALSE)*VLOOKUP($D56,'Units per home'!$A$40:$U$42,N$47-1,FALSE)+M56</f>
        <v>730352.5024874669</v>
      </c>
      <c r="O56" s="41">
        <f>$A56*$B56*VLOOKUP($C56,$C$22:$Y$25,O$47,FALSE)*VLOOKUP($D56,'Units per home'!$A$40:$U$42,O$47-1,FALSE)+N56</f>
        <v>799121.71343555755</v>
      </c>
      <c r="P56" s="41">
        <f>$A56*$B56*VLOOKUP($C56,$C$22:$Y$25,P$47,FALSE)*VLOOKUP($D56,'Units per home'!$A$40:$U$42,P$47-1,FALSE)+O56</f>
        <v>866397.99453538458</v>
      </c>
      <c r="Q56" s="41">
        <f>$A56*$B56*VLOOKUP($C56,$C$22:$Y$25,Q$47,FALSE)*VLOOKUP($D56,'Units per home'!$A$40:$U$42,Q$47-1,FALSE)+P56</f>
        <v>931147.583570819</v>
      </c>
      <c r="R56" s="41">
        <f>$A56*$B56*VLOOKUP($C56,$C$22:$Y$25,R$47,FALSE)*VLOOKUP($D56,'Units per home'!$A$40:$U$42,R$47-1,FALSE)+Q56</f>
        <v>992893.4481312295</v>
      </c>
      <c r="S56" s="41">
        <f>$A56*$B56*VLOOKUP($C56,$C$22:$Y$25,S$47,FALSE)*VLOOKUP($D56,'Units per home'!$A$40:$U$42,S$47-1,FALSE)+R56</f>
        <v>1053749.2489952778</v>
      </c>
      <c r="T56" s="41">
        <f>$A56*$B56*VLOOKUP($C56,$C$22:$Y$25,T$47,FALSE)*VLOOKUP($D56,'Units per home'!$A$40:$U$42,T$47-1,FALSE)+S56</f>
        <v>1114551.1742612934</v>
      </c>
      <c r="U56" s="41">
        <f>$A56*$B56*VLOOKUP($C56,$C$22:$Y$25,U$47,FALSE)*VLOOKUP($D56,'Units per home'!$A$40:$U$42,U$47-1,FALSE)+T56</f>
        <v>1174625.4599607426</v>
      </c>
      <c r="V56" s="41">
        <f>$A56*$B56*VLOOKUP($C56,$C$22:$Y$25,V$47,FALSE)*VLOOKUP($D56,'Units per home'!$A$40:$U$42,V$47-1,FALSE)+U56</f>
        <v>1232444.0094076756</v>
      </c>
      <c r="W56" s="41">
        <f>$A56*$B56*VLOOKUP($C56,$C$22:$Y$25,W$47,FALSE)*VLOOKUP($D56,'Units per home'!$A$40:$U$42,W$47-1,FALSE)+V56</f>
        <v>1290027.2645596487</v>
      </c>
      <c r="X56" s="41">
        <f>$A56*$B56*VLOOKUP($C56,$C$22:$Y$25,X$47,FALSE)*VLOOKUP($D56,'Units per home'!$A$40:$U$42,X$47-1,FALSE)+W56</f>
        <v>1347934.162127075</v>
      </c>
      <c r="Y56" s="41"/>
      <c r="Z56" s="9" t="str">
        <f t="shared" si="11"/>
        <v>Single FamilyLoad sensing advanced power strip</v>
      </c>
      <c r="AA56" s="53">
        <f t="shared" si="12"/>
        <v>1145744.0378080138</v>
      </c>
    </row>
    <row r="57" spans="1:71">
      <c r="A57" s="63">
        <f>INDEX([2]!ResApplic,MATCH($C$47,[2]APPLIC!$B$9:$B$120,0)+1,MATCH($C57,[2]APPLIC!$C$8:$F$8,0)+1)</f>
        <v>0.2475</v>
      </c>
      <c r="B57" s="476">
        <f>VLOOKUP($D57,'Units per home'!$A$18:$E$24,MATCH('SC-Retro'!$C57,'Units per home'!$B$18:$E$18,0)+1,FALSE)</f>
        <v>1.9586494663871408</v>
      </c>
      <c r="C57" s="9" t="str">
        <f t="shared" si="8"/>
        <v>Multifamily - Low Rise</v>
      </c>
      <c r="D57" s="9" t="str">
        <f t="shared" ref="D57:D59" si="14">$D$39</f>
        <v>Load sensing advanced power strip</v>
      </c>
      <c r="E57" s="41">
        <f t="shared" si="10"/>
        <v>0</v>
      </c>
      <c r="F57" s="41">
        <f>$A57*$B57*VLOOKUP($C57,$C$22:$Y$25,F$47,FALSE)*VLOOKUP($D57,'Units per home'!$A$40:$U$42,F$47-1,FALSE)</f>
        <v>13485.751419854178</v>
      </c>
      <c r="G57" s="41">
        <f>$A57*$B57*VLOOKUP($C57,$C$22:$Y$25,G$47,FALSE)*VLOOKUP($D57,'Units per home'!$A$40:$U$42,G$47-1,FALSE)+F57</f>
        <v>27099.62254606645</v>
      </c>
      <c r="H57" s="41">
        <f>$A57*$B57*VLOOKUP($C57,$C$22:$Y$25,H$47,FALSE)*VLOOKUP($D57,'Units per home'!$A$40:$U$42,H$47-1,FALSE)+G57</f>
        <v>40755.388672760513</v>
      </c>
      <c r="I57" s="41">
        <f>$A57*$B57*VLOOKUP($C57,$C$22:$Y$25,I$47,FALSE)*VLOOKUP($D57,'Units per home'!$A$40:$U$42,I$47-1,FALSE)+H57</f>
        <v>55061.314601710787</v>
      </c>
      <c r="J57" s="41">
        <f>$A57*$B57*VLOOKUP($C57,$C$22:$Y$25,J$47,FALSE)*VLOOKUP($D57,'Units per home'!$A$40:$U$42,J$47-1,FALSE)+I57</f>
        <v>68416.591909528346</v>
      </c>
      <c r="K57" s="41">
        <f>$A57*$B57*VLOOKUP($C57,$C$22:$Y$25,K$47,FALSE)*VLOOKUP($D57,'Units per home'!$A$40:$U$42,K$47-1,FALSE)+J57</f>
        <v>81119.794597870088</v>
      </c>
      <c r="L57" s="41">
        <f>$A57*$B57*VLOOKUP($C57,$C$22:$Y$25,L$47,FALSE)*VLOOKUP($D57,'Units per home'!$A$40:$U$42,L$47-1,FALSE)+K57</f>
        <v>93495.260136455865</v>
      </c>
      <c r="M57" s="41">
        <f>$A57*$B57*VLOOKUP($C57,$C$22:$Y$25,M$47,FALSE)*VLOOKUP($D57,'Units per home'!$A$40:$U$42,M$47-1,FALSE)+L57</f>
        <v>105852.17536889986</v>
      </c>
      <c r="N57" s="41">
        <f>$A57*$B57*VLOOKUP($C57,$C$22:$Y$25,N$47,FALSE)*VLOOKUP($D57,'Units per home'!$A$40:$U$42,N$47-1,FALSE)+M57</f>
        <v>118238.48690573087</v>
      </c>
      <c r="O57" s="41">
        <f>$A57*$B57*VLOOKUP($C57,$C$22:$Y$25,O$47,FALSE)*VLOOKUP($D57,'Units per home'!$A$40:$U$42,O$47-1,FALSE)+N57</f>
        <v>130686.98895039188</v>
      </c>
      <c r="P57" s="41">
        <f>$A57*$B57*VLOOKUP($C57,$C$22:$Y$25,P$47,FALSE)*VLOOKUP($D57,'Units per home'!$A$40:$U$42,P$47-1,FALSE)+O57</f>
        <v>142935.64741445231</v>
      </c>
      <c r="Q57" s="41">
        <f>$A57*$B57*VLOOKUP($C57,$C$22:$Y$25,Q$47,FALSE)*VLOOKUP($D57,'Units per home'!$A$40:$U$42,Q$47-1,FALSE)+P57</f>
        <v>154972.01822814884</v>
      </c>
      <c r="R57" s="41">
        <f>$A57*$B57*VLOOKUP($C57,$C$22:$Y$25,R$47,FALSE)*VLOOKUP($D57,'Units per home'!$A$40:$U$42,R$47-1,FALSE)+Q57</f>
        <v>166855.15587056227</v>
      </c>
      <c r="S57" s="41">
        <f>$A57*$B57*VLOOKUP($C57,$C$22:$Y$25,S$47,FALSE)*VLOOKUP($D57,'Units per home'!$A$40:$U$42,S$47-1,FALSE)+R57</f>
        <v>178482.16504847718</v>
      </c>
      <c r="T57" s="41">
        <f>$A57*$B57*VLOOKUP($C57,$C$22:$Y$25,T$47,FALSE)*VLOOKUP($D57,'Units per home'!$A$40:$U$42,T$47-1,FALSE)+S57</f>
        <v>189863.22629722062</v>
      </c>
      <c r="U57" s="41">
        <f>$A57*$B57*VLOOKUP($C57,$C$22:$Y$25,U$47,FALSE)*VLOOKUP($D57,'Units per home'!$A$40:$U$42,U$47-1,FALSE)+T57</f>
        <v>200944.51369127026</v>
      </c>
      <c r="V57" s="41">
        <f>$A57*$B57*VLOOKUP($C57,$C$22:$Y$25,V$47,FALSE)*VLOOKUP($D57,'Units per home'!$A$40:$U$42,V$47-1,FALSE)+U57</f>
        <v>211794.46163659429</v>
      </c>
      <c r="W57" s="41">
        <f>$A57*$B57*VLOOKUP($C57,$C$22:$Y$25,W$47,FALSE)*VLOOKUP($D57,'Units per home'!$A$40:$U$42,W$47-1,FALSE)+V57</f>
        <v>222481.51166868492</v>
      </c>
      <c r="X57" s="41">
        <f>$A57*$B57*VLOOKUP($C57,$C$22:$Y$25,X$47,FALSE)*VLOOKUP($D57,'Units per home'!$A$40:$U$42,X$47-1,FALSE)+W57</f>
        <v>232989.77105583198</v>
      </c>
      <c r="Y57" s="41"/>
      <c r="Z57" s="9" t="str">
        <f t="shared" si="11"/>
        <v>Multifamily - Low RiseLoad sensing advanced power strip</v>
      </c>
      <c r="AA57" s="53">
        <f t="shared" si="12"/>
        <v>198041.30539745718</v>
      </c>
    </row>
    <row r="58" spans="1:71">
      <c r="A58" s="63">
        <f>INDEX([2]!ResApplic,MATCH($C$47,[2]APPLIC!$B$9:$B$120,0)+1,MATCH($C58,[2]APPLIC!$C$8:$F$8,0)+1)</f>
        <v>0.2475</v>
      </c>
      <c r="B58" s="476">
        <f>VLOOKUP($D58,'Units per home'!$A$18:$E$24,MATCH('SC-Retro'!$C58,'Units per home'!$B$18:$E$18,0)+1,FALSE)</f>
        <v>1.9586494663871408</v>
      </c>
      <c r="C58" s="9" t="str">
        <f t="shared" si="8"/>
        <v>Multifamily - High Rise</v>
      </c>
      <c r="D58" s="9" t="str">
        <f t="shared" si="14"/>
        <v>Load sensing advanced power strip</v>
      </c>
      <c r="E58" s="41">
        <f t="shared" si="10"/>
        <v>0</v>
      </c>
      <c r="F58" s="41">
        <f>$A58*$B58*VLOOKUP($C58,$C$22:$Y$25,F$47,FALSE)*VLOOKUP($D58,'Units per home'!$A$40:$U$42,F$47-1,FALSE)</f>
        <v>3027.435811784128</v>
      </c>
      <c r="G58" s="41">
        <f>$A58*$B58*VLOOKUP($C58,$C$22:$Y$25,G$47,FALSE)*VLOOKUP($D58,'Units per home'!$A$40:$U$42,G$47-1,FALSE)+F58</f>
        <v>6126.6559874712921</v>
      </c>
      <c r="H58" s="41">
        <f>$A58*$B58*VLOOKUP($C58,$C$22:$Y$25,H$47,FALSE)*VLOOKUP($D58,'Units per home'!$A$40:$U$42,H$47-1,FALSE)+G58</f>
        <v>9282.2033523921764</v>
      </c>
      <c r="I58" s="41">
        <f>$A58*$B58*VLOOKUP($C58,$C$22:$Y$25,I$47,FALSE)*VLOOKUP($D58,'Units per home'!$A$40:$U$42,I$47-1,FALSE)+H58</f>
        <v>12511.758313018123</v>
      </c>
      <c r="J58" s="41">
        <f>$A58*$B58*VLOOKUP($C58,$C$22:$Y$25,J$47,FALSE)*VLOOKUP($D58,'Units per home'!$A$40:$U$42,J$47-1,FALSE)+I58</f>
        <v>15468.307714977182</v>
      </c>
      <c r="K58" s="41">
        <f>$A58*$B58*VLOOKUP($C58,$C$22:$Y$25,K$47,FALSE)*VLOOKUP($D58,'Units per home'!$A$40:$U$42,K$47-1,FALSE)+J58</f>
        <v>18322.619779677323</v>
      </c>
      <c r="L58" s="41">
        <f>$A58*$B58*VLOOKUP($C58,$C$22:$Y$25,L$47,FALSE)*VLOOKUP($D58,'Units per home'!$A$40:$U$42,L$47-1,FALSE)+K58</f>
        <v>21111.454317955384</v>
      </c>
      <c r="M58" s="41">
        <f>$A58*$B58*VLOOKUP($C58,$C$22:$Y$25,M$47,FALSE)*VLOOKUP($D58,'Units per home'!$A$40:$U$42,M$47-1,FALSE)+L58</f>
        <v>23930.723366726834</v>
      </c>
      <c r="N58" s="41">
        <f>$A58*$B58*VLOOKUP($C58,$C$22:$Y$25,N$47,FALSE)*VLOOKUP($D58,'Units per home'!$A$40:$U$42,N$47-1,FALSE)+M58</f>
        <v>26736.831749845609</v>
      </c>
      <c r="O58" s="41">
        <f>$A58*$B58*VLOOKUP($C58,$C$22:$Y$25,O$47,FALSE)*VLOOKUP($D58,'Units per home'!$A$40:$U$42,O$47-1,FALSE)+N58</f>
        <v>29556.734276742274</v>
      </c>
      <c r="P58" s="41">
        <f>$A58*$B58*VLOOKUP($C58,$C$22:$Y$25,P$47,FALSE)*VLOOKUP($D58,'Units per home'!$A$40:$U$42,P$47-1,FALSE)+O58</f>
        <v>32297.966559877525</v>
      </c>
      <c r="Q58" s="41">
        <f>$A58*$B58*VLOOKUP($C58,$C$22:$Y$25,Q$47,FALSE)*VLOOKUP($D58,'Units per home'!$A$40:$U$42,Q$47-1,FALSE)+P58</f>
        <v>34986.477832484146</v>
      </c>
      <c r="R58" s="41">
        <f>$A58*$B58*VLOOKUP($C58,$C$22:$Y$25,R$47,FALSE)*VLOOKUP($D58,'Units per home'!$A$40:$U$42,R$47-1,FALSE)+Q58</f>
        <v>37617.865187894291</v>
      </c>
      <c r="S58" s="41">
        <f>$A58*$B58*VLOOKUP($C58,$C$22:$Y$25,S$47,FALSE)*VLOOKUP($D58,'Units per home'!$A$40:$U$42,S$47-1,FALSE)+R58</f>
        <v>40212.706848291855</v>
      </c>
      <c r="T58" s="41">
        <f>$A58*$B58*VLOOKUP($C58,$C$22:$Y$25,T$47,FALSE)*VLOOKUP($D58,'Units per home'!$A$40:$U$42,T$47-1,FALSE)+S58</f>
        <v>42764.759255474462</v>
      </c>
      <c r="U58" s="41">
        <f>$A58*$B58*VLOOKUP($C58,$C$22:$Y$25,U$47,FALSE)*VLOOKUP($D58,'Units per home'!$A$40:$U$42,U$47-1,FALSE)+T58</f>
        <v>45247.83153609006</v>
      </c>
      <c r="V58" s="41">
        <f>$A58*$B58*VLOOKUP($C58,$C$22:$Y$25,V$47,FALSE)*VLOOKUP($D58,'Units per home'!$A$40:$U$42,V$47-1,FALSE)+U58</f>
        <v>47681.982800440819</v>
      </c>
      <c r="W58" s="41">
        <f>$A58*$B58*VLOOKUP($C58,$C$22:$Y$25,W$47,FALSE)*VLOOKUP($D58,'Units per home'!$A$40:$U$42,W$47-1,FALSE)+V58</f>
        <v>50054.44424221987</v>
      </c>
      <c r="X58" s="41">
        <f>$A58*$B58*VLOOKUP($C58,$C$22:$Y$25,X$47,FALSE)*VLOOKUP($D58,'Units per home'!$A$40:$U$42,X$47-1,FALSE)+W58</f>
        <v>52423.933342855635</v>
      </c>
      <c r="Y58" s="41"/>
      <c r="Z58" s="9" t="str">
        <f t="shared" si="11"/>
        <v>Multifamily - High RiseLoad sensing advanced power strip</v>
      </c>
      <c r="AA58" s="53">
        <f t="shared" si="12"/>
        <v>44560.343341427288</v>
      </c>
    </row>
    <row r="59" spans="1:71">
      <c r="A59" s="63">
        <f>INDEX([2]!ResApplic,MATCH($C$47,[2]APPLIC!$B$9:$B$120,0)+1,MATCH($C59,[2]APPLIC!$C$8:$F$8,0)+1)</f>
        <v>0.2475</v>
      </c>
      <c r="B59" s="476">
        <f>VLOOKUP($D59,'Units per home'!$A$18:$E$24,MATCH('SC-Retro'!$C59,'Units per home'!$B$18:$E$18,0)+1,FALSE)</f>
        <v>2.7518842435935174</v>
      </c>
      <c r="C59" s="9" t="str">
        <f t="shared" si="8"/>
        <v>Manufactured</v>
      </c>
      <c r="D59" s="9" t="str">
        <f t="shared" si="14"/>
        <v>Load sensing advanced power strip</v>
      </c>
      <c r="E59" s="41">
        <f t="shared" si="10"/>
        <v>0</v>
      </c>
      <c r="F59" s="41">
        <f>$A59*$B59*VLOOKUP($C59,$C$22:$Y$25,F$47,FALSE)*VLOOKUP($D59,'Units per home'!$A$40:$U$42,F$47-1,FALSE)</f>
        <v>1521.6057057598048</v>
      </c>
      <c r="G59" s="41">
        <f>$A59*$B59*VLOOKUP($C59,$C$22:$Y$25,G$47,FALSE)*VLOOKUP($D59,'Units per home'!$A$40:$U$42,G$47-1,FALSE)+F59</f>
        <v>3085.3692459278377</v>
      </c>
      <c r="H59" s="41">
        <f>$A59*$B59*VLOOKUP($C59,$C$22:$Y$25,H$47,FALSE)*VLOOKUP($D59,'Units per home'!$A$40:$U$42,H$47-1,FALSE)+G59</f>
        <v>4724.732913549723</v>
      </c>
      <c r="I59" s="41">
        <f>$A59*$B59*VLOOKUP($C59,$C$22:$Y$25,I$47,FALSE)*VLOOKUP($D59,'Units per home'!$A$40:$U$42,I$47-1,FALSE)+H59</f>
        <v>6564.1596690118868</v>
      </c>
      <c r="J59" s="41">
        <f>$A59*$B59*VLOOKUP($C59,$C$22:$Y$25,J$47,FALSE)*VLOOKUP($D59,'Units per home'!$A$40:$U$42,J$47-1,FALSE)+I59</f>
        <v>8330.3480856637998</v>
      </c>
      <c r="K59" s="41">
        <f>$A59*$B59*VLOOKUP($C59,$C$22:$Y$25,K$47,FALSE)*VLOOKUP($D59,'Units per home'!$A$40:$U$42,K$47-1,FALSE)+J59</f>
        <v>10045.371721846832</v>
      </c>
      <c r="L59" s="41">
        <f>$A59*$B59*VLOOKUP($C59,$C$22:$Y$25,L$47,FALSE)*VLOOKUP($D59,'Units per home'!$A$40:$U$42,L$47-1,FALSE)+K59</f>
        <v>11737.060532608459</v>
      </c>
      <c r="M59" s="41">
        <f>$A59*$B59*VLOOKUP($C59,$C$22:$Y$25,M$47,FALSE)*VLOOKUP($D59,'Units per home'!$A$40:$U$42,M$47-1,FALSE)+L59</f>
        <v>13404.722285767608</v>
      </c>
      <c r="N59" s="41">
        <f>$A59*$B59*VLOOKUP($C59,$C$22:$Y$25,N$47,FALSE)*VLOOKUP($D59,'Units per home'!$A$40:$U$42,N$47-1,FALSE)+M59</f>
        <v>15045.608042240474</v>
      </c>
      <c r="O59" s="41">
        <f>$A59*$B59*VLOOKUP($C59,$C$22:$Y$25,O$47,FALSE)*VLOOKUP($D59,'Units per home'!$A$40:$U$42,O$47-1,FALSE)+N59</f>
        <v>16652.110397903743</v>
      </c>
      <c r="P59" s="41">
        <f>$A59*$B59*VLOOKUP($C59,$C$22:$Y$25,P$47,FALSE)*VLOOKUP($D59,'Units per home'!$A$40:$U$42,P$47-1,FALSE)+O59</f>
        <v>18217.754067465459</v>
      </c>
      <c r="Q59" s="41">
        <f>$A59*$B59*VLOOKUP($C59,$C$22:$Y$25,Q$47,FALSE)*VLOOKUP($D59,'Units per home'!$A$40:$U$42,Q$47-1,FALSE)+P59</f>
        <v>19754.222701426599</v>
      </c>
      <c r="R59" s="41">
        <f>$A59*$B59*VLOOKUP($C59,$C$22:$Y$25,R$47,FALSE)*VLOOKUP($D59,'Units per home'!$A$40:$U$42,R$47-1,FALSE)+Q59</f>
        <v>21270.861137172611</v>
      </c>
      <c r="S59" s="41">
        <f>$A59*$B59*VLOOKUP($C59,$C$22:$Y$25,S$47,FALSE)*VLOOKUP($D59,'Units per home'!$A$40:$U$42,S$47-1,FALSE)+R59</f>
        <v>22772.808984309762</v>
      </c>
      <c r="T59" s="41">
        <f>$A59*$B59*VLOOKUP($C59,$C$22:$Y$25,T$47,FALSE)*VLOOKUP($D59,'Units per home'!$A$40:$U$42,T$47-1,FALSE)+S59</f>
        <v>24261.46112518412</v>
      </c>
      <c r="U59" s="41">
        <f>$A59*$B59*VLOOKUP($C59,$C$22:$Y$25,U$47,FALSE)*VLOOKUP($D59,'Units per home'!$A$40:$U$42,U$47-1,FALSE)+T59</f>
        <v>25740.450162380028</v>
      </c>
      <c r="V59" s="41">
        <f>$A59*$B59*VLOOKUP($C59,$C$22:$Y$25,V$47,FALSE)*VLOOKUP($D59,'Units per home'!$A$40:$U$42,V$47-1,FALSE)+U59</f>
        <v>27212.677705556907</v>
      </c>
      <c r="W59" s="41">
        <f>$A59*$B59*VLOOKUP($C59,$C$22:$Y$25,W$47,FALSE)*VLOOKUP($D59,'Units per home'!$A$40:$U$42,W$47-1,FALSE)+V59</f>
        <v>28681.583784725004</v>
      </c>
      <c r="X59" s="41">
        <f>$A59*$B59*VLOOKUP($C59,$C$22:$Y$25,X$47,FALSE)*VLOOKUP($D59,'Units per home'!$A$40:$U$42,X$47-1,FALSE)+W59</f>
        <v>30154.717657117821</v>
      </c>
      <c r="Y59" s="41"/>
      <c r="Z59" s="9" t="str">
        <f t="shared" si="11"/>
        <v>ManufacturedLoad sensing advanced power strip</v>
      </c>
      <c r="AA59" s="53">
        <f t="shared" si="12"/>
        <v>25631.510008550147</v>
      </c>
    </row>
    <row r="60" spans="1:71">
      <c r="E60" s="41"/>
      <c r="F60" s="41"/>
      <c r="G60" s="41"/>
      <c r="H60" s="41"/>
      <c r="I60" s="41"/>
      <c r="J60" s="41"/>
      <c r="K60" s="41"/>
      <c r="L60" s="41"/>
      <c r="M60" s="41"/>
      <c r="N60" s="41"/>
      <c r="O60" s="41"/>
      <c r="P60" s="41"/>
      <c r="Q60" s="41"/>
      <c r="R60" s="41"/>
      <c r="S60" s="41"/>
      <c r="T60" s="41"/>
      <c r="U60" s="41"/>
      <c r="V60" s="41"/>
      <c r="W60" s="41"/>
      <c r="X60" s="41"/>
      <c r="Y60" s="41"/>
    </row>
    <row r="61" spans="1:71">
      <c r="E61" s="41">
        <f>SUM(E48:E59)</f>
        <v>0</v>
      </c>
      <c r="F61" s="41">
        <f t="shared" ref="F61:X61" si="15">SUM(F48:F59)</f>
        <v>225424.47126382074</v>
      </c>
      <c r="G61" s="41">
        <f t="shared" si="15"/>
        <v>448167.60389189847</v>
      </c>
      <c r="H61" s="41">
        <f t="shared" si="15"/>
        <v>664529.63424377493</v>
      </c>
      <c r="I61" s="41">
        <f t="shared" si="15"/>
        <v>894284.38298694766</v>
      </c>
      <c r="J61" s="41">
        <f t="shared" si="15"/>
        <v>1114102.7028306189</v>
      </c>
      <c r="K61" s="41">
        <f t="shared" si="15"/>
        <v>1320782.4233874823</v>
      </c>
      <c r="L61" s="41">
        <f t="shared" si="15"/>
        <v>1518299.6556903603</v>
      </c>
      <c r="M61" s="41">
        <f t="shared" si="15"/>
        <v>1710912.5528513601</v>
      </c>
      <c r="N61" s="41">
        <f t="shared" si="15"/>
        <v>1897539.7411333811</v>
      </c>
      <c r="O61" s="41">
        <f t="shared" si="15"/>
        <v>2082551.5098710139</v>
      </c>
      <c r="P61" s="41">
        <f t="shared" si="15"/>
        <v>2263891.6681968113</v>
      </c>
      <c r="Q61" s="41">
        <f t="shared" si="15"/>
        <v>2439368.7906443574</v>
      </c>
      <c r="R61" s="41">
        <f t="shared" si="15"/>
        <v>2608074.1275106166</v>
      </c>
      <c r="S61" s="41">
        <f t="shared" si="15"/>
        <v>2774398.0062708063</v>
      </c>
      <c r="T61" s="41">
        <f t="shared" si="15"/>
        <v>2940169.6255995408</v>
      </c>
      <c r="U61" s="41">
        <f t="shared" si="15"/>
        <v>3103755.9659093851</v>
      </c>
      <c r="V61" s="41">
        <f t="shared" si="15"/>
        <v>3262028.7721500527</v>
      </c>
      <c r="W61" s="41">
        <f t="shared" si="15"/>
        <v>3419503.6043120585</v>
      </c>
      <c r="X61" s="41">
        <f t="shared" si="15"/>
        <v>3577322.3772364501</v>
      </c>
      <c r="Y61" s="41"/>
      <c r="AA61" s="53">
        <f>SUM(AA48:AA59)</f>
        <v>3040724.0206509829</v>
      </c>
    </row>
    <row r="63" spans="1:71" ht="15">
      <c r="A63" s="62" t="str">
        <f>CONCATENATE("# UNITS ACHIEVABLE BY YEAR FOR MEASURE - ",C64)</f>
        <v># UNITS ACHIEVABLE BY YEAR FOR MEASURE - Advanced Power Strips - Retro</v>
      </c>
      <c r="E63" s="71" t="s">
        <v>62</v>
      </c>
      <c r="F63"/>
    </row>
    <row r="64" spans="1:71" ht="15">
      <c r="C64" s="71" t="str">
        <f>C30</f>
        <v>Advanced Power Strips - Retro</v>
      </c>
      <c r="E64" s="75">
        <f>VLOOKUP($C$64,[2]ACHIEV!$B$9:$X$100,MATCH(E$11,$E$11:$Y$11,0)+2,FALSE)</f>
        <v>5.5320496977002724E-3</v>
      </c>
      <c r="F64" s="75">
        <f>VLOOKUP($C$64,[2]ACHIEV!$B$9:$X$100,MATCH(F$11,$E$11:$Y$11,0)+2,FALSE)</f>
        <v>8.6958686465615706E-3</v>
      </c>
      <c r="G64" s="75">
        <f>VLOOKUP($C$64,[2]ACHIEV!$B$9:$X$100,MATCH(G$11,$E$11:$Y$11,0)+2,FALSE)</f>
        <v>1.7391737293123145E-2</v>
      </c>
      <c r="H64" s="75">
        <f>VLOOKUP($C$64,[2]ACHIEV!$B$9:$X$100,MATCH(H$11,$E$11:$Y$11,0)+2,FALSE)</f>
        <v>3.0435540262965514E-2</v>
      </c>
      <c r="I64" s="75">
        <f>VLOOKUP($C$64,[2]ACHIEV!$B$9:$X$100,MATCH(I$11,$E$11:$Y$11,0)+2,FALSE)</f>
        <v>4.7344173742390784E-2</v>
      </c>
      <c r="J64" s="75">
        <f>VLOOKUP($C$64,[2]ACHIEV!$B$9:$X$100,MATCH(J$11,$E$11:$Y$11,0)+2,FALSE)</f>
        <v>6.6281843239347063E-2</v>
      </c>
      <c r="K64" s="75">
        <f>VLOOKUP($C$64,[2]ACHIEV!$B$9:$X$100,MATCH(K$11,$E$11:$Y$11,0)+2,FALSE)</f>
        <v>8.4358709577350838E-2</v>
      </c>
      <c r="L64" s="75">
        <f>VLOOKUP($C$64,[2]ACHIEV!$B$9:$X$100,MATCH(L$11,$E$11:$Y$11,0)+2,FALSE)</f>
        <v>9.8418494506909315E-2</v>
      </c>
      <c r="M64" s="75">
        <f>VLOOKUP($C$64,[2]ACHIEV!$B$9:$X$100,MATCH(M$11,$E$11:$Y$11,0)+2,FALSE)</f>
        <v>0.10598914793051767</v>
      </c>
      <c r="N64" s="75">
        <f>VLOOKUP($C$64,[2]ACHIEV!$B$9:$X$100,MATCH(N$11,$E$11:$Y$11,0)+2,FALSE)</f>
        <v>0.10598914793051767</v>
      </c>
      <c r="O64" s="75">
        <f>VLOOKUP($C$64,[2]ACHIEV!$B$9:$X$100,MATCH(O$11,$E$11:$Y$11,0)+2,FALSE)</f>
        <v>9.8923204735149928E-2</v>
      </c>
      <c r="P64" s="75">
        <f>VLOOKUP($C$64,[2]ACHIEV!$B$9:$X$100,MATCH(P$11,$E$11:$Y$11,0)+2,FALSE)</f>
        <v>8.655780414325609E-2</v>
      </c>
      <c r="Q64" s="75">
        <f>VLOOKUP($C$64,[2]ACHIEV!$B$9:$X$100,MATCH(Q$11,$E$11:$Y$11,0)+2,FALSE)</f>
        <v>7.1282897529740263E-2</v>
      </c>
      <c r="R64" s="75">
        <f>VLOOKUP($C$64,[2]ACHIEV!$B$9:$X$100,MATCH(R$11,$E$11:$Y$11,0)+2,FALSE)</f>
        <v>5.5442253634242489E-2</v>
      </c>
      <c r="S64" s="75">
        <f>VLOOKUP($C$64,[2]ACHIEV!$B$9:$X$100,MATCH(S$11,$E$11:$Y$11,0)+2,FALSE)</f>
        <v>4.0852186888389319E-2</v>
      </c>
      <c r="T64" s="75">
        <f>VLOOKUP($C$64,[2]ACHIEV!$B$9:$X$100,MATCH(T$11,$E$11:$Y$11,0)+2,FALSE)</f>
        <v>2.8596530821872412E-2</v>
      </c>
      <c r="U64" s="75">
        <f>VLOOKUP($C$64,[2]ACHIEV!$B$9:$X$100,MATCH(U$11,$E$11:$Y$11,0)+2,FALSE)</f>
        <v>1.9064353881248275E-2</v>
      </c>
      <c r="V64" s="75">
        <f>VLOOKUP($C$64,[2]ACHIEV!$B$9:$X$100,MATCH(V$11,$E$11:$Y$11,0)+2,FALSE)</f>
        <v>1.2131861560794377E-2</v>
      </c>
      <c r="W64" s="75">
        <f>VLOOKUP($C$64,[2]ACHIEV!$B$9:$X$100,MATCH(W$11,$E$11:$Y$11,0)+2,FALSE)</f>
        <v>7.3846113848314854E-3</v>
      </c>
      <c r="X64" s="75">
        <f>VLOOKUP($C$64,[2]ACHIEV!$B$9:$X$100,MATCH(X$11,$E$11:$Y$11,0)+2,FALSE)</f>
        <v>4.3076899744848296E-3</v>
      </c>
      <c r="Y64" s="75"/>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row>
    <row r="65" spans="2:71">
      <c r="B65" s="9" t="str">
        <f>C65&amp;D65</f>
        <v>Single FamilyOccupancy sensing advanced power strip</v>
      </c>
      <c r="C65" s="9" t="str">
        <f>C13</f>
        <v>Single Family</v>
      </c>
      <c r="D65" s="9" t="str">
        <f>$D$31</f>
        <v>Occupancy sensing advanced power strip</v>
      </c>
      <c r="E65" s="41">
        <f>(E31+E48)*E$64*$AA$29</f>
        <v>6322.0240655821535</v>
      </c>
      <c r="F65" s="41">
        <f>(F48+F31)*F$64*$AA$29</f>
        <v>9966.3071327601356</v>
      </c>
      <c r="G65" s="41">
        <f t="shared" ref="G65:X65" si="16">(G48+G31)*G$64*$AA$29</f>
        <v>19974.798797938616</v>
      </c>
      <c r="H65" s="41">
        <f t="shared" si="16"/>
        <v>34999.446396643609</v>
      </c>
      <c r="I65" s="41">
        <f t="shared" si="16"/>
        <v>54478.679099222849</v>
      </c>
      <c r="J65" s="41">
        <f t="shared" si="16"/>
        <v>76348.790390309165</v>
      </c>
      <c r="K65" s="41">
        <f t="shared" si="16"/>
        <v>97192.750388075583</v>
      </c>
      <c r="L65" s="41">
        <f t="shared" si="16"/>
        <v>113349.14206486661</v>
      </c>
      <c r="M65" s="41">
        <f t="shared" si="16"/>
        <v>121977.14293174574</v>
      </c>
      <c r="N65" s="41">
        <f t="shared" si="16"/>
        <v>121833.25249248058</v>
      </c>
      <c r="O65" s="41">
        <f t="shared" si="16"/>
        <v>113558.30825726847</v>
      </c>
      <c r="P65" s="41">
        <f t="shared" si="16"/>
        <v>99206.352569444716</v>
      </c>
      <c r="Q65" s="41">
        <f t="shared" si="16"/>
        <v>81539.879491514381</v>
      </c>
      <c r="R65" s="41">
        <f t="shared" si="16"/>
        <v>63268.996790106394</v>
      </c>
      <c r="S65" s="41">
        <f t="shared" si="16"/>
        <v>46501.261374382186</v>
      </c>
      <c r="T65" s="41">
        <f t="shared" si="16"/>
        <v>32406.963501839335</v>
      </c>
      <c r="U65" s="41">
        <f t="shared" si="16"/>
        <v>21506.128093390838</v>
      </c>
      <c r="V65" s="41">
        <f t="shared" si="16"/>
        <v>13618.776587253791</v>
      </c>
      <c r="W65" s="41">
        <f t="shared" si="16"/>
        <v>8248.5046548253758</v>
      </c>
      <c r="X65" s="41">
        <f t="shared" si="16"/>
        <v>4837.8035252349982</v>
      </c>
      <c r="Y65" s="41"/>
      <c r="AA65" s="41">
        <f>SUM(E65:Y65)</f>
        <v>1141135.3086048858</v>
      </c>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row>
    <row r="66" spans="2:71">
      <c r="B66" s="9" t="str">
        <f t="shared" ref="B66:B76" si="17">C66&amp;D66</f>
        <v>Multifamily - Low RiseOccupancy sensing advanced power strip</v>
      </c>
      <c r="C66" s="9" t="str">
        <f>C14</f>
        <v>Multifamily - Low Rise</v>
      </c>
      <c r="D66" s="9" t="str">
        <f t="shared" ref="D66:D68" si="18">$D$31</f>
        <v>Occupancy sensing advanced power strip</v>
      </c>
      <c r="E66" s="41">
        <f t="shared" ref="E66" si="19">(E32+E49)*E$64*$AA$29</f>
        <v>471.79338727383191</v>
      </c>
      <c r="F66" s="41">
        <f t="shared" ref="F66:X66" si="20">(F49+F32)*F$64*$AA$29</f>
        <v>751.25857446720886</v>
      </c>
      <c r="G66" s="41">
        <f t="shared" si="20"/>
        <v>1521.0411814880053</v>
      </c>
      <c r="H66" s="41">
        <f t="shared" si="20"/>
        <v>2692.9706996169093</v>
      </c>
      <c r="I66" s="41">
        <f t="shared" si="20"/>
        <v>4233.1809845511616</v>
      </c>
      <c r="J66" s="41">
        <f t="shared" si="20"/>
        <v>5984.2135753196144</v>
      </c>
      <c r="K66" s="41">
        <f t="shared" si="20"/>
        <v>7681.4678751200181</v>
      </c>
      <c r="L66" s="41">
        <f t="shared" si="20"/>
        <v>9032.3958346576437</v>
      </c>
      <c r="M66" s="41">
        <f t="shared" si="20"/>
        <v>9801.8755651048596</v>
      </c>
      <c r="N66" s="41">
        <f t="shared" si="20"/>
        <v>9875.7955052927318</v>
      </c>
      <c r="O66" s="41">
        <f t="shared" si="20"/>
        <v>9286.1143266156832</v>
      </c>
      <c r="P66" s="41">
        <f t="shared" si="20"/>
        <v>8182.3334791786419</v>
      </c>
      <c r="Q66" s="41">
        <f t="shared" si="20"/>
        <v>6782.6713333327934</v>
      </c>
      <c r="R66" s="41">
        <f t="shared" si="20"/>
        <v>5308.2281212613143</v>
      </c>
      <c r="S66" s="41">
        <f t="shared" si="20"/>
        <v>3933.8077670360121</v>
      </c>
      <c r="T66" s="41">
        <f t="shared" si="20"/>
        <v>2763.7702840594134</v>
      </c>
      <c r="U66" s="41">
        <f t="shared" si="20"/>
        <v>1848.3787772065048</v>
      </c>
      <c r="V66" s="41">
        <f t="shared" si="20"/>
        <v>1179.5270340490174</v>
      </c>
      <c r="W66" s="41">
        <f t="shared" si="20"/>
        <v>719.7650301693925</v>
      </c>
      <c r="X66" s="41">
        <f t="shared" si="20"/>
        <v>424.54469062608467</v>
      </c>
      <c r="Y66" s="41"/>
      <c r="AA66" s="41">
        <f t="shared" ref="AA66:AA78" si="21">SUM(E66:Y66)</f>
        <v>92475.134026426866</v>
      </c>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row>
    <row r="67" spans="2:71">
      <c r="B67" s="9" t="str">
        <f t="shared" si="17"/>
        <v>Multifamily - High RiseOccupancy sensing advanced power strip</v>
      </c>
      <c r="C67" s="9" t="str">
        <f>C15</f>
        <v>Multifamily - High Rise</v>
      </c>
      <c r="D67" s="9" t="str">
        <f t="shared" si="18"/>
        <v>Occupancy sensing advanced power strip</v>
      </c>
      <c r="E67" s="41">
        <f t="shared" ref="E67" si="22">(E33+E50)*E$64*$AA$29</f>
        <v>107.56716936374416</v>
      </c>
      <c r="F67" s="41">
        <f t="shared" ref="F67:X67" si="23">(F50+F33)*F$64*$AA$29</f>
        <v>171.21958264846577</v>
      </c>
      <c r="G67" s="41">
        <f t="shared" si="23"/>
        <v>346.65015245601484</v>
      </c>
      <c r="H67" s="41">
        <f t="shared" si="23"/>
        <v>613.92962929778162</v>
      </c>
      <c r="I67" s="41">
        <f t="shared" si="23"/>
        <v>964.85439921382715</v>
      </c>
      <c r="J67" s="41">
        <f t="shared" si="23"/>
        <v>1363.1813727501471</v>
      </c>
      <c r="K67" s="41">
        <f t="shared" si="23"/>
        <v>1749.3531091508503</v>
      </c>
      <c r="L67" s="41">
        <f t="shared" si="23"/>
        <v>2056.6043209133227</v>
      </c>
      <c r="M67" s="41">
        <f t="shared" si="23"/>
        <v>2231.8581656468205</v>
      </c>
      <c r="N67" s="41">
        <f t="shared" si="23"/>
        <v>2248.4665634438807</v>
      </c>
      <c r="O67" s="41">
        <f t="shared" si="23"/>
        <v>2114.0017966830437</v>
      </c>
      <c r="P67" s="41">
        <f t="shared" si="23"/>
        <v>1862.1799192383539</v>
      </c>
      <c r="Q67" s="41">
        <f t="shared" si="23"/>
        <v>1543.1567937816899</v>
      </c>
      <c r="R67" s="41">
        <f t="shared" si="23"/>
        <v>1207.1780370120764</v>
      </c>
      <c r="S67" s="41">
        <f t="shared" si="23"/>
        <v>894.34317070887835</v>
      </c>
      <c r="T67" s="41">
        <f t="shared" si="23"/>
        <v>628.19483243889113</v>
      </c>
      <c r="U67" s="41">
        <f t="shared" si="23"/>
        <v>420.03384229566996</v>
      </c>
      <c r="V67" s="41">
        <f t="shared" si="23"/>
        <v>267.98602634776165</v>
      </c>
      <c r="W67" s="41">
        <f t="shared" si="23"/>
        <v>163.47445513107101</v>
      </c>
      <c r="X67" s="41">
        <f t="shared" si="23"/>
        <v>96.414107594934379</v>
      </c>
      <c r="Y67" s="41"/>
      <c r="AA67" s="41">
        <f t="shared" si="21"/>
        <v>21050.647446117222</v>
      </c>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row>
    <row r="68" spans="2:71">
      <c r="B68" s="9" t="str">
        <f t="shared" si="17"/>
        <v>ManufacturedOccupancy sensing advanced power strip</v>
      </c>
      <c r="C68" s="9" t="str">
        <f>C16</f>
        <v>Manufactured</v>
      </c>
      <c r="D68" s="9" t="str">
        <f t="shared" si="18"/>
        <v>Occupancy sensing advanced power strip</v>
      </c>
      <c r="E68" s="41">
        <f t="shared" ref="E68" si="24">(E34+E51)*E$64*$AA$29</f>
        <v>463.43810296078027</v>
      </c>
      <c r="F68" s="41">
        <f t="shared" ref="F68:X68" si="25">(F51+F34)*F$64*$AA$29</f>
        <v>716.12440663553957</v>
      </c>
      <c r="G68" s="41">
        <f t="shared" si="25"/>
        <v>1407.9732302692562</v>
      </c>
      <c r="H68" s="41">
        <f t="shared" si="25"/>
        <v>2422.4495587962774</v>
      </c>
      <c r="I68" s="41">
        <f t="shared" si="25"/>
        <v>3705.1841244119373</v>
      </c>
      <c r="J68" s="41">
        <f t="shared" si="25"/>
        <v>5104.727551505307</v>
      </c>
      <c r="K68" s="41">
        <f t="shared" si="25"/>
        <v>6393.0231477183479</v>
      </c>
      <c r="L68" s="41">
        <f t="shared" si="25"/>
        <v>7339.0171697570186</v>
      </c>
      <c r="M68" s="41">
        <f t="shared" si="25"/>
        <v>7776.6577041905639</v>
      </c>
      <c r="N68" s="41">
        <f t="shared" si="25"/>
        <v>7651.4956698490505</v>
      </c>
      <c r="O68" s="41">
        <f t="shared" si="25"/>
        <v>7026.0686907893469</v>
      </c>
      <c r="P68" s="41">
        <f t="shared" si="25"/>
        <v>6048.1040289666198</v>
      </c>
      <c r="Q68" s="41">
        <f t="shared" si="25"/>
        <v>4899.7788672703227</v>
      </c>
      <c r="R68" s="41">
        <f t="shared" si="25"/>
        <v>3748.8442810815309</v>
      </c>
      <c r="S68" s="41">
        <f t="shared" si="25"/>
        <v>2717.2455685438454</v>
      </c>
      <c r="T68" s="41">
        <f t="shared" si="25"/>
        <v>1867.1379316081147</v>
      </c>
      <c r="U68" s="41">
        <f t="shared" si="25"/>
        <v>1221.8493402893512</v>
      </c>
      <c r="V68" s="41">
        <f t="shared" si="25"/>
        <v>763.2047320825086</v>
      </c>
      <c r="W68" s="41">
        <f t="shared" si="25"/>
        <v>455.98219126987112</v>
      </c>
      <c r="X68" s="41">
        <f t="shared" si="25"/>
        <v>264.19200205198115</v>
      </c>
      <c r="Y68" s="41"/>
      <c r="AA68" s="41">
        <f t="shared" si="21"/>
        <v>71992.498300047562</v>
      </c>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row>
    <row r="69" spans="2:71">
      <c r="B69" s="9" t="str">
        <f t="shared" si="17"/>
        <v>Single FamilyInfrared sensing advanced power strip</v>
      </c>
      <c r="C69" s="9" t="str">
        <f>C65</f>
        <v>Single Family</v>
      </c>
      <c r="D69" s="9" t="str">
        <f>$D$35</f>
        <v>Infrared sensing advanced power strip</v>
      </c>
      <c r="E69" s="41">
        <f t="shared" ref="E69" si="26">(E35+E52)*E$64*$AA$29</f>
        <v>20296.845414628999</v>
      </c>
      <c r="F69" s="41">
        <f t="shared" ref="F69:X69" si="27">(F52+F35)*F$64*$AA$29</f>
        <v>34436.519946364257</v>
      </c>
      <c r="G69" s="41">
        <f t="shared" si="27"/>
        <v>72925.056579989177</v>
      </c>
      <c r="H69" s="41">
        <f t="shared" si="27"/>
        <v>133280.77993621401</v>
      </c>
      <c r="I69" s="41">
        <f t="shared" si="27"/>
        <v>239944.72353507843</v>
      </c>
      <c r="J69" s="41">
        <f t="shared" si="27"/>
        <v>341197.44086978649</v>
      </c>
      <c r="K69" s="41">
        <f t="shared" si="27"/>
        <v>440575.14785644435</v>
      </c>
      <c r="L69" s="41">
        <f t="shared" si="27"/>
        <v>521178.67720370996</v>
      </c>
      <c r="M69" s="41">
        <f t="shared" si="27"/>
        <v>568792.09081498452</v>
      </c>
      <c r="N69" s="41">
        <f t="shared" si="27"/>
        <v>575983.52338646806</v>
      </c>
      <c r="O69" s="41">
        <f t="shared" si="27"/>
        <v>544163.94540968665</v>
      </c>
      <c r="P69" s="41">
        <f t="shared" si="27"/>
        <v>481788.75654480723</v>
      </c>
      <c r="Q69" s="41">
        <f t="shared" si="27"/>
        <v>401222.56660876644</v>
      </c>
      <c r="R69" s="41">
        <f t="shared" si="27"/>
        <v>315373.56579458254</v>
      </c>
      <c r="S69" s="41">
        <f t="shared" si="27"/>
        <v>234793.92744982825</v>
      </c>
      <c r="T69" s="41">
        <f t="shared" si="27"/>
        <v>165837.09771920982</v>
      </c>
      <c r="U69" s="41">
        <f t="shared" si="27"/>
        <v>111537.60358123449</v>
      </c>
      <c r="V69" s="41">
        <f t="shared" si="27"/>
        <v>71576.305584013011</v>
      </c>
      <c r="W69" s="41">
        <f t="shared" si="27"/>
        <v>43930.81066816442</v>
      </c>
      <c r="X69" s="41">
        <f t="shared" si="27"/>
        <v>25838.925934968513</v>
      </c>
      <c r="Y69" s="41"/>
      <c r="AA69" s="41">
        <f>SUM(E69:Y69)</f>
        <v>5344674.3108389312</v>
      </c>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row>
    <row r="70" spans="2:71">
      <c r="B70" s="9" t="str">
        <f t="shared" si="17"/>
        <v>Multifamily - Low RiseInfrared sensing advanced power strip</v>
      </c>
      <c r="C70" s="9" t="str">
        <f t="shared" ref="C70:C76" si="28">C66</f>
        <v>Multifamily - Low Rise</v>
      </c>
      <c r="D70" s="9" t="str">
        <f t="shared" ref="D70:D72" si="29">$D$35</f>
        <v>Infrared sensing advanced power strip</v>
      </c>
      <c r="E70" s="41">
        <f t="shared" ref="E70" si="30">(E36+E53)*E$64*$AA$29</f>
        <v>2174.2989114335787</v>
      </c>
      <c r="F70" s="41">
        <f t="shared" ref="F70:X70" si="31">(F53+F36)*F$64*$AA$29</f>
        <v>3718.7133109578608</v>
      </c>
      <c r="G70" s="41">
        <f t="shared" si="31"/>
        <v>7936.9936200187194</v>
      </c>
      <c r="H70" s="41">
        <f t="shared" si="31"/>
        <v>14622.950237610758</v>
      </c>
      <c r="I70" s="41">
        <f t="shared" si="31"/>
        <v>26460.33439978911</v>
      </c>
      <c r="J70" s="41">
        <f t="shared" si="31"/>
        <v>37883.805277412306</v>
      </c>
      <c r="K70" s="41">
        <f t="shared" si="31"/>
        <v>49236.598645920873</v>
      </c>
      <c r="L70" s="41">
        <f t="shared" si="31"/>
        <v>58620.168568292182</v>
      </c>
      <c r="M70" s="41">
        <f t="shared" si="31"/>
        <v>64398.393316676804</v>
      </c>
      <c r="N70" s="41">
        <f t="shared" si="31"/>
        <v>65663.873280591491</v>
      </c>
      <c r="O70" s="41">
        <f t="shared" si="31"/>
        <v>62468.68647211296</v>
      </c>
      <c r="P70" s="41">
        <f t="shared" si="31"/>
        <v>55680.912618269504</v>
      </c>
      <c r="Q70" s="41">
        <f t="shared" si="31"/>
        <v>46679.048386740229</v>
      </c>
      <c r="R70" s="41">
        <f t="shared" si="31"/>
        <v>36939.113852322465</v>
      </c>
      <c r="S70" s="41">
        <f t="shared" si="31"/>
        <v>27676.827711465619</v>
      </c>
      <c r="T70" s="41">
        <f t="shared" si="31"/>
        <v>19666.932796337474</v>
      </c>
      <c r="U70" s="41">
        <f t="shared" si="31"/>
        <v>13302.384822864298</v>
      </c>
      <c r="V70" s="41">
        <f t="shared" si="31"/>
        <v>8584.2435023877933</v>
      </c>
      <c r="W70" s="41">
        <f t="shared" si="31"/>
        <v>5296.7622171274561</v>
      </c>
      <c r="X70" s="41">
        <f t="shared" si="31"/>
        <v>3130.826205369719</v>
      </c>
      <c r="Y70" s="41"/>
      <c r="AA70" s="41">
        <f t="shared" ref="AA70:AA72" si="32">SUM(E70:Y70)</f>
        <v>610141.86815370119</v>
      </c>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row>
    <row r="71" spans="2:71">
      <c r="B71" s="9" t="str">
        <f t="shared" si="17"/>
        <v>Multifamily - High RiseInfrared sensing advanced power strip</v>
      </c>
      <c r="C71" s="9" t="str">
        <f t="shared" si="28"/>
        <v>Multifamily - High Rise</v>
      </c>
      <c r="D71" s="9" t="str">
        <f t="shared" si="29"/>
        <v>Infrared sensing advanced power strip</v>
      </c>
      <c r="E71" s="41">
        <f t="shared" ref="E71" si="33">(E37+E54)*E$64*$AA$29</f>
        <v>495.73221151960104</v>
      </c>
      <c r="F71" s="41">
        <f t="shared" ref="F71:X71" si="34">(F54+F37)*F$64*$AA$29</f>
        <v>847.53314335621064</v>
      </c>
      <c r="G71" s="41">
        <f t="shared" si="34"/>
        <v>1808.9008218479657</v>
      </c>
      <c r="H71" s="41">
        <f t="shared" si="34"/>
        <v>3333.7814025984858</v>
      </c>
      <c r="I71" s="41">
        <f t="shared" si="34"/>
        <v>6031.2518204237331</v>
      </c>
      <c r="J71" s="41">
        <f t="shared" si="34"/>
        <v>8630.0888345744388</v>
      </c>
      <c r="K71" s="41">
        <f t="shared" si="34"/>
        <v>11213.44527512624</v>
      </c>
      <c r="L71" s="41">
        <f t="shared" si="34"/>
        <v>13348.020841790694</v>
      </c>
      <c r="M71" s="41">
        <f t="shared" si="34"/>
        <v>14664.293492771707</v>
      </c>
      <c r="N71" s="41">
        <f t="shared" si="34"/>
        <v>14951.156571622641</v>
      </c>
      <c r="O71" s="41">
        <f t="shared" si="34"/>
        <v>14222.405248714616</v>
      </c>
      <c r="P71" s="41">
        <f t="shared" si="34"/>
        <v>12673.417779538131</v>
      </c>
      <c r="Q71" s="41">
        <f t="shared" si="34"/>
        <v>10621.319637840648</v>
      </c>
      <c r="R71" s="41">
        <f t="shared" si="34"/>
        <v>8401.5435089052917</v>
      </c>
      <c r="S71" s="41">
        <f t="shared" si="34"/>
        <v>6293.1060042165745</v>
      </c>
      <c r="T71" s="41">
        <f t="shared" si="34"/>
        <v>4470.9126413926624</v>
      </c>
      <c r="U71" s="41">
        <f t="shared" si="34"/>
        <v>3023.4304375781471</v>
      </c>
      <c r="V71" s="41">
        <f t="shared" si="34"/>
        <v>1950.7175277981146</v>
      </c>
      <c r="W71" s="41">
        <f t="shared" si="34"/>
        <v>1203.2795577909483</v>
      </c>
      <c r="X71" s="41">
        <f t="shared" si="34"/>
        <v>711.16842951737772</v>
      </c>
      <c r="Y71" s="41"/>
      <c r="AA71" s="41">
        <f t="shared" si="32"/>
        <v>138895.50518892423</v>
      </c>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row>
    <row r="72" spans="2:71">
      <c r="B72" s="9" t="str">
        <f t="shared" si="17"/>
        <v>ManufacturedInfrared sensing advanced power strip</v>
      </c>
      <c r="C72" s="9" t="str">
        <f t="shared" si="28"/>
        <v>Manufactured</v>
      </c>
      <c r="D72" s="9" t="str">
        <f t="shared" si="29"/>
        <v>Infrared sensing advanced power strip</v>
      </c>
      <c r="E72" s="41">
        <f t="shared" ref="E72" si="35">(E38+E55)*E$64*$AA$29</f>
        <v>1813.4568261206966</v>
      </c>
      <c r="F72" s="41">
        <f t="shared" ref="F72:X72" si="36">(F55+F38)*F$64*$AA$29</f>
        <v>3009.8150934106534</v>
      </c>
      <c r="G72" s="41">
        <f t="shared" si="36"/>
        <v>6245.0413021167087</v>
      </c>
      <c r="H72" s="41">
        <f t="shared" si="36"/>
        <v>11198.984684659221</v>
      </c>
      <c r="I72" s="41">
        <f t="shared" si="36"/>
        <v>19874.201929704275</v>
      </c>
      <c r="J72" s="41">
        <f t="shared" si="36"/>
        <v>27752.212254380745</v>
      </c>
      <c r="K72" s="41">
        <f t="shared" si="36"/>
        <v>35224.31768569017</v>
      </c>
      <c r="L72" s="41">
        <f t="shared" si="36"/>
        <v>40989.679031912987</v>
      </c>
      <c r="M72" s="41">
        <f t="shared" si="36"/>
        <v>44027.059318807922</v>
      </c>
      <c r="N72" s="41">
        <f t="shared" si="36"/>
        <v>43902.158251100125</v>
      </c>
      <c r="O72" s="41">
        <f t="shared" si="36"/>
        <v>40851.035068680903</v>
      </c>
      <c r="P72" s="41">
        <f t="shared" si="36"/>
        <v>35632.609285771265</v>
      </c>
      <c r="Q72" s="41">
        <f t="shared" si="36"/>
        <v>29247.095569382462</v>
      </c>
      <c r="R72" s="41">
        <f t="shared" si="36"/>
        <v>22670.135440618589</v>
      </c>
      <c r="S72" s="41">
        <f t="shared" si="36"/>
        <v>16647.13455259422</v>
      </c>
      <c r="T72" s="41">
        <f t="shared" si="36"/>
        <v>11596.515119201151</v>
      </c>
      <c r="U72" s="41">
        <f t="shared" si="36"/>
        <v>7693.7742268020838</v>
      </c>
      <c r="V72" s="41">
        <f t="shared" si="36"/>
        <v>4872.2903668672179</v>
      </c>
      <c r="W72" s="41">
        <f t="shared" si="36"/>
        <v>2951.4003130192614</v>
      </c>
      <c r="X72" s="41">
        <f t="shared" si="36"/>
        <v>1713.4030546254376</v>
      </c>
      <c r="Y72" s="41"/>
      <c r="AA72" s="41">
        <f t="shared" si="32"/>
        <v>407912.31937546621</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row>
    <row r="73" spans="2:71">
      <c r="B73" s="9" t="str">
        <f t="shared" si="17"/>
        <v>Single FamilyLoad sensing advanced power strip</v>
      </c>
      <c r="C73" s="9" t="str">
        <f>C69</f>
        <v>Single Family</v>
      </c>
      <c r="D73" s="9" t="str">
        <f>$D$39</f>
        <v>Load sensing advanced power strip</v>
      </c>
      <c r="E73" s="41">
        <f t="shared" ref="E73" si="37">(E39+E56)*E$64*$AA$29</f>
        <v>25090.472892157402</v>
      </c>
      <c r="F73" s="41">
        <f t="shared" ref="F73:X73" si="38">(F56+F39)*F$64*$AA$29</f>
        <v>41296.370685793969</v>
      </c>
      <c r="G73" s="41">
        <f t="shared" si="38"/>
        <v>85558.887322108043</v>
      </c>
      <c r="H73" s="41">
        <f t="shared" si="38"/>
        <v>153848.47774597927</v>
      </c>
      <c r="I73" s="41">
        <f t="shared" si="38"/>
        <v>262578.36234368302</v>
      </c>
      <c r="J73" s="41">
        <f t="shared" si="38"/>
        <v>371520.37778127933</v>
      </c>
      <c r="K73" s="41">
        <f t="shared" si="38"/>
        <v>477407.35656198557</v>
      </c>
      <c r="L73" s="41">
        <f t="shared" si="38"/>
        <v>562035.98124952603</v>
      </c>
      <c r="M73" s="41">
        <f t="shared" si="38"/>
        <v>610494.42092431244</v>
      </c>
      <c r="N73" s="41">
        <f t="shared" si="38"/>
        <v>615391.16696987452</v>
      </c>
      <c r="O73" s="41">
        <f t="shared" si="38"/>
        <v>578807.4405793515</v>
      </c>
      <c r="P73" s="41">
        <f t="shared" si="38"/>
        <v>510222.19245590904</v>
      </c>
      <c r="Q73" s="41">
        <f t="shared" si="38"/>
        <v>423093.70596054097</v>
      </c>
      <c r="R73" s="41">
        <f t="shared" si="38"/>
        <v>331180.60188158177</v>
      </c>
      <c r="S73" s="41">
        <f t="shared" si="38"/>
        <v>245549.52508108196</v>
      </c>
      <c r="T73" s="41">
        <f t="shared" si="38"/>
        <v>172697.98450025689</v>
      </c>
      <c r="U73" s="41">
        <f t="shared" si="38"/>
        <v>115663.74944950285</v>
      </c>
      <c r="V73" s="41">
        <f t="shared" si="38"/>
        <v>73917.012345208233</v>
      </c>
      <c r="W73" s="41">
        <f t="shared" si="38"/>
        <v>45181.579358866264</v>
      </c>
      <c r="X73" s="41">
        <f t="shared" si="38"/>
        <v>26551.434584064373</v>
      </c>
      <c r="Y73" s="41"/>
      <c r="AA73" s="41">
        <f>SUM(E73:Y73)</f>
        <v>5728087.1006730637</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row>
    <row r="74" spans="2:71">
      <c r="B74" s="9" t="str">
        <f t="shared" si="17"/>
        <v>Multifamily - Low RiseLoad sensing advanced power strip</v>
      </c>
      <c r="C74" s="9" t="str">
        <f t="shared" si="28"/>
        <v>Multifamily - Low Rise</v>
      </c>
      <c r="D74" s="9" t="str">
        <f t="shared" ref="D74:D76" si="39">$D$39</f>
        <v>Load sensing advanced power strip</v>
      </c>
      <c r="E74" s="41">
        <f t="shared" ref="E74" si="40">(E40+E57)*E$64*$AA$29</f>
        <v>2446.2511789347959</v>
      </c>
      <c r="F74" s="41">
        <f t="shared" ref="F74:X74" si="41">(F57+F40)*F$64*$AA$29</f>
        <v>4061.125193030146</v>
      </c>
      <c r="G74" s="41">
        <f t="shared" si="41"/>
        <v>8486.1309444188555</v>
      </c>
      <c r="H74" s="41">
        <f t="shared" si="41"/>
        <v>15393.52825499573</v>
      </c>
      <c r="I74" s="41">
        <f t="shared" si="41"/>
        <v>26444.043609104847</v>
      </c>
      <c r="J74" s="41">
        <f t="shared" si="41"/>
        <v>37691.761556703081</v>
      </c>
      <c r="K74" s="41">
        <f t="shared" si="41"/>
        <v>48775.198834655006</v>
      </c>
      <c r="L74" s="41">
        <f t="shared" si="41"/>
        <v>57821.641597778878</v>
      </c>
      <c r="M74" s="41">
        <f t="shared" si="41"/>
        <v>63254.689594489268</v>
      </c>
      <c r="N74" s="41">
        <f t="shared" si="41"/>
        <v>64235.979112229565</v>
      </c>
      <c r="O74" s="41">
        <f t="shared" si="41"/>
        <v>60869.652666494956</v>
      </c>
      <c r="P74" s="41">
        <f t="shared" si="41"/>
        <v>54046.681332420965</v>
      </c>
      <c r="Q74" s="41">
        <f t="shared" si="41"/>
        <v>45139.605363829876</v>
      </c>
      <c r="R74" s="41">
        <f t="shared" si="41"/>
        <v>35590.381130363152</v>
      </c>
      <c r="S74" s="41">
        <f t="shared" si="41"/>
        <v>26570.564842521639</v>
      </c>
      <c r="T74" s="41">
        <f t="shared" si="41"/>
        <v>18811.23843394373</v>
      </c>
      <c r="U74" s="41">
        <f t="shared" si="41"/>
        <v>12677.327190152007</v>
      </c>
      <c r="V74" s="41">
        <f t="shared" si="41"/>
        <v>8151.6425788122815</v>
      </c>
      <c r="W74" s="41">
        <f t="shared" si="41"/>
        <v>5012.1005711923735</v>
      </c>
      <c r="X74" s="41">
        <f t="shared" si="41"/>
        <v>2960.5914729122155</v>
      </c>
      <c r="Y74" s="41"/>
      <c r="AA74" s="41">
        <f t="shared" ref="AA74:AA76" si="42">SUM(E74:Y74)</f>
        <v>598440.13545898336</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row>
    <row r="75" spans="2:71">
      <c r="B75" s="9" t="str">
        <f t="shared" si="17"/>
        <v>Multifamily - High RiseLoad sensing advanced power strip</v>
      </c>
      <c r="C75" s="9" t="str">
        <f t="shared" si="28"/>
        <v>Multifamily - High Rise</v>
      </c>
      <c r="D75" s="9" t="str">
        <f t="shared" si="39"/>
        <v>Load sensing advanced power strip</v>
      </c>
      <c r="E75" s="41">
        <f t="shared" ref="E75" si="43">(E41+E58)*E$64*$AA$29</f>
        <v>557.73633537176306</v>
      </c>
      <c r="F75" s="41">
        <f t="shared" ref="F75:X75" si="44">(F58+F41)*F$64*$AA$29</f>
        <v>925.57234521672956</v>
      </c>
      <c r="G75" s="41">
        <f t="shared" si="44"/>
        <v>1934.0387564480964</v>
      </c>
      <c r="H75" s="41">
        <f t="shared" si="44"/>
        <v>3509.4127214229593</v>
      </c>
      <c r="I75" s="41">
        <f t="shared" si="44"/>
        <v>6027.4543668166207</v>
      </c>
      <c r="J75" s="41">
        <f t="shared" si="44"/>
        <v>8586.2358789705995</v>
      </c>
      <c r="K75" s="41">
        <f t="shared" si="44"/>
        <v>11108.20549209708</v>
      </c>
      <c r="L75" s="41">
        <f t="shared" si="44"/>
        <v>13165.963367258179</v>
      </c>
      <c r="M75" s="41">
        <f t="shared" si="44"/>
        <v>14403.533039217007</v>
      </c>
      <c r="N75" s="41">
        <f t="shared" si="44"/>
        <v>14625.648551262051</v>
      </c>
      <c r="O75" s="41">
        <f t="shared" si="44"/>
        <v>13857.926790443649</v>
      </c>
      <c r="P75" s="41">
        <f t="shared" si="44"/>
        <v>12301.047739293233</v>
      </c>
      <c r="Q75" s="41">
        <f t="shared" si="44"/>
        <v>10270.665954834416</v>
      </c>
      <c r="R75" s="41">
        <f t="shared" si="44"/>
        <v>8094.4719267847177</v>
      </c>
      <c r="S75" s="41">
        <f t="shared" si="44"/>
        <v>6041.3040931842979</v>
      </c>
      <c r="T75" s="41">
        <f t="shared" si="44"/>
        <v>4276.1722556851109</v>
      </c>
      <c r="U75" s="41">
        <f t="shared" si="44"/>
        <v>2881.1997419870845</v>
      </c>
      <c r="V75" s="41">
        <f t="shared" si="44"/>
        <v>1852.29168828299</v>
      </c>
      <c r="W75" s="41">
        <f t="shared" si="44"/>
        <v>1138.531776591755</v>
      </c>
      <c r="X75" s="41">
        <f t="shared" si="44"/>
        <v>672.4523793420534</v>
      </c>
      <c r="Y75" s="41"/>
      <c r="AA75" s="41">
        <f t="shared" si="42"/>
        <v>136229.86520051042</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row>
    <row r="76" spans="2:71">
      <c r="B76" s="9" t="str">
        <f t="shared" si="17"/>
        <v>ManufacturedLoad sensing advanced power strip</v>
      </c>
      <c r="C76" s="9" t="str">
        <f t="shared" si="28"/>
        <v>Manufactured</v>
      </c>
      <c r="D76" s="9" t="str">
        <f t="shared" si="39"/>
        <v>Load sensing advanced power strip</v>
      </c>
      <c r="E76" s="41">
        <f>(E42+E59)*E$64*$AA$29</f>
        <v>2122.5125424772823</v>
      </c>
      <c r="F76" s="41">
        <f t="shared" ref="F76:X76" si="45">(F59+F42)*F$64*$AA$29</f>
        <v>3419.4380526106661</v>
      </c>
      <c r="G76" s="41">
        <f t="shared" si="45"/>
        <v>6943.2291467415262</v>
      </c>
      <c r="H76" s="41">
        <f t="shared" si="45"/>
        <v>12251.554152921322</v>
      </c>
      <c r="I76" s="41">
        <f t="shared" si="45"/>
        <v>20585.632279916939</v>
      </c>
      <c r="J76" s="41">
        <f t="shared" si="45"/>
        <v>28610.93403009334</v>
      </c>
      <c r="K76" s="41">
        <f t="shared" si="45"/>
        <v>36146.515207343626</v>
      </c>
      <c r="L76" s="41">
        <f t="shared" si="45"/>
        <v>41867.298801506782</v>
      </c>
      <c r="M76" s="41">
        <f t="shared" si="45"/>
        <v>44762.894796561617</v>
      </c>
      <c r="N76" s="41">
        <f t="shared" si="45"/>
        <v>44435.104416113398</v>
      </c>
      <c r="O76" s="41">
        <f t="shared" si="45"/>
        <v>41164.524118241156</v>
      </c>
      <c r="P76" s="41">
        <f t="shared" si="45"/>
        <v>35749.394425232756</v>
      </c>
      <c r="Q76" s="41">
        <f t="shared" si="45"/>
        <v>29217.369888276957</v>
      </c>
      <c r="R76" s="41">
        <f t="shared" si="45"/>
        <v>22551.478018692025</v>
      </c>
      <c r="S76" s="41">
        <f t="shared" si="45"/>
        <v>16490.65476186149</v>
      </c>
      <c r="T76" s="41">
        <f t="shared" si="45"/>
        <v>11437.426494849875</v>
      </c>
      <c r="U76" s="41">
        <f t="shared" si="45"/>
        <v>7555.2836835819189</v>
      </c>
      <c r="V76" s="41">
        <f t="shared" si="45"/>
        <v>4764.0119498177592</v>
      </c>
      <c r="W76" s="41">
        <f t="shared" si="45"/>
        <v>2873.4805196591492</v>
      </c>
      <c r="X76" s="41">
        <f t="shared" si="45"/>
        <v>1667.1480766985358</v>
      </c>
      <c r="Y76" s="41"/>
      <c r="AA76" s="41">
        <f t="shared" si="42"/>
        <v>414615.88536319823</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row>
    <row r="77" spans="2:71">
      <c r="E77" s="41"/>
      <c r="F77" s="41"/>
      <c r="G77" s="41"/>
      <c r="H77" s="41"/>
      <c r="I77" s="41"/>
      <c r="J77" s="41"/>
      <c r="K77" s="41"/>
      <c r="L77" s="41"/>
      <c r="M77" s="41"/>
      <c r="N77" s="41"/>
      <c r="O77" s="41"/>
      <c r="P77" s="41"/>
      <c r="Q77" s="41"/>
      <c r="R77" s="41"/>
      <c r="S77" s="41"/>
      <c r="T77" s="41"/>
      <c r="U77" s="41"/>
      <c r="V77" s="41"/>
      <c r="W77" s="41"/>
      <c r="X77" s="41"/>
      <c r="Y77" s="41"/>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row>
    <row r="78" spans="2:71">
      <c r="C78" s="9" t="s">
        <v>63</v>
      </c>
      <c r="E78" s="41">
        <f>SUM(E65:E76)</f>
        <v>62362.129037824641</v>
      </c>
      <c r="F78" s="41">
        <f t="shared" ref="F78:X78" si="46">SUM(F65:F76)</f>
        <v>103319.99746725184</v>
      </c>
      <c r="G78" s="41">
        <f t="shared" si="46"/>
        <v>215088.74185584104</v>
      </c>
      <c r="H78" s="41">
        <f t="shared" si="46"/>
        <v>388168.2654207563</v>
      </c>
      <c r="I78" s="41">
        <f t="shared" si="46"/>
        <v>671327.90289191669</v>
      </c>
      <c r="J78" s="41">
        <f t="shared" si="46"/>
        <v>950673.76937308465</v>
      </c>
      <c r="K78" s="41">
        <f t="shared" si="46"/>
        <v>1222703.3800793281</v>
      </c>
      <c r="L78" s="41">
        <f t="shared" si="46"/>
        <v>1440804.5900519702</v>
      </c>
      <c r="M78" s="41">
        <f t="shared" si="46"/>
        <v>1566584.9096645096</v>
      </c>
      <c r="N78" s="41">
        <f t="shared" si="46"/>
        <v>1580797.620770328</v>
      </c>
      <c r="O78" s="41">
        <f t="shared" si="46"/>
        <v>1488390.109425083</v>
      </c>
      <c r="P78" s="41">
        <f t="shared" si="46"/>
        <v>1313393.9821780703</v>
      </c>
      <c r="Q78" s="41">
        <f t="shared" si="46"/>
        <v>1090256.863856111</v>
      </c>
      <c r="R78" s="41">
        <f t="shared" si="46"/>
        <v>854334.53878331173</v>
      </c>
      <c r="S78" s="41">
        <f t="shared" si="46"/>
        <v>634109.70237742504</v>
      </c>
      <c r="T78" s="41">
        <f t="shared" si="46"/>
        <v>446460.34651082242</v>
      </c>
      <c r="U78" s="41">
        <f t="shared" si="46"/>
        <v>299331.14318688528</v>
      </c>
      <c r="V78" s="41">
        <f t="shared" si="46"/>
        <v>191498.00992292049</v>
      </c>
      <c r="W78" s="41">
        <f t="shared" si="46"/>
        <v>117175.67131380734</v>
      </c>
      <c r="X78" s="41">
        <f t="shared" si="46"/>
        <v>68868.904463006213</v>
      </c>
      <c r="Y78" s="41"/>
      <c r="AA78" s="41">
        <f t="shared" si="21"/>
        <v>14705650.578630254</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row>
    <row r="79" spans="2:71">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row>
    <row r="80" spans="2:71">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row>
    <row r="81" spans="1:80">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row>
    <row r="82" spans="1:80" ht="15">
      <c r="A82" s="62" t="s">
        <v>64</v>
      </c>
      <c r="C82" s="71" t="str">
        <f>C8</f>
        <v>Advanced Power Strips</v>
      </c>
      <c r="D82" s="71"/>
      <c r="E82" s="9" t="s">
        <v>899</v>
      </c>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ht="15">
      <c r="A83" s="71" t="s">
        <v>65</v>
      </c>
      <c r="B83" s="71" t="str">
        <f>M_Input!K23</f>
        <v>Conservation Load Shapes</v>
      </c>
      <c r="C83" s="71">
        <v>1</v>
      </c>
      <c r="D83" s="71"/>
      <c r="E83" s="65">
        <f t="shared" ref="E83:X83" si="47">E11</f>
        <v>2016</v>
      </c>
      <c r="F83" s="66">
        <f t="shared" si="47"/>
        <v>2017</v>
      </c>
      <c r="G83" s="66">
        <f t="shared" si="47"/>
        <v>2018</v>
      </c>
      <c r="H83" s="66">
        <f t="shared" si="47"/>
        <v>2019</v>
      </c>
      <c r="I83" s="66">
        <f t="shared" si="47"/>
        <v>2020</v>
      </c>
      <c r="J83" s="66">
        <f t="shared" si="47"/>
        <v>2021</v>
      </c>
      <c r="K83" s="66">
        <f t="shared" si="47"/>
        <v>2022</v>
      </c>
      <c r="L83" s="66">
        <f t="shared" si="47"/>
        <v>2023</v>
      </c>
      <c r="M83" s="66">
        <f t="shared" si="47"/>
        <v>2024</v>
      </c>
      <c r="N83" s="66">
        <f t="shared" si="47"/>
        <v>2025</v>
      </c>
      <c r="O83" s="66">
        <f t="shared" si="47"/>
        <v>2026</v>
      </c>
      <c r="P83" s="66">
        <f t="shared" si="47"/>
        <v>2027</v>
      </c>
      <c r="Q83" s="66">
        <f t="shared" si="47"/>
        <v>2028</v>
      </c>
      <c r="R83" s="66">
        <f t="shared" si="47"/>
        <v>2029</v>
      </c>
      <c r="S83" s="66">
        <f t="shared" si="47"/>
        <v>2030</v>
      </c>
      <c r="T83" s="66">
        <f t="shared" si="47"/>
        <v>2031</v>
      </c>
      <c r="U83" s="66">
        <f t="shared" si="47"/>
        <v>2032</v>
      </c>
      <c r="V83" s="66">
        <f t="shared" si="47"/>
        <v>2033</v>
      </c>
      <c r="W83" s="66">
        <f t="shared" si="47"/>
        <v>2034</v>
      </c>
      <c r="X83" s="66">
        <f t="shared" si="47"/>
        <v>2035</v>
      </c>
      <c r="Y83" s="67" t="s">
        <v>61</v>
      </c>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ht="15">
      <c r="A84" s="545" t="s">
        <v>46</v>
      </c>
      <c r="B84" s="71" t="s">
        <v>66</v>
      </c>
      <c r="C84" s="71" t="s">
        <v>67</v>
      </c>
      <c r="D84" s="71" t="s">
        <v>68</v>
      </c>
      <c r="E84" s="68" t="str">
        <f>CONCATENATE("aMW_",E$11)</f>
        <v>aMW_2016</v>
      </c>
      <c r="F84" s="69" t="str">
        <f t="shared" ref="F84:X84" si="48">CONCATENATE("aMW_",F$11)</f>
        <v>aMW_2017</v>
      </c>
      <c r="G84" s="69" t="str">
        <f t="shared" si="48"/>
        <v>aMW_2018</v>
      </c>
      <c r="H84" s="69" t="str">
        <f t="shared" si="48"/>
        <v>aMW_2019</v>
      </c>
      <c r="I84" s="69" t="str">
        <f t="shared" si="48"/>
        <v>aMW_2020</v>
      </c>
      <c r="J84" s="69" t="str">
        <f t="shared" si="48"/>
        <v>aMW_2021</v>
      </c>
      <c r="K84" s="69" t="str">
        <f t="shared" si="48"/>
        <v>aMW_2022</v>
      </c>
      <c r="L84" s="69" t="str">
        <f t="shared" si="48"/>
        <v>aMW_2023</v>
      </c>
      <c r="M84" s="69" t="str">
        <f t="shared" si="48"/>
        <v>aMW_2024</v>
      </c>
      <c r="N84" s="69" t="str">
        <f t="shared" si="48"/>
        <v>aMW_2025</v>
      </c>
      <c r="O84" s="69" t="str">
        <f t="shared" si="48"/>
        <v>aMW_2026</v>
      </c>
      <c r="P84" s="69" t="str">
        <f t="shared" si="48"/>
        <v>aMW_2027</v>
      </c>
      <c r="Q84" s="69" t="str">
        <f t="shared" si="48"/>
        <v>aMW_2028</v>
      </c>
      <c r="R84" s="69" t="str">
        <f t="shared" si="48"/>
        <v>aMW_2029</v>
      </c>
      <c r="S84" s="69" t="str">
        <f t="shared" si="48"/>
        <v>aMW_2030</v>
      </c>
      <c r="T84" s="69" t="str">
        <f t="shared" si="48"/>
        <v>aMW_2031</v>
      </c>
      <c r="U84" s="69" t="str">
        <f t="shared" si="48"/>
        <v>aMW_2032</v>
      </c>
      <c r="V84" s="69" t="str">
        <f t="shared" si="48"/>
        <v>aMW_2033</v>
      </c>
      <c r="W84" s="69" t="str">
        <f t="shared" si="48"/>
        <v>aMW_2034</v>
      </c>
      <c r="X84" s="69" t="str">
        <f t="shared" si="48"/>
        <v>aMW_2035</v>
      </c>
      <c r="Y84" s="70" t="s">
        <v>61</v>
      </c>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A85" s="76">
        <f t="shared" ref="A85:A96" si="49">VLOOKUP($D85,MeasureOutput,3,FALSE)</f>
        <v>42.910133077431247</v>
      </c>
      <c r="B85" s="76">
        <f t="shared" ref="B85:B96" si="50">VLOOKUP($D85,MeasureOutput,11,FALSE)</f>
        <v>-8.9100081856585778</v>
      </c>
      <c r="C85" s="9" t="str">
        <f>C48</f>
        <v>Single Family</v>
      </c>
      <c r="D85" s="9" t="str">
        <f>$D$31</f>
        <v>Occupancy sensing advanced power strip</v>
      </c>
      <c r="E85" s="54">
        <f>VLOOKUP($C85&amp;$D85,$B$65:$Y$76,E$30+1,FALSE)*$C$83*$A85/8760/1000</f>
        <v>3.0967910270873644E-2</v>
      </c>
      <c r="F85" s="54">
        <f t="shared" ref="F85:U96" si="51">VLOOKUP($C85&amp;$D85,$B$65:$Y$76,F$30+1,FALSE)*$C$83*$A85/8760/1000</f>
        <v>4.8819128465444034E-2</v>
      </c>
      <c r="G85" s="54">
        <f t="shared" si="51"/>
        <v>9.7844894362381238E-2</v>
      </c>
      <c r="H85" s="54">
        <f t="shared" si="51"/>
        <v>0.17144188384890399</v>
      </c>
      <c r="I85" s="54">
        <f t="shared" si="51"/>
        <v>0.26685928881624715</v>
      </c>
      <c r="J85" s="54">
        <f t="shared" si="51"/>
        <v>0.37398821414943723</v>
      </c>
      <c r="K85" s="54">
        <f t="shared" si="51"/>
        <v>0.47609062252441564</v>
      </c>
      <c r="L85" s="54">
        <f t="shared" si="51"/>
        <v>0.55523136646302351</v>
      </c>
      <c r="M85" s="54">
        <f t="shared" si="51"/>
        <v>0.59749491274041788</v>
      </c>
      <c r="N85" s="54">
        <f t="shared" si="51"/>
        <v>0.59679007736399803</v>
      </c>
      <c r="O85" s="54">
        <f t="shared" si="51"/>
        <v>0.55625594969946912</v>
      </c>
      <c r="P85" s="54">
        <f t="shared" si="51"/>
        <v>0.48595408571705895</v>
      </c>
      <c r="Q85" s="54">
        <f t="shared" si="51"/>
        <v>0.39941633334458776</v>
      </c>
      <c r="R85" s="54">
        <f t="shared" si="51"/>
        <v>0.30991793058664791</v>
      </c>
      <c r="S85" s="54">
        <f t="shared" si="51"/>
        <v>0.22778257007341929</v>
      </c>
      <c r="T85" s="54">
        <f t="shared" si="51"/>
        <v>0.15874282151819444</v>
      </c>
      <c r="U85" s="54">
        <f t="shared" si="51"/>
        <v>0.10534598384334287</v>
      </c>
      <c r="V85" s="54">
        <f t="shared" ref="V85:X96" si="52">VLOOKUP($C85&amp;$D85,$B$65:$Y$76,V$30+1,FALSE)*$C$83*$A85/8760/1000</f>
        <v>6.6710446998957215E-2</v>
      </c>
      <c r="W85" s="54">
        <f t="shared" si="52"/>
        <v>4.0404615574014605E-2</v>
      </c>
      <c r="X85" s="54">
        <f t="shared" si="52"/>
        <v>2.369757911761413E-2</v>
      </c>
      <c r="Y85" s="54">
        <f>(VLOOKUP($C85&amp;$D85,$Z$31:$AA$42,2,FALSE)+VLOOKUP($C85&amp;$D85,$Z$48:$AA$59,2,FALSE))*$C$83*$A85/8760/1000</f>
        <v>5.5012267034022564</v>
      </c>
      <c r="Z85" s="54"/>
      <c r="AA85" s="36">
        <f>SUM(E85:X85)</f>
        <v>5.5897566154784482</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A86" s="76">
        <f t="shared" si="49"/>
        <v>42.910133077431247</v>
      </c>
      <c r="B86" s="76">
        <f t="shared" si="50"/>
        <v>-8.9100081856585778</v>
      </c>
      <c r="C86" s="9" t="str">
        <f t="shared" ref="C86:C96" si="53">C49</f>
        <v>Multifamily - Low Rise</v>
      </c>
      <c r="D86" s="9" t="str">
        <f t="shared" ref="D86:D88" si="54">$D$31</f>
        <v>Occupancy sensing advanced power strip</v>
      </c>
      <c r="E86" s="54">
        <f t="shared" ref="E86:E96" si="55">VLOOKUP($C86&amp;$D86,$B$65:$Y$76,E$30+1,FALSE)*$C$83*$A86/8760/1000</f>
        <v>2.3110407571886055E-3</v>
      </c>
      <c r="F86" s="54">
        <f t="shared" si="51"/>
        <v>3.679977786067263E-3</v>
      </c>
      <c r="G86" s="54">
        <f t="shared" si="51"/>
        <v>7.4506940084364797E-3</v>
      </c>
      <c r="H86" s="54">
        <f t="shared" si="51"/>
        <v>1.3191293503902364E-2</v>
      </c>
      <c r="I86" s="54">
        <f t="shared" si="51"/>
        <v>2.0735885774879198E-2</v>
      </c>
      <c r="J86" s="54">
        <f t="shared" si="51"/>
        <v>2.9313173616522293E-2</v>
      </c>
      <c r="K86" s="54">
        <f t="shared" si="51"/>
        <v>3.7627032962490072E-2</v>
      </c>
      <c r="L86" s="54">
        <f t="shared" si="51"/>
        <v>4.4244441469542831E-2</v>
      </c>
      <c r="M86" s="54">
        <f t="shared" si="51"/>
        <v>4.8013674076149676E-2</v>
      </c>
      <c r="N86" s="54">
        <f t="shared" si="51"/>
        <v>4.8375764769133391E-2</v>
      </c>
      <c r="O86" s="54">
        <f t="shared" si="51"/>
        <v>4.5487260448324178E-2</v>
      </c>
      <c r="P86" s="54">
        <f t="shared" si="51"/>
        <v>4.0080481561127458E-2</v>
      </c>
      <c r="Q86" s="54">
        <f t="shared" si="51"/>
        <v>3.3224352686505504E-2</v>
      </c>
      <c r="R86" s="54">
        <f t="shared" si="51"/>
        <v>2.6001914964461859E-2</v>
      </c>
      <c r="S86" s="54">
        <f t="shared" si="51"/>
        <v>1.9269430911478074E-2</v>
      </c>
      <c r="T86" s="54">
        <f t="shared" si="51"/>
        <v>1.3538099393200843E-2</v>
      </c>
      <c r="U86" s="54">
        <f t="shared" si="51"/>
        <v>9.0541300579258868E-3</v>
      </c>
      <c r="V86" s="54">
        <f t="shared" si="52"/>
        <v>5.7778152967432779E-3</v>
      </c>
      <c r="W86" s="54">
        <f t="shared" si="52"/>
        <v>3.5257092727225968E-3</v>
      </c>
      <c r="X86" s="54">
        <f t="shared" si="52"/>
        <v>2.0795969374523024E-3</v>
      </c>
      <c r="Y86" s="54">
        <f t="shared" ref="Y86:Y96" si="56">(VLOOKUP($C86&amp;$D86,$Z$31:$AA$42,2,FALSE)+VLOOKUP($C86&amp;$D86,$Z$48:$AA$59,2,FALSE))*$C$83*$A86/8760/1000</f>
        <v>0.48276383624868641</v>
      </c>
      <c r="Z86" s="54"/>
      <c r="AA86" s="36">
        <f t="shared" ref="AA86:AA96" si="57">SUM(E86:X86)</f>
        <v>0.45298177025425418</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A87" s="76">
        <f t="shared" si="49"/>
        <v>42.910133077431247</v>
      </c>
      <c r="B87" s="76">
        <f t="shared" si="50"/>
        <v>-8.9100081856585778</v>
      </c>
      <c r="C87" s="9" t="str">
        <f t="shared" si="53"/>
        <v>Multifamily - High Rise</v>
      </c>
      <c r="D87" s="9" t="str">
        <f t="shared" si="54"/>
        <v>Occupancy sensing advanced power strip</v>
      </c>
      <c r="E87" s="54">
        <f t="shared" si="55"/>
        <v>5.2690885298639796E-4</v>
      </c>
      <c r="F87" s="54">
        <f t="shared" si="51"/>
        <v>8.3870491745524026E-4</v>
      </c>
      <c r="G87" s="54">
        <f t="shared" si="51"/>
        <v>1.698037006072994E-3</v>
      </c>
      <c r="H87" s="54">
        <f t="shared" si="51"/>
        <v>3.0072833439892515E-3</v>
      </c>
      <c r="I87" s="54">
        <f t="shared" si="51"/>
        <v>4.7262592089737784E-3</v>
      </c>
      <c r="J87" s="54">
        <f t="shared" si="51"/>
        <v>6.677430834861213E-3</v>
      </c>
      <c r="K87" s="54">
        <f t="shared" si="51"/>
        <v>8.5690610403060617E-3</v>
      </c>
      <c r="L87" s="54">
        <f t="shared" si="51"/>
        <v>1.0074105604795753E-2</v>
      </c>
      <c r="M87" s="54">
        <f t="shared" si="51"/>
        <v>1.0932572020303273E-2</v>
      </c>
      <c r="N87" s="54">
        <f t="shared" si="51"/>
        <v>1.1013926878713635E-2</v>
      </c>
      <c r="O87" s="54">
        <f t="shared" si="51"/>
        <v>1.0355262376894768E-2</v>
      </c>
      <c r="P87" s="54">
        <f t="shared" si="51"/>
        <v>9.1217338069221384E-3</v>
      </c>
      <c r="Q87" s="54">
        <f t="shared" si="51"/>
        <v>7.5590255000587267E-3</v>
      </c>
      <c r="R87" s="54">
        <f t="shared" si="51"/>
        <v>5.9132614402215089E-3</v>
      </c>
      <c r="S87" s="54">
        <f t="shared" si="51"/>
        <v>4.3808658073070531E-3</v>
      </c>
      <c r="T87" s="54">
        <f t="shared" si="51"/>
        <v>3.0771602578204844E-3</v>
      </c>
      <c r="U87" s="54">
        <f t="shared" si="51"/>
        <v>2.0575009212251104E-3</v>
      </c>
      <c r="V87" s="54">
        <f t="shared" si="52"/>
        <v>1.3127073120404622E-3</v>
      </c>
      <c r="W87" s="54">
        <f t="shared" si="52"/>
        <v>8.0076605301767354E-4</v>
      </c>
      <c r="X87" s="54">
        <f t="shared" si="52"/>
        <v>4.7227650541557174E-4</v>
      </c>
      <c r="Y87" s="54">
        <f t="shared" si="56"/>
        <v>0.10963567671140327</v>
      </c>
      <c r="Z87" s="54"/>
      <c r="AA87" s="36">
        <f t="shared" si="57"/>
        <v>0.1031148496893811</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88" s="76">
        <f t="shared" si="49"/>
        <v>42.910133077431247</v>
      </c>
      <c r="B88" s="76">
        <f t="shared" si="50"/>
        <v>-8.9100081856585778</v>
      </c>
      <c r="C88" s="9" t="str">
        <f t="shared" si="53"/>
        <v>Manufactured</v>
      </c>
      <c r="D88" s="9" t="str">
        <f t="shared" si="54"/>
        <v>Occupancy sensing advanced power strip</v>
      </c>
      <c r="E88" s="54">
        <f t="shared" si="55"/>
        <v>2.2701130903195624E-3</v>
      </c>
      <c r="F88" s="54">
        <f t="shared" si="51"/>
        <v>3.5078759804483437E-3</v>
      </c>
      <c r="G88" s="54">
        <f t="shared" si="51"/>
        <v>6.8968400319993758E-3</v>
      </c>
      <c r="H88" s="54">
        <f t="shared" si="51"/>
        <v>1.1866168143985487E-2</v>
      </c>
      <c r="I88" s="54">
        <f t="shared" si="51"/>
        <v>1.8149536969737645E-2</v>
      </c>
      <c r="J88" s="54">
        <f t="shared" si="51"/>
        <v>2.5005084310402111E-2</v>
      </c>
      <c r="K88" s="54">
        <f t="shared" si="51"/>
        <v>3.1315693383069942E-2</v>
      </c>
      <c r="L88" s="54">
        <f t="shared" si="51"/>
        <v>3.5949566599523579E-2</v>
      </c>
      <c r="M88" s="54">
        <f t="shared" si="51"/>
        <v>3.8093312441147033E-2</v>
      </c>
      <c r="N88" s="54">
        <f t="shared" si="51"/>
        <v>3.7480216602124618E-2</v>
      </c>
      <c r="O88" s="54">
        <f t="shared" si="51"/>
        <v>3.4416614444400001E-2</v>
      </c>
      <c r="P88" s="54">
        <f t="shared" si="51"/>
        <v>2.9626135701952709E-2</v>
      </c>
      <c r="Q88" s="54">
        <f t="shared" si="51"/>
        <v>2.4001160187734578E-2</v>
      </c>
      <c r="R88" s="54">
        <f t="shared" si="51"/>
        <v>1.8363402624175289E-2</v>
      </c>
      <c r="S88" s="54">
        <f t="shared" si="51"/>
        <v>1.3310201934963099E-2</v>
      </c>
      <c r="T88" s="54">
        <f t="shared" si="51"/>
        <v>9.1460202190894891E-3</v>
      </c>
      <c r="U88" s="54">
        <f t="shared" si="51"/>
        <v>5.9851276018707345E-3</v>
      </c>
      <c r="V88" s="54">
        <f t="shared" si="52"/>
        <v>3.7384950478294185E-3</v>
      </c>
      <c r="W88" s="54">
        <f t="shared" si="52"/>
        <v>2.2335909256083197E-3</v>
      </c>
      <c r="X88" s="54">
        <f t="shared" si="52"/>
        <v>1.2941225988634133E-3</v>
      </c>
      <c r="Y88" s="54">
        <f t="shared" si="56"/>
        <v>0.30042148031281696</v>
      </c>
      <c r="Z88" s="54"/>
      <c r="AA88" s="36">
        <f t="shared" si="57"/>
        <v>0.35264927883924474</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A89" s="76">
        <f t="shared" si="49"/>
        <v>268.66551402974153</v>
      </c>
      <c r="B89" s="76">
        <f t="shared" si="50"/>
        <v>46.658919133400126</v>
      </c>
      <c r="C89" s="9" t="str">
        <f t="shared" si="53"/>
        <v>Single Family</v>
      </c>
      <c r="D89" s="9" t="str">
        <f>$D$35</f>
        <v>Infrared sensing advanced power strip</v>
      </c>
      <c r="E89" s="54">
        <f t="shared" si="55"/>
        <v>0.62249570850496605</v>
      </c>
      <c r="F89" s="54">
        <f t="shared" si="51"/>
        <v>1.0561535768019863</v>
      </c>
      <c r="G89" s="54">
        <f t="shared" si="51"/>
        <v>2.2365808004236052</v>
      </c>
      <c r="H89" s="54">
        <f t="shared" si="51"/>
        <v>4.0876654397086529</v>
      </c>
      <c r="I89" s="54">
        <f t="shared" si="51"/>
        <v>7.3590037085931588</v>
      </c>
      <c r="J89" s="54">
        <f t="shared" si="51"/>
        <v>10.464381944853143</v>
      </c>
      <c r="K89" s="54">
        <f t="shared" si="51"/>
        <v>13.512254402691894</v>
      </c>
      <c r="L89" s="54">
        <f t="shared" si="51"/>
        <v>15.984330731994918</v>
      </c>
      <c r="M89" s="54">
        <f t="shared" si="51"/>
        <v>17.444614093020462</v>
      </c>
      <c r="N89" s="54">
        <f t="shared" si="51"/>
        <v>17.665172304028207</v>
      </c>
      <c r="O89" s="54">
        <f t="shared" si="51"/>
        <v>16.689279236295171</v>
      </c>
      <c r="P89" s="54">
        <f t="shared" si="51"/>
        <v>14.776258439595964</v>
      </c>
      <c r="Q89" s="54">
        <f t="shared" si="51"/>
        <v>12.305327294323796</v>
      </c>
      <c r="R89" s="54">
        <f t="shared" si="51"/>
        <v>9.6723745622824229</v>
      </c>
      <c r="S89" s="54">
        <f t="shared" si="51"/>
        <v>7.2010309599737372</v>
      </c>
      <c r="T89" s="54">
        <f t="shared" si="51"/>
        <v>5.0861540072981715</v>
      </c>
      <c r="U89" s="54">
        <f t="shared" si="51"/>
        <v>3.4208113698399432</v>
      </c>
      <c r="V89" s="54">
        <f t="shared" si="52"/>
        <v>2.1952151748948303</v>
      </c>
      <c r="W89" s="54">
        <f t="shared" si="52"/>
        <v>1.3473394782997317</v>
      </c>
      <c r="X89" s="54">
        <f t="shared" si="52"/>
        <v>0.79246898610670491</v>
      </c>
      <c r="Y89" s="54">
        <f t="shared" si="56"/>
        <v>183.96611427485072</v>
      </c>
      <c r="Z89" s="54"/>
      <c r="AA89" s="36">
        <f t="shared" si="57"/>
        <v>163.91891221953148</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A90" s="76">
        <f t="shared" si="49"/>
        <v>268.66551402974153</v>
      </c>
      <c r="B90" s="76">
        <f t="shared" si="50"/>
        <v>46.658919133400126</v>
      </c>
      <c r="C90" s="9" t="str">
        <f t="shared" si="53"/>
        <v>Multifamily - Low Rise</v>
      </c>
      <c r="D90" s="9" t="str">
        <f t="shared" ref="D90:D92" si="58">$D$35</f>
        <v>Infrared sensing advanced power strip</v>
      </c>
      <c r="E90" s="54">
        <f t="shared" si="55"/>
        <v>6.6684832727695195E-2</v>
      </c>
      <c r="F90" s="54">
        <f t="shared" si="51"/>
        <v>0.11405137251344014</v>
      </c>
      <c r="G90" s="54">
        <f t="shared" si="51"/>
        <v>0.24342425465446443</v>
      </c>
      <c r="H90" s="54">
        <f t="shared" si="51"/>
        <v>0.44847973084692067</v>
      </c>
      <c r="I90" s="54">
        <f t="shared" si="51"/>
        <v>0.81152732225093538</v>
      </c>
      <c r="J90" s="54">
        <f t="shared" si="51"/>
        <v>1.16188036738112</v>
      </c>
      <c r="K90" s="54">
        <f t="shared" si="51"/>
        <v>1.5100657630459371</v>
      </c>
      <c r="L90" s="54">
        <f t="shared" si="51"/>
        <v>1.7978559042135065</v>
      </c>
      <c r="M90" s="54">
        <f t="shared" si="51"/>
        <v>1.9750716259263066</v>
      </c>
      <c r="N90" s="54">
        <f t="shared" si="51"/>
        <v>2.0138833639399456</v>
      </c>
      <c r="O90" s="54">
        <f t="shared" si="51"/>
        <v>1.9158883289718025</v>
      </c>
      <c r="P90" s="54">
        <f t="shared" si="51"/>
        <v>1.7077101609854448</v>
      </c>
      <c r="Q90" s="54">
        <f t="shared" si="51"/>
        <v>1.4316267727446053</v>
      </c>
      <c r="R90" s="54">
        <f t="shared" si="51"/>
        <v>1.132907078874128</v>
      </c>
      <c r="S90" s="54">
        <f t="shared" si="51"/>
        <v>0.84883666025268323</v>
      </c>
      <c r="T90" s="54">
        <f t="shared" si="51"/>
        <v>0.6031765535520992</v>
      </c>
      <c r="U90" s="54">
        <f t="shared" si="51"/>
        <v>0.40797854523473392</v>
      </c>
      <c r="V90" s="54">
        <f t="shared" si="52"/>
        <v>0.26327513620153947</v>
      </c>
      <c r="W90" s="54">
        <f t="shared" si="52"/>
        <v>0.16244946846550928</v>
      </c>
      <c r="X90" s="54">
        <f t="shared" si="52"/>
        <v>9.6021122351990937E-2</v>
      </c>
      <c r="Y90" s="54">
        <f t="shared" si="56"/>
        <v>22.290629762294909</v>
      </c>
      <c r="Z90" s="54"/>
      <c r="AA90" s="36">
        <f t="shared" si="57"/>
        <v>18.712794365134808</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A91" s="76">
        <f t="shared" si="49"/>
        <v>268.66551402974153</v>
      </c>
      <c r="B91" s="76">
        <f t="shared" si="50"/>
        <v>46.658919133400126</v>
      </c>
      <c r="C91" s="9" t="str">
        <f t="shared" si="53"/>
        <v>Multifamily - High Rise</v>
      </c>
      <c r="D91" s="9" t="str">
        <f t="shared" si="58"/>
        <v>Infrared sensing advanced power strip</v>
      </c>
      <c r="E91" s="54">
        <f t="shared" si="55"/>
        <v>1.5203898336645452E-2</v>
      </c>
      <c r="F91" s="54">
        <f t="shared" si="51"/>
        <v>2.5993484887789832E-2</v>
      </c>
      <c r="G91" s="54">
        <f t="shared" si="51"/>
        <v>5.5478227069703838E-2</v>
      </c>
      <c r="H91" s="54">
        <f t="shared" si="51"/>
        <v>0.10224567285295832</v>
      </c>
      <c r="I91" s="54">
        <f t="shared" si="51"/>
        <v>0.18497595554531465</v>
      </c>
      <c r="J91" s="54">
        <f t="shared" si="51"/>
        <v>0.26468119324923223</v>
      </c>
      <c r="K91" s="54">
        <f t="shared" si="51"/>
        <v>0.34391164827467668</v>
      </c>
      <c r="L91" s="54">
        <f t="shared" si="51"/>
        <v>0.40937818273280824</v>
      </c>
      <c r="M91" s="54">
        <f t="shared" si="51"/>
        <v>0.44974771108658723</v>
      </c>
      <c r="N91" s="54">
        <f t="shared" si="51"/>
        <v>0.45854568101074716</v>
      </c>
      <c r="O91" s="54">
        <f t="shared" si="51"/>
        <v>0.43619518457593681</v>
      </c>
      <c r="P91" s="54">
        <f t="shared" si="51"/>
        <v>0.38868839066818234</v>
      </c>
      <c r="Q91" s="54">
        <f t="shared" si="51"/>
        <v>0.3257514041295258</v>
      </c>
      <c r="R91" s="54">
        <f t="shared" si="51"/>
        <v>0.25767180427662995</v>
      </c>
      <c r="S91" s="54">
        <f t="shared" si="51"/>
        <v>0.19300691318110716</v>
      </c>
      <c r="T91" s="54">
        <f t="shared" si="51"/>
        <v>0.13712100947281153</v>
      </c>
      <c r="U91" s="54">
        <f t="shared" si="51"/>
        <v>9.272733934304786E-2</v>
      </c>
      <c r="V91" s="54">
        <f t="shared" si="52"/>
        <v>5.9827685768573863E-2</v>
      </c>
      <c r="W91" s="54">
        <f t="shared" si="52"/>
        <v>3.6904077730066806E-2</v>
      </c>
      <c r="X91" s="54">
        <f t="shared" si="52"/>
        <v>2.1811236492923547E-2</v>
      </c>
      <c r="Y91" s="54">
        <f t="shared" si="56"/>
        <v>5.0633254997725388</v>
      </c>
      <c r="Z91" s="54"/>
      <c r="AA91" s="36">
        <f t="shared" si="57"/>
        <v>4.2598667006852695</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92" s="76">
        <f t="shared" si="49"/>
        <v>268.66551402974153</v>
      </c>
      <c r="B92" s="76">
        <f t="shared" si="50"/>
        <v>46.658919133400126</v>
      </c>
      <c r="C92" s="9" t="str">
        <f t="shared" si="53"/>
        <v>Manufactured</v>
      </c>
      <c r="D92" s="9" t="str">
        <f t="shared" si="58"/>
        <v>Infrared sensing advanced power strip</v>
      </c>
      <c r="E92" s="54">
        <f t="shared" si="55"/>
        <v>5.5617957803705542E-2</v>
      </c>
      <c r="F92" s="54">
        <f t="shared" si="51"/>
        <v>9.2309762466398146E-2</v>
      </c>
      <c r="G92" s="54">
        <f t="shared" si="51"/>
        <v>0.19153278899202647</v>
      </c>
      <c r="H92" s="54">
        <f t="shared" si="51"/>
        <v>0.34346814804967724</v>
      </c>
      <c r="I92" s="54">
        <f t="shared" si="51"/>
        <v>0.60953341065923294</v>
      </c>
      <c r="J92" s="54">
        <f t="shared" si="51"/>
        <v>0.8511486724641204</v>
      </c>
      <c r="K92" s="54">
        <f t="shared" si="51"/>
        <v>1.0803150019832037</v>
      </c>
      <c r="L92" s="54">
        <f t="shared" si="51"/>
        <v>1.2571362085642719</v>
      </c>
      <c r="M92" s="54">
        <f t="shared" si="51"/>
        <v>1.3502913839161474</v>
      </c>
      <c r="N92" s="54">
        <f t="shared" si="51"/>
        <v>1.3464607207245289</v>
      </c>
      <c r="O92" s="54">
        <f t="shared" si="51"/>
        <v>1.2528840565495607</v>
      </c>
      <c r="P92" s="54">
        <f t="shared" si="51"/>
        <v>1.0928371335596665</v>
      </c>
      <c r="Q92" s="54">
        <f t="shared" si="51"/>
        <v>0.8969961147288944</v>
      </c>
      <c r="R92" s="54">
        <f t="shared" si="51"/>
        <v>0.69528351498603358</v>
      </c>
      <c r="S92" s="54">
        <f t="shared" si="51"/>
        <v>0.51056061206563907</v>
      </c>
      <c r="T92" s="54">
        <f t="shared" si="51"/>
        <v>0.35566023920706008</v>
      </c>
      <c r="U92" s="54">
        <f t="shared" si="51"/>
        <v>0.23596481820463003</v>
      </c>
      <c r="V92" s="54">
        <f t="shared" si="52"/>
        <v>0.14943109542426244</v>
      </c>
      <c r="W92" s="54">
        <f t="shared" si="52"/>
        <v>9.0518205731148396E-2</v>
      </c>
      <c r="X92" s="54">
        <f t="shared" si="52"/>
        <v>5.2549350731857597E-2</v>
      </c>
      <c r="Y92" s="54">
        <f t="shared" si="56"/>
        <v>12.198963027310741</v>
      </c>
      <c r="Z92" s="54"/>
      <c r="AA92" s="36">
        <f t="shared" si="57"/>
        <v>12.510499196812065</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93" s="76">
        <f t="shared" si="49"/>
        <v>32.182599808073434</v>
      </c>
      <c r="B93" s="76">
        <f t="shared" si="50"/>
        <v>236.63736937731289</v>
      </c>
      <c r="C93" s="9" t="str">
        <f t="shared" si="53"/>
        <v>Single Family</v>
      </c>
      <c r="D93" s="9" t="str">
        <f>$D$39</f>
        <v>Load sensing advanced power strip</v>
      </c>
      <c r="E93" s="54">
        <f t="shared" si="55"/>
        <v>9.217769955292425E-2</v>
      </c>
      <c r="F93" s="54">
        <f t="shared" si="51"/>
        <v>0.1517151337108176</v>
      </c>
      <c r="G93" s="54">
        <f t="shared" si="51"/>
        <v>0.3143273322729967</v>
      </c>
      <c r="H93" s="54">
        <f t="shared" si="51"/>
        <v>0.56521050118494776</v>
      </c>
      <c r="I93" s="54">
        <f t="shared" si="51"/>
        <v>0.96466373899155822</v>
      </c>
      <c r="J93" s="54">
        <f t="shared" si="51"/>
        <v>1.3648963057852932</v>
      </c>
      <c r="K93" s="54">
        <f t="shared" si="51"/>
        <v>1.7539052399160504</v>
      </c>
      <c r="L93" s="54">
        <f t="shared" si="51"/>
        <v>2.0648149614487856</v>
      </c>
      <c r="M93" s="54">
        <f t="shared" si="51"/>
        <v>2.2428421956242786</v>
      </c>
      <c r="N93" s="54">
        <f t="shared" si="51"/>
        <v>2.2608319237459784</v>
      </c>
      <c r="O93" s="54">
        <f t="shared" si="51"/>
        <v>2.1264301627968623</v>
      </c>
      <c r="P93" s="54">
        <f t="shared" si="51"/>
        <v>1.8744608028546057</v>
      </c>
      <c r="Q93" s="54">
        <f t="shared" si="51"/>
        <v>1.5543670571053407</v>
      </c>
      <c r="R93" s="54">
        <f t="shared" si="51"/>
        <v>1.2166955222091138</v>
      </c>
      <c r="S93" s="54">
        <f t="shared" si="51"/>
        <v>0.90210297930901262</v>
      </c>
      <c r="T93" s="54">
        <f t="shared" si="51"/>
        <v>0.63446005968409092</v>
      </c>
      <c r="U93" s="54">
        <f t="shared" si="51"/>
        <v>0.42492695899938626</v>
      </c>
      <c r="V93" s="54">
        <f t="shared" si="52"/>
        <v>0.27155726339203884</v>
      </c>
      <c r="W93" s="54">
        <f t="shared" si="52"/>
        <v>0.16598866292272879</v>
      </c>
      <c r="X93" s="54">
        <f t="shared" si="52"/>
        <v>9.754499926360552E-2</v>
      </c>
      <c r="Y93" s="54">
        <f t="shared" si="56"/>
        <v>22.644387094099375</v>
      </c>
      <c r="Z93" s="54"/>
      <c r="AA93" s="36">
        <f t="shared" si="57"/>
        <v>21.043919500770418</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A94" s="76">
        <f t="shared" si="49"/>
        <v>32.182599808073434</v>
      </c>
      <c r="B94" s="76">
        <f t="shared" si="50"/>
        <v>236.63736937731289</v>
      </c>
      <c r="C94" s="9" t="str">
        <f t="shared" si="53"/>
        <v>Multifamily - Low Rise</v>
      </c>
      <c r="D94" s="9" t="str">
        <f t="shared" ref="D94:D96" si="59">$D$39</f>
        <v>Load sensing advanced power strip</v>
      </c>
      <c r="E94" s="54">
        <f t="shared" si="55"/>
        <v>8.9870688038454754E-3</v>
      </c>
      <c r="F94" s="54">
        <f t="shared" si="51"/>
        <v>1.4919813568239059E-2</v>
      </c>
      <c r="G94" s="54">
        <f t="shared" si="51"/>
        <v>3.1176456176157569E-2</v>
      </c>
      <c r="H94" s="54">
        <f t="shared" si="51"/>
        <v>5.6552940578173345E-2</v>
      </c>
      <c r="I94" s="54">
        <f t="shared" si="51"/>
        <v>9.7150464929116789E-2</v>
      </c>
      <c r="J94" s="54">
        <f t="shared" si="51"/>
        <v>0.13847247468501167</v>
      </c>
      <c r="K94" s="54">
        <f t="shared" si="51"/>
        <v>0.1791909480199671</v>
      </c>
      <c r="L94" s="54">
        <f t="shared" si="51"/>
        <v>0.21242588490721112</v>
      </c>
      <c r="M94" s="54">
        <f t="shared" si="51"/>
        <v>0.23238588598211815</v>
      </c>
      <c r="N94" s="54">
        <f t="shared" si="51"/>
        <v>0.23599095993706029</v>
      </c>
      <c r="O94" s="54">
        <f t="shared" si="51"/>
        <v>0.22362370687468461</v>
      </c>
      <c r="P94" s="54">
        <f t="shared" si="51"/>
        <v>0.19855738770271428</v>
      </c>
      <c r="Q94" s="54">
        <f t="shared" si="51"/>
        <v>0.1658344583240299</v>
      </c>
      <c r="R94" s="54">
        <f t="shared" si="51"/>
        <v>0.13075239645379971</v>
      </c>
      <c r="S94" s="54">
        <f t="shared" si="51"/>
        <v>9.7615280251294484E-2</v>
      </c>
      <c r="T94" s="54">
        <f t="shared" si="51"/>
        <v>6.9108967855463596E-2</v>
      </c>
      <c r="U94" s="54">
        <f t="shared" si="51"/>
        <v>4.6574126437976038E-2</v>
      </c>
      <c r="V94" s="54">
        <f t="shared" si="52"/>
        <v>2.9947608549357008E-2</v>
      </c>
      <c r="W94" s="54">
        <f t="shared" si="52"/>
        <v>1.8413519050285439E-2</v>
      </c>
      <c r="X94" s="54">
        <f t="shared" si="52"/>
        <v>1.0876658740631108E-2</v>
      </c>
      <c r="Y94" s="54">
        <f t="shared" si="56"/>
        <v>2.5249400038200021</v>
      </c>
      <c r="Z94" s="54"/>
      <c r="AA94" s="36">
        <f t="shared" si="57"/>
        <v>2.1985570078271373</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A95" s="76">
        <f t="shared" si="49"/>
        <v>32.182599808073434</v>
      </c>
      <c r="B95" s="76">
        <f t="shared" si="50"/>
        <v>236.63736937731289</v>
      </c>
      <c r="C95" s="9" t="str">
        <f t="shared" si="53"/>
        <v>Multifamily - High Rise</v>
      </c>
      <c r="D95" s="9" t="str">
        <f t="shared" si="59"/>
        <v>Load sensing advanced power strip</v>
      </c>
      <c r="E95" s="54">
        <f t="shared" si="55"/>
        <v>2.0490188675446213E-3</v>
      </c>
      <c r="F95" s="54">
        <f t="shared" si="51"/>
        <v>3.4003794953801365E-3</v>
      </c>
      <c r="G95" s="54">
        <f t="shared" si="51"/>
        <v>7.1052962685014941E-3</v>
      </c>
      <c r="H95" s="54">
        <f t="shared" si="51"/>
        <v>1.2892925248278196E-2</v>
      </c>
      <c r="I95" s="54">
        <f t="shared" si="51"/>
        <v>2.214373878409634E-2</v>
      </c>
      <c r="J95" s="54">
        <f t="shared" si="51"/>
        <v>3.1544222962400968E-2</v>
      </c>
      <c r="K95" s="54">
        <f t="shared" si="51"/>
        <v>4.0809467116210467E-2</v>
      </c>
      <c r="L95" s="54">
        <f t="shared" si="51"/>
        <v>4.8369284262126132E-2</v>
      </c>
      <c r="M95" s="54">
        <f t="shared" si="51"/>
        <v>5.2915883518662631E-2</v>
      </c>
      <c r="N95" s="54">
        <f t="shared" si="51"/>
        <v>5.373189432178032E-2</v>
      </c>
      <c r="O95" s="54">
        <f t="shared" si="51"/>
        <v>5.0911428318085331E-2</v>
      </c>
      <c r="P95" s="54">
        <f t="shared" si="51"/>
        <v>4.5191746188776319E-2</v>
      </c>
      <c r="Q95" s="54">
        <f t="shared" si="51"/>
        <v>3.7732503674296848E-2</v>
      </c>
      <c r="R95" s="54">
        <f t="shared" si="51"/>
        <v>2.9737574278241741E-2</v>
      </c>
      <c r="S95" s="54">
        <f t="shared" si="51"/>
        <v>2.2194620085596601E-2</v>
      </c>
      <c r="T95" s="54">
        <f t="shared" si="51"/>
        <v>1.5709856211769475E-2</v>
      </c>
      <c r="U95" s="54">
        <f t="shared" si="51"/>
        <v>1.0584988386243693E-2</v>
      </c>
      <c r="V95" s="54">
        <f t="shared" si="52"/>
        <v>6.8049728460995631E-3</v>
      </c>
      <c r="W95" s="54">
        <f t="shared" si="52"/>
        <v>4.1827525724688723E-3</v>
      </c>
      <c r="X95" s="54">
        <f t="shared" si="52"/>
        <v>2.4704641340584578E-3</v>
      </c>
      <c r="Y95" s="54">
        <f t="shared" si="56"/>
        <v>0.57350091317885732</v>
      </c>
      <c r="Z95" s="54"/>
      <c r="AA95" s="36">
        <f t="shared" si="57"/>
        <v>0.50048301754061819</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A96" s="76">
        <f t="shared" si="49"/>
        <v>32.182599808073434</v>
      </c>
      <c r="B96" s="76">
        <f t="shared" si="50"/>
        <v>236.63736937731289</v>
      </c>
      <c r="C96" s="9" t="str">
        <f t="shared" si="53"/>
        <v>Manufactured</v>
      </c>
      <c r="D96" s="9" t="str">
        <f t="shared" si="59"/>
        <v>Load sensing advanced power strip</v>
      </c>
      <c r="E96" s="54">
        <f t="shared" si="55"/>
        <v>7.7977136691966724E-3</v>
      </c>
      <c r="F96" s="54">
        <f t="shared" si="51"/>
        <v>1.2562375161605825E-2</v>
      </c>
      <c r="G96" s="54">
        <f t="shared" si="51"/>
        <v>2.5508123859056361E-2</v>
      </c>
      <c r="H96" s="54">
        <f t="shared" si="51"/>
        <v>4.500991601945286E-2</v>
      </c>
      <c r="I96" s="54">
        <f t="shared" si="51"/>
        <v>7.5627758614238039E-2</v>
      </c>
      <c r="J96" s="54">
        <f t="shared" si="51"/>
        <v>0.10511121461480405</v>
      </c>
      <c r="K96" s="54">
        <f t="shared" si="51"/>
        <v>0.13279552892401603</v>
      </c>
      <c r="L96" s="54">
        <f t="shared" si="51"/>
        <v>0.1538126167093522</v>
      </c>
      <c r="M96" s="54">
        <f t="shared" si="51"/>
        <v>0.16445049423386249</v>
      </c>
      <c r="N96" s="54">
        <f t="shared" si="51"/>
        <v>0.16324625375042626</v>
      </c>
      <c r="O96" s="54">
        <f t="shared" si="51"/>
        <v>0.15123075410812126</v>
      </c>
      <c r="P96" s="54">
        <f t="shared" si="51"/>
        <v>0.13133658152605449</v>
      </c>
      <c r="Q96" s="54">
        <f t="shared" si="51"/>
        <v>0.1073391464108302</v>
      </c>
      <c r="R96" s="54">
        <f t="shared" si="51"/>
        <v>8.2849907780380164E-2</v>
      </c>
      <c r="S96" s="54">
        <f t="shared" si="51"/>
        <v>6.0583577942247578E-2</v>
      </c>
      <c r="T96" s="54">
        <f t="shared" si="51"/>
        <v>4.2018963438128949E-2</v>
      </c>
      <c r="U96" s="54">
        <f t="shared" si="51"/>
        <v>2.7756697628445643E-2</v>
      </c>
      <c r="V96" s="54">
        <f t="shared" si="52"/>
        <v>1.7502087906605547E-2</v>
      </c>
      <c r="W96" s="54">
        <f t="shared" si="52"/>
        <v>1.0556629408731198E-2</v>
      </c>
      <c r="X96" s="54">
        <f t="shared" si="52"/>
        <v>6.124789882784051E-3</v>
      </c>
      <c r="Y96" s="54">
        <f t="shared" si="56"/>
        <v>1.4218269929039022</v>
      </c>
      <c r="Z96" s="54"/>
      <c r="AA96" s="36">
        <f t="shared" si="57"/>
        <v>1.5232211315883397</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AA97" s="41"/>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74">
        <f>SUMPRODUCT(B85:B88,AA85:AA88)/SUM(AA85:AA88)</f>
        <v>-8.9100081856585778</v>
      </c>
      <c r="E98" s="36">
        <f>SUM(E85:E96)</f>
        <v>0.90708987123789153</v>
      </c>
      <c r="F98" s="36">
        <f t="shared" ref="F98:Y98" si="60">SUM(F85:F96)</f>
        <v>1.5279515857550721</v>
      </c>
      <c r="G98" s="36">
        <f t="shared" si="60"/>
        <v>3.2190237451254018</v>
      </c>
      <c r="H98" s="36">
        <f t="shared" si="60"/>
        <v>5.8610319033298408</v>
      </c>
      <c r="I98" s="36">
        <f t="shared" si="60"/>
        <v>10.435097069137491</v>
      </c>
      <c r="J98" s="36">
        <f t="shared" si="60"/>
        <v>14.817100298906347</v>
      </c>
      <c r="K98" s="36">
        <f t="shared" si="60"/>
        <v>19.106850409882242</v>
      </c>
      <c r="L98" s="36">
        <f t="shared" si="60"/>
        <v>22.573623254969867</v>
      </c>
      <c r="M98" s="36">
        <f t="shared" si="60"/>
        <v>24.606853744586441</v>
      </c>
      <c r="N98" s="36">
        <f t="shared" si="60"/>
        <v>24.891523087072645</v>
      </c>
      <c r="O98" s="36">
        <f t="shared" si="60"/>
        <v>23.49295794545931</v>
      </c>
      <c r="P98" s="36">
        <f t="shared" si="60"/>
        <v>20.779823079868468</v>
      </c>
      <c r="Q98" s="36">
        <f t="shared" si="60"/>
        <v>17.289175623160208</v>
      </c>
      <c r="R98" s="36">
        <f t="shared" si="60"/>
        <v>13.578468870756256</v>
      </c>
      <c r="S98" s="36">
        <f t="shared" si="60"/>
        <v>10.100674671788484</v>
      </c>
      <c r="T98" s="36">
        <f>SUM(T85:T96)</f>
        <v>7.1279137581078995</v>
      </c>
      <c r="U98" s="36">
        <f t="shared" si="60"/>
        <v>4.7897675864987708</v>
      </c>
      <c r="V98" s="36">
        <f t="shared" si="60"/>
        <v>3.0711004896388774</v>
      </c>
      <c r="W98" s="36">
        <f t="shared" si="60"/>
        <v>1.8833174760060338</v>
      </c>
      <c r="X98" s="36">
        <f>SUM(X85:X96)</f>
        <v>1.1074111828639017</v>
      </c>
      <c r="Y98" s="36">
        <f t="shared" si="60"/>
        <v>257.07773526490621</v>
      </c>
      <c r="Z98" s="54"/>
      <c r="AA98" s="41">
        <f>SUM(E98:X98)</f>
        <v>231.16675565415144</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80">
      <c r="D100" s="36"/>
      <c r="E100" s="36">
        <f>E98</f>
        <v>0.90708987123789153</v>
      </c>
      <c r="F100" s="36">
        <f t="shared" ref="F100:X100" si="61">E100+F98</f>
        <v>2.4350414569929635</v>
      </c>
      <c r="G100" s="36">
        <f t="shared" si="61"/>
        <v>5.6540652021183657</v>
      </c>
      <c r="H100" s="36">
        <f t="shared" si="61"/>
        <v>11.515097105448206</v>
      </c>
      <c r="I100" s="36">
        <f t="shared" si="61"/>
        <v>21.950194174585697</v>
      </c>
      <c r="J100" s="36">
        <f t="shared" si="61"/>
        <v>36.767294473492043</v>
      </c>
      <c r="K100" s="36">
        <f t="shared" si="61"/>
        <v>55.874144883374285</v>
      </c>
      <c r="L100" s="36">
        <f t="shared" si="61"/>
        <v>78.447768138344145</v>
      </c>
      <c r="M100" s="36">
        <f t="shared" si="61"/>
        <v>103.05462188293059</v>
      </c>
      <c r="N100" s="36">
        <f t="shared" si="61"/>
        <v>127.94614497000323</v>
      </c>
      <c r="O100" s="36">
        <f t="shared" si="61"/>
        <v>151.43910291546254</v>
      </c>
      <c r="P100" s="36">
        <f t="shared" si="61"/>
        <v>172.21892599533101</v>
      </c>
      <c r="Q100" s="36">
        <f t="shared" si="61"/>
        <v>189.50810161849122</v>
      </c>
      <c r="R100" s="36">
        <f t="shared" si="61"/>
        <v>203.08657048924749</v>
      </c>
      <c r="S100" s="36">
        <f t="shared" si="61"/>
        <v>213.18724516103597</v>
      </c>
      <c r="T100" s="36">
        <f t="shared" si="61"/>
        <v>220.31515891914387</v>
      </c>
      <c r="U100" s="36">
        <f t="shared" si="61"/>
        <v>225.10492650564265</v>
      </c>
      <c r="V100" s="36">
        <f t="shared" si="61"/>
        <v>228.17602699528152</v>
      </c>
      <c r="W100" s="36">
        <f t="shared" si="61"/>
        <v>230.05934447128755</v>
      </c>
      <c r="X100" s="36">
        <f t="shared" si="61"/>
        <v>231.16675565415144</v>
      </c>
      <c r="Y100" s="36"/>
      <c r="Z100" s="54"/>
      <c r="AA100" s="36">
        <f>SUM(AA85:AA96)</f>
        <v>231.1667556541515</v>
      </c>
      <c r="AB100" s="55"/>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80">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80">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80" ht="15">
      <c r="A103" s="62" t="s">
        <v>69</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80" ht="15">
      <c r="E104" s="65">
        <f t="shared" ref="E104:X104" si="62">E11</f>
        <v>2016</v>
      </c>
      <c r="F104" s="66">
        <f t="shared" si="62"/>
        <v>2017</v>
      </c>
      <c r="G104" s="66">
        <f t="shared" si="62"/>
        <v>2018</v>
      </c>
      <c r="H104" s="66">
        <f t="shared" si="62"/>
        <v>2019</v>
      </c>
      <c r="I104" s="66">
        <f t="shared" si="62"/>
        <v>2020</v>
      </c>
      <c r="J104" s="66">
        <f t="shared" si="62"/>
        <v>2021</v>
      </c>
      <c r="K104" s="66">
        <f t="shared" si="62"/>
        <v>2022</v>
      </c>
      <c r="L104" s="66">
        <f t="shared" si="62"/>
        <v>2023</v>
      </c>
      <c r="M104" s="66">
        <f t="shared" si="62"/>
        <v>2024</v>
      </c>
      <c r="N104" s="66">
        <f t="shared" si="62"/>
        <v>2025</v>
      </c>
      <c r="O104" s="66">
        <f t="shared" si="62"/>
        <v>2026</v>
      </c>
      <c r="P104" s="66">
        <f t="shared" si="62"/>
        <v>2027</v>
      </c>
      <c r="Q104" s="66">
        <f t="shared" si="62"/>
        <v>2028</v>
      </c>
      <c r="R104" s="66">
        <f t="shared" si="62"/>
        <v>2029</v>
      </c>
      <c r="S104" s="66">
        <f t="shared" si="62"/>
        <v>2030</v>
      </c>
      <c r="T104" s="66">
        <f t="shared" si="62"/>
        <v>2031</v>
      </c>
      <c r="U104" s="66">
        <f t="shared" si="62"/>
        <v>2032</v>
      </c>
      <c r="V104" s="66">
        <f t="shared" si="62"/>
        <v>2033</v>
      </c>
      <c r="W104" s="66">
        <f t="shared" si="62"/>
        <v>2034</v>
      </c>
      <c r="X104" s="66">
        <f t="shared" si="62"/>
        <v>2035</v>
      </c>
      <c r="Y104" s="67" t="s">
        <v>61</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80" ht="15">
      <c r="C105" s="56" t="s">
        <v>66</v>
      </c>
      <c r="D105" s="56" t="s">
        <v>66</v>
      </c>
      <c r="E105" s="68" t="str">
        <f>CONCATENATE("aMW_",E$11)</f>
        <v>aMW_2016</v>
      </c>
      <c r="F105" s="69" t="str">
        <f t="shared" ref="F105:X105" si="63">CONCATENATE("aMW_",F$11)</f>
        <v>aMW_2017</v>
      </c>
      <c r="G105" s="69" t="str">
        <f t="shared" si="63"/>
        <v>aMW_2018</v>
      </c>
      <c r="H105" s="69" t="str">
        <f t="shared" si="63"/>
        <v>aMW_2019</v>
      </c>
      <c r="I105" s="69" t="str">
        <f t="shared" si="63"/>
        <v>aMW_2020</v>
      </c>
      <c r="J105" s="69" t="str">
        <f t="shared" si="63"/>
        <v>aMW_2021</v>
      </c>
      <c r="K105" s="69" t="str">
        <f t="shared" si="63"/>
        <v>aMW_2022</v>
      </c>
      <c r="L105" s="69" t="str">
        <f t="shared" si="63"/>
        <v>aMW_2023</v>
      </c>
      <c r="M105" s="69" t="str">
        <f t="shared" si="63"/>
        <v>aMW_2024</v>
      </c>
      <c r="N105" s="69" t="str">
        <f t="shared" si="63"/>
        <v>aMW_2025</v>
      </c>
      <c r="O105" s="69" t="str">
        <f t="shared" si="63"/>
        <v>aMW_2026</v>
      </c>
      <c r="P105" s="69" t="str">
        <f t="shared" si="63"/>
        <v>aMW_2027</v>
      </c>
      <c r="Q105" s="69" t="str">
        <f t="shared" si="63"/>
        <v>aMW_2028</v>
      </c>
      <c r="R105" s="69" t="str">
        <f t="shared" si="63"/>
        <v>aMW_2029</v>
      </c>
      <c r="S105" s="69" t="str">
        <f t="shared" si="63"/>
        <v>aMW_2030</v>
      </c>
      <c r="T105" s="69" t="str">
        <f t="shared" si="63"/>
        <v>aMW_2031</v>
      </c>
      <c r="U105" s="69" t="str">
        <f t="shared" si="63"/>
        <v>aMW_2032</v>
      </c>
      <c r="V105" s="69" t="str">
        <f t="shared" si="63"/>
        <v>aMW_2033</v>
      </c>
      <c r="W105" s="69" t="str">
        <f t="shared" si="63"/>
        <v>aMW_2034</v>
      </c>
      <c r="X105" s="69" t="str">
        <f t="shared" si="63"/>
        <v>aMW_2035</v>
      </c>
      <c r="Y105" s="70" t="s">
        <v>61</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80">
      <c r="B106" s="9" t="s">
        <v>70</v>
      </c>
      <c r="C106" s="57" t="s">
        <v>71</v>
      </c>
      <c r="D106" s="57" t="s">
        <v>72</v>
      </c>
      <c r="E106" s="54">
        <f>DSUM($B$84:$Y$96,E$84,$C$105:$D106)</f>
        <v>3.6075972971368206E-2</v>
      </c>
      <c r="F106" s="54">
        <f>DSUM($B$84:$Y$96,F$84,$C$105:$D106)</f>
        <v>5.6845687149414875E-2</v>
      </c>
      <c r="G106" s="54">
        <f>DSUM($B$84:$Y$96,G$84,$C$105:$D106)</f>
        <v>0.11389046540889008</v>
      </c>
      <c r="H106" s="54">
        <f>DSUM($B$84:$Y$96,H$84,$C$105:$D106)</f>
        <v>0.19950662884078108</v>
      </c>
      <c r="I106" s="54">
        <f>DSUM($B$84:$Y$96,I$84,$C$105:$D106)</f>
        <v>0.31047097076983782</v>
      </c>
      <c r="J106" s="54">
        <f>DSUM($B$84:$Y$96,J$84,$C$105:$D106)</f>
        <v>0.43498390291122285</v>
      </c>
      <c r="K106" s="54">
        <f>DSUM($B$84:$Y$96,K$84,$C$105:$D106)</f>
        <v>0.55360240991028176</v>
      </c>
      <c r="L106" s="54">
        <f>DSUM($B$84:$Y$96,L$84,$C$105:$D106)</f>
        <v>0.64549948013688563</v>
      </c>
      <c r="M106" s="54">
        <f>DSUM($B$84:$Y$96,M$84,$C$105:$D106)</f>
        <v>0.69453447127801782</v>
      </c>
      <c r="N106" s="54">
        <f>DSUM($B$84:$Y$96,N$84,$C$105:$D106)</f>
        <v>0.69365998561396969</v>
      </c>
      <c r="O106" s="54">
        <f>DSUM($B$84:$Y$96,O$84,$C$105:$D106)</f>
        <v>0.6465150869690881</v>
      </c>
      <c r="P106" s="54">
        <f>DSUM($B$84:$Y$96,P$84,$C$105:$D106)</f>
        <v>0.5647824367870613</v>
      </c>
      <c r="Q106" s="54">
        <f>DSUM($B$84:$Y$96,Q$84,$C$105:$D106)</f>
        <v>0.46420087171888658</v>
      </c>
      <c r="R106" s="54">
        <f>DSUM($B$84:$Y$96,R$84,$C$105:$D106)</f>
        <v>0.36019650961550659</v>
      </c>
      <c r="S106" s="54">
        <f>DSUM($B$84:$Y$96,S$84,$C$105:$D106)</f>
        <v>0.26474306872716746</v>
      </c>
      <c r="T106" s="54">
        <f>DSUM($B$84:$Y$96,T$84,$C$105:$D106)</f>
        <v>0.18450410138830525</v>
      </c>
      <c r="U106" s="54">
        <f>DSUM($B$84:$Y$96,U$84,$C$105:$D106)</f>
        <v>0.12244274242436461</v>
      </c>
      <c r="V106" s="54">
        <f>DSUM($B$84:$Y$96,V$84,$C$105:$D106)</f>
        <v>7.7539464655570364E-2</v>
      </c>
      <c r="W106" s="54">
        <f>DSUM($B$84:$Y$96,W$84,$C$105:$D106)</f>
        <v>4.6964681825363196E-2</v>
      </c>
      <c r="X106" s="54">
        <f>DSUM($B$84:$Y$96,X$84,$C$105:$D106)</f>
        <v>2.7543575159345416E-2</v>
      </c>
      <c r="Y106" s="54">
        <f>DSUM($B$84:$Y$96,Y$84,$C$105:$D106)</f>
        <v>6.3940476966751634</v>
      </c>
      <c r="AA106" s="54"/>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80">
      <c r="B107" s="9" t="s">
        <v>1123</v>
      </c>
      <c r="C107" s="57" t="s">
        <v>74</v>
      </c>
      <c r="D107" s="57" t="s">
        <v>75</v>
      </c>
      <c r="E107" s="54">
        <f>DSUM($B$84:$Y$96,E$84,$C$105:$D107)</f>
        <v>3.6075972971368206E-2</v>
      </c>
      <c r="F107" s="54">
        <f>DSUM($B$84:$Y$96,F$84,$C$105:$D107)</f>
        <v>5.6845687149414875E-2</v>
      </c>
      <c r="G107" s="54">
        <f>DSUM($B$84:$Y$96,G$84,$C$105:$D107)</f>
        <v>0.11389046540889008</v>
      </c>
      <c r="H107" s="54">
        <f>DSUM($B$84:$Y$96,H$84,$C$105:$D107)</f>
        <v>0.19950662884078108</v>
      </c>
      <c r="I107" s="54">
        <f>DSUM($B$84:$Y$96,I$84,$C$105:$D107)</f>
        <v>0.31047097076983782</v>
      </c>
      <c r="J107" s="54">
        <f>DSUM($B$84:$Y$96,J$84,$C$105:$D107)</f>
        <v>0.43498390291122285</v>
      </c>
      <c r="K107" s="54">
        <f>DSUM($B$84:$Y$96,K$84,$C$105:$D107)</f>
        <v>0.55360240991028176</v>
      </c>
      <c r="L107" s="54">
        <f>DSUM($B$84:$Y$96,L$84,$C$105:$D107)</f>
        <v>0.64549948013688563</v>
      </c>
      <c r="M107" s="54">
        <f>DSUM($B$84:$Y$96,M$84,$C$105:$D107)</f>
        <v>0.69453447127801782</v>
      </c>
      <c r="N107" s="54">
        <f>DSUM($B$84:$Y$96,N$84,$C$105:$D107)</f>
        <v>0.69365998561396969</v>
      </c>
      <c r="O107" s="54">
        <f>DSUM($B$84:$Y$96,O$84,$C$105:$D107)</f>
        <v>0.6465150869690881</v>
      </c>
      <c r="P107" s="54">
        <f>DSUM($B$84:$Y$96,P$84,$C$105:$D107)</f>
        <v>0.5647824367870613</v>
      </c>
      <c r="Q107" s="54">
        <f>DSUM($B$84:$Y$96,Q$84,$C$105:$D107)</f>
        <v>0.46420087171888658</v>
      </c>
      <c r="R107" s="54">
        <f>DSUM($B$84:$Y$96,R$84,$C$105:$D107)</f>
        <v>0.36019650961550659</v>
      </c>
      <c r="S107" s="54">
        <f>DSUM($B$84:$Y$96,S$84,$C$105:$D107)</f>
        <v>0.26474306872716746</v>
      </c>
      <c r="T107" s="54">
        <f>DSUM($B$84:$Y$96,T$84,$C$105:$D107)</f>
        <v>0.18450410138830525</v>
      </c>
      <c r="U107" s="54">
        <f>DSUM($B$84:$Y$96,U$84,$C$105:$D107)</f>
        <v>0.12244274242436461</v>
      </c>
      <c r="V107" s="54">
        <f>DSUM($B$84:$Y$96,V$84,$C$105:$D107)</f>
        <v>7.7539464655570364E-2</v>
      </c>
      <c r="W107" s="54">
        <f>DSUM($B$84:$Y$96,W$84,$C$105:$D107)</f>
        <v>4.6964681825363196E-2</v>
      </c>
      <c r="X107" s="54">
        <f>DSUM($B$84:$Y$96,X$84,$C$105:$D107)</f>
        <v>2.7543575159345416E-2</v>
      </c>
      <c r="Y107" s="54">
        <f>DSUM($B$84:$Y$96,Y$84,$C$105:$D107)</f>
        <v>6.3940476966751634</v>
      </c>
      <c r="AA107" s="54"/>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80">
      <c r="B108" s="9" t="s">
        <v>76</v>
      </c>
      <c r="C108" s="57" t="s">
        <v>77</v>
      </c>
      <c r="D108" s="57" t="s">
        <v>78</v>
      </c>
      <c r="E108" s="54">
        <f>DSUM($B$84:$Y$96,E$84,$C$105:$D108)</f>
        <v>3.6075972971368206E-2</v>
      </c>
      <c r="F108" s="54">
        <f>DSUM($B$84:$Y$96,F$84,$C$105:$D108)</f>
        <v>5.6845687149414875E-2</v>
      </c>
      <c r="G108" s="54">
        <f>DSUM($B$84:$Y$96,G$84,$C$105:$D108)</f>
        <v>0.11389046540889008</v>
      </c>
      <c r="H108" s="54">
        <f>DSUM($B$84:$Y$96,H$84,$C$105:$D108)</f>
        <v>0.19950662884078108</v>
      </c>
      <c r="I108" s="54">
        <f>DSUM($B$84:$Y$96,I$84,$C$105:$D108)</f>
        <v>0.31047097076983782</v>
      </c>
      <c r="J108" s="54">
        <f>DSUM($B$84:$Y$96,J$84,$C$105:$D108)</f>
        <v>0.43498390291122285</v>
      </c>
      <c r="K108" s="54">
        <f>DSUM($B$84:$Y$96,K$84,$C$105:$D108)</f>
        <v>0.55360240991028176</v>
      </c>
      <c r="L108" s="54">
        <f>DSUM($B$84:$Y$96,L$84,$C$105:$D108)</f>
        <v>0.64549948013688563</v>
      </c>
      <c r="M108" s="54">
        <f>DSUM($B$84:$Y$96,M$84,$C$105:$D108)</f>
        <v>0.69453447127801782</v>
      </c>
      <c r="N108" s="54">
        <f>DSUM($B$84:$Y$96,N$84,$C$105:$D108)</f>
        <v>0.69365998561396969</v>
      </c>
      <c r="O108" s="54">
        <f>DSUM($B$84:$Y$96,O$84,$C$105:$D108)</f>
        <v>0.6465150869690881</v>
      </c>
      <c r="P108" s="54">
        <f>DSUM($B$84:$Y$96,P$84,$C$105:$D108)</f>
        <v>0.5647824367870613</v>
      </c>
      <c r="Q108" s="54">
        <f>DSUM($B$84:$Y$96,Q$84,$C$105:$D108)</f>
        <v>0.46420087171888658</v>
      </c>
      <c r="R108" s="54">
        <f>DSUM($B$84:$Y$96,R$84,$C$105:$D108)</f>
        <v>0.36019650961550659</v>
      </c>
      <c r="S108" s="54">
        <f>DSUM($B$84:$Y$96,S$84,$C$105:$D108)</f>
        <v>0.26474306872716746</v>
      </c>
      <c r="T108" s="54">
        <f>DSUM($B$84:$Y$96,T$84,$C$105:$D108)</f>
        <v>0.18450410138830525</v>
      </c>
      <c r="U108" s="54">
        <f>DSUM($B$84:$Y$96,U$84,$C$105:$D108)</f>
        <v>0.12244274242436461</v>
      </c>
      <c r="V108" s="54">
        <f>DSUM($B$84:$Y$96,V$84,$C$105:$D108)</f>
        <v>7.7539464655570364E-2</v>
      </c>
      <c r="W108" s="54">
        <f>DSUM($B$84:$Y$96,W$84,$C$105:$D108)</f>
        <v>4.6964681825363196E-2</v>
      </c>
      <c r="X108" s="54">
        <f>DSUM($B$84:$Y$96,X$84,$C$105:$D108)</f>
        <v>2.7543575159345416E-2</v>
      </c>
      <c r="Y108" s="54">
        <f>DSUM($B$84:$Y$96,Y$84,$C$105:$D108)</f>
        <v>6.3940476966751634</v>
      </c>
      <c r="AA108" s="54"/>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80">
      <c r="B109" s="9" t="s">
        <v>79</v>
      </c>
      <c r="C109" s="57" t="s">
        <v>80</v>
      </c>
      <c r="D109" s="57" t="s">
        <v>81</v>
      </c>
      <c r="E109" s="54">
        <f>DSUM($B$84:$Y$96,E$84,$C$105:$D109)</f>
        <v>3.6075972971368206E-2</v>
      </c>
      <c r="F109" s="54">
        <f>DSUM($B$84:$Y$96,F$84,$C$105:$D109)</f>
        <v>5.6845687149414875E-2</v>
      </c>
      <c r="G109" s="54">
        <f>DSUM($B$84:$Y$96,G$84,$C$105:$D109)</f>
        <v>0.11389046540889008</v>
      </c>
      <c r="H109" s="54">
        <f>DSUM($B$84:$Y$96,H$84,$C$105:$D109)</f>
        <v>0.19950662884078108</v>
      </c>
      <c r="I109" s="54">
        <f>DSUM($B$84:$Y$96,I$84,$C$105:$D109)</f>
        <v>0.31047097076983782</v>
      </c>
      <c r="J109" s="54">
        <f>DSUM($B$84:$Y$96,J$84,$C$105:$D109)</f>
        <v>0.43498390291122285</v>
      </c>
      <c r="K109" s="54">
        <f>DSUM($B$84:$Y$96,K$84,$C$105:$D109)</f>
        <v>0.55360240991028176</v>
      </c>
      <c r="L109" s="54">
        <f>DSUM($B$84:$Y$96,L$84,$C$105:$D109)</f>
        <v>0.64549948013688563</v>
      </c>
      <c r="M109" s="54">
        <f>DSUM($B$84:$Y$96,M$84,$C$105:$D109)</f>
        <v>0.69453447127801782</v>
      </c>
      <c r="N109" s="54">
        <f>DSUM($B$84:$Y$96,N$84,$C$105:$D109)</f>
        <v>0.69365998561396969</v>
      </c>
      <c r="O109" s="54">
        <f>DSUM($B$84:$Y$96,O$84,$C$105:$D109)</f>
        <v>0.6465150869690881</v>
      </c>
      <c r="P109" s="54">
        <f>DSUM($B$84:$Y$96,P$84,$C$105:$D109)</f>
        <v>0.5647824367870613</v>
      </c>
      <c r="Q109" s="54">
        <f>DSUM($B$84:$Y$96,Q$84,$C$105:$D109)</f>
        <v>0.46420087171888658</v>
      </c>
      <c r="R109" s="54">
        <f>DSUM($B$84:$Y$96,R$84,$C$105:$D109)</f>
        <v>0.36019650961550659</v>
      </c>
      <c r="S109" s="54">
        <f>DSUM($B$84:$Y$96,S$84,$C$105:$D109)</f>
        <v>0.26474306872716746</v>
      </c>
      <c r="T109" s="54">
        <f>DSUM($B$84:$Y$96,T$84,$C$105:$D109)</f>
        <v>0.18450410138830525</v>
      </c>
      <c r="U109" s="54">
        <f>DSUM($B$84:$Y$96,U$84,$C$105:$D109)</f>
        <v>0.12244274242436461</v>
      </c>
      <c r="V109" s="54">
        <f>DSUM($B$84:$Y$96,V$84,$C$105:$D109)</f>
        <v>7.7539464655570364E-2</v>
      </c>
      <c r="W109" s="54">
        <f>DSUM($B$84:$Y$96,W$84,$C$105:$D109)</f>
        <v>4.6964681825363196E-2</v>
      </c>
      <c r="X109" s="54">
        <f>DSUM($B$84:$Y$96,X$84,$C$105:$D109)</f>
        <v>2.7543575159345416E-2</v>
      </c>
      <c r="Y109" s="54">
        <f>DSUM($B$84:$Y$96,Y$84,$C$105:$D109)</f>
        <v>6.3940476966751634</v>
      </c>
      <c r="AA109" s="54"/>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80">
      <c r="B110" s="9" t="s">
        <v>82</v>
      </c>
      <c r="C110" s="57" t="s">
        <v>83</v>
      </c>
      <c r="D110" s="57" t="s">
        <v>84</v>
      </c>
      <c r="E110" s="54">
        <f>DSUM($B$84:$Y$96,E$84,$C$105:$D110)</f>
        <v>3.6075972971368206E-2</v>
      </c>
      <c r="F110" s="54">
        <f>DSUM($B$84:$Y$96,F$84,$C$105:$D110)</f>
        <v>5.6845687149414875E-2</v>
      </c>
      <c r="G110" s="54">
        <f>DSUM($B$84:$Y$96,G$84,$C$105:$D110)</f>
        <v>0.11389046540889008</v>
      </c>
      <c r="H110" s="54">
        <f>DSUM($B$84:$Y$96,H$84,$C$105:$D110)</f>
        <v>0.19950662884078108</v>
      </c>
      <c r="I110" s="54">
        <f>DSUM($B$84:$Y$96,I$84,$C$105:$D110)</f>
        <v>0.31047097076983782</v>
      </c>
      <c r="J110" s="54">
        <f>DSUM($B$84:$Y$96,J$84,$C$105:$D110)</f>
        <v>0.43498390291122285</v>
      </c>
      <c r="K110" s="54">
        <f>DSUM($B$84:$Y$96,K$84,$C$105:$D110)</f>
        <v>0.55360240991028176</v>
      </c>
      <c r="L110" s="54">
        <f>DSUM($B$84:$Y$96,L$84,$C$105:$D110)</f>
        <v>0.64549948013688563</v>
      </c>
      <c r="M110" s="54">
        <f>DSUM($B$84:$Y$96,M$84,$C$105:$D110)</f>
        <v>0.69453447127801782</v>
      </c>
      <c r="N110" s="54">
        <f>DSUM($B$84:$Y$96,N$84,$C$105:$D110)</f>
        <v>0.69365998561396969</v>
      </c>
      <c r="O110" s="54">
        <f>DSUM($B$84:$Y$96,O$84,$C$105:$D110)</f>
        <v>0.6465150869690881</v>
      </c>
      <c r="P110" s="54">
        <f>DSUM($B$84:$Y$96,P$84,$C$105:$D110)</f>
        <v>0.5647824367870613</v>
      </c>
      <c r="Q110" s="54">
        <f>DSUM($B$84:$Y$96,Q$84,$C$105:$D110)</f>
        <v>0.46420087171888658</v>
      </c>
      <c r="R110" s="54">
        <f>DSUM($B$84:$Y$96,R$84,$C$105:$D110)</f>
        <v>0.36019650961550659</v>
      </c>
      <c r="S110" s="54">
        <f>DSUM($B$84:$Y$96,S$84,$C$105:$D110)</f>
        <v>0.26474306872716746</v>
      </c>
      <c r="T110" s="54">
        <f>DSUM($B$84:$Y$96,T$84,$C$105:$D110)</f>
        <v>0.18450410138830525</v>
      </c>
      <c r="U110" s="54">
        <f>DSUM($B$84:$Y$96,U$84,$C$105:$D110)</f>
        <v>0.12244274242436461</v>
      </c>
      <c r="V110" s="54">
        <f>DSUM($B$84:$Y$96,V$84,$C$105:$D110)</f>
        <v>7.7539464655570364E-2</v>
      </c>
      <c r="W110" s="54">
        <f>DSUM($B$84:$Y$96,W$84,$C$105:$D110)</f>
        <v>4.6964681825363196E-2</v>
      </c>
      <c r="X110" s="54">
        <f>DSUM($B$84:$Y$96,X$84,$C$105:$D110)</f>
        <v>2.7543575159345416E-2</v>
      </c>
      <c r="Y110" s="54">
        <f>DSUM($B$84:$Y$96,Y$84,$C$105:$D110)</f>
        <v>6.3940476966751634</v>
      </c>
      <c r="AA110" s="54"/>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80">
      <c r="B111" s="9" t="s">
        <v>85</v>
      </c>
      <c r="C111" s="57" t="s">
        <v>86</v>
      </c>
      <c r="D111" s="57" t="s">
        <v>87</v>
      </c>
      <c r="E111" s="54">
        <f>DSUM($B$84:$Y$96,E$84,$C$105:$D111)</f>
        <v>0.79607837034438056</v>
      </c>
      <c r="F111" s="54">
        <f>DSUM($B$84:$Y$96,F$84,$C$105:$D111)</f>
        <v>1.3453538838190295</v>
      </c>
      <c r="G111" s="54">
        <f>DSUM($B$84:$Y$96,G$84,$C$105:$D111)</f>
        <v>2.8409065365486899</v>
      </c>
      <c r="H111" s="54">
        <f>DSUM($B$84:$Y$96,H$84,$C$105:$D111)</f>
        <v>5.1813656202989895</v>
      </c>
      <c r="I111" s="54">
        <f>DSUM($B$84:$Y$96,I$84,$C$105:$D111)</f>
        <v>9.2755113678184813</v>
      </c>
      <c r="J111" s="54">
        <f>DSUM($B$84:$Y$96,J$84,$C$105:$D111)</f>
        <v>13.177076080858837</v>
      </c>
      <c r="K111" s="54">
        <f>DSUM($B$84:$Y$96,K$84,$C$105:$D111)</f>
        <v>17.000149225905993</v>
      </c>
      <c r="L111" s="54">
        <f>DSUM($B$84:$Y$96,L$84,$C$105:$D111)</f>
        <v>20.094200507642391</v>
      </c>
      <c r="M111" s="54">
        <f>DSUM($B$84:$Y$96,M$84,$C$105:$D111)</f>
        <v>21.914259285227523</v>
      </c>
      <c r="N111" s="54">
        <f>DSUM($B$84:$Y$96,N$84,$C$105:$D111)</f>
        <v>22.1777220553174</v>
      </c>
      <c r="O111" s="54">
        <f>DSUM($B$84:$Y$96,O$84,$C$105:$D111)</f>
        <v>20.940761893361561</v>
      </c>
      <c r="P111" s="54">
        <f>DSUM($B$84:$Y$96,P$84,$C$105:$D111)</f>
        <v>18.530276561596317</v>
      </c>
      <c r="Q111" s="54">
        <f>DSUM($B$84:$Y$96,Q$84,$C$105:$D111)</f>
        <v>15.42390245764571</v>
      </c>
      <c r="R111" s="54">
        <f>DSUM($B$84:$Y$96,R$84,$C$105:$D111)</f>
        <v>12.118433470034722</v>
      </c>
      <c r="S111" s="54">
        <f>DSUM($B$84:$Y$96,S$84,$C$105:$D111)</f>
        <v>9.0181782142003328</v>
      </c>
      <c r="T111" s="54">
        <f>DSUM($B$84:$Y$96,T$84,$C$105:$D111)</f>
        <v>6.3666159109184468</v>
      </c>
      <c r="U111" s="54">
        <f>DSUM($B$84:$Y$96,U$84,$C$105:$D111)</f>
        <v>4.2799248150467193</v>
      </c>
      <c r="V111" s="54">
        <f>DSUM($B$84:$Y$96,V$84,$C$105:$D111)</f>
        <v>2.7452885569447765</v>
      </c>
      <c r="W111" s="54">
        <f>DSUM($B$84:$Y$96,W$84,$C$105:$D111)</f>
        <v>1.6841759120518196</v>
      </c>
      <c r="X111" s="54">
        <f>DSUM($B$84:$Y$96,X$84,$C$105:$D111)</f>
        <v>0.9903942708428225</v>
      </c>
      <c r="Y111" s="54">
        <f>DSUM($B$84:$Y$96,Y$84,$C$105:$D111)</f>
        <v>229.91308026090408</v>
      </c>
      <c r="AA111" s="54"/>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80">
      <c r="B112" s="9" t="s">
        <v>88</v>
      </c>
      <c r="C112" s="57" t="s">
        <v>89</v>
      </c>
      <c r="D112" s="57" t="s">
        <v>90</v>
      </c>
      <c r="E112" s="54">
        <f>DSUM($B$84:$Y$96,E$84,$C$105:$D112)</f>
        <v>0.79607837034438056</v>
      </c>
      <c r="F112" s="54">
        <f>DSUM($B$84:$Y$96,F$84,$C$105:$D112)</f>
        <v>1.3453538838190295</v>
      </c>
      <c r="G112" s="54">
        <f>DSUM($B$84:$Y$96,G$84,$C$105:$D112)</f>
        <v>2.8409065365486899</v>
      </c>
      <c r="H112" s="54">
        <f>DSUM($B$84:$Y$96,H$84,$C$105:$D112)</f>
        <v>5.1813656202989895</v>
      </c>
      <c r="I112" s="54">
        <f>DSUM($B$84:$Y$96,I$84,$C$105:$D112)</f>
        <v>9.2755113678184813</v>
      </c>
      <c r="J112" s="54">
        <f>DSUM($B$84:$Y$96,J$84,$C$105:$D112)</f>
        <v>13.177076080858837</v>
      </c>
      <c r="K112" s="54">
        <f>DSUM($B$84:$Y$96,K$84,$C$105:$D112)</f>
        <v>17.000149225905993</v>
      </c>
      <c r="L112" s="54">
        <f>DSUM($B$84:$Y$96,L$84,$C$105:$D112)</f>
        <v>20.094200507642391</v>
      </c>
      <c r="M112" s="54">
        <f>DSUM($B$84:$Y$96,M$84,$C$105:$D112)</f>
        <v>21.914259285227523</v>
      </c>
      <c r="N112" s="54">
        <f>DSUM($B$84:$Y$96,N$84,$C$105:$D112)</f>
        <v>22.1777220553174</v>
      </c>
      <c r="O112" s="54">
        <f>DSUM($B$84:$Y$96,O$84,$C$105:$D112)</f>
        <v>20.940761893361561</v>
      </c>
      <c r="P112" s="54">
        <f>DSUM($B$84:$Y$96,P$84,$C$105:$D112)</f>
        <v>18.530276561596317</v>
      </c>
      <c r="Q112" s="54">
        <f>DSUM($B$84:$Y$96,Q$84,$C$105:$D112)</f>
        <v>15.42390245764571</v>
      </c>
      <c r="R112" s="54">
        <f>DSUM($B$84:$Y$96,R$84,$C$105:$D112)</f>
        <v>12.118433470034722</v>
      </c>
      <c r="S112" s="54">
        <f>DSUM($B$84:$Y$96,S$84,$C$105:$D112)</f>
        <v>9.0181782142003328</v>
      </c>
      <c r="T112" s="54">
        <f>DSUM($B$84:$Y$96,T$84,$C$105:$D112)</f>
        <v>6.3666159109184468</v>
      </c>
      <c r="U112" s="54">
        <f>DSUM($B$84:$Y$96,U$84,$C$105:$D112)</f>
        <v>4.2799248150467193</v>
      </c>
      <c r="V112" s="54">
        <f>DSUM($B$84:$Y$96,V$84,$C$105:$D112)</f>
        <v>2.7452885569447765</v>
      </c>
      <c r="W112" s="54">
        <f>DSUM($B$84:$Y$96,W$84,$C$105:$D112)</f>
        <v>1.6841759120518196</v>
      </c>
      <c r="X112" s="54">
        <f>DSUM($B$84:$Y$96,X$84,$C$105:$D112)</f>
        <v>0.9903942708428225</v>
      </c>
      <c r="Y112" s="54">
        <f>DSUM($B$84:$Y$96,Y$84,$C$105:$D112)</f>
        <v>229.91308026090408</v>
      </c>
      <c r="AA112" s="54"/>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9" t="s">
        <v>91</v>
      </c>
      <c r="C113" s="57" t="s">
        <v>92</v>
      </c>
      <c r="D113" s="57" t="s">
        <v>93</v>
      </c>
      <c r="E113" s="54">
        <f>DSUM($B$84:$Y$96,E$84,$C$105:$D113)</f>
        <v>0.79607837034438056</v>
      </c>
      <c r="F113" s="54">
        <f>DSUM($B$84:$Y$96,F$84,$C$105:$D113)</f>
        <v>1.3453538838190295</v>
      </c>
      <c r="G113" s="54">
        <f>DSUM($B$84:$Y$96,G$84,$C$105:$D113)</f>
        <v>2.8409065365486899</v>
      </c>
      <c r="H113" s="54">
        <f>DSUM($B$84:$Y$96,H$84,$C$105:$D113)</f>
        <v>5.1813656202989895</v>
      </c>
      <c r="I113" s="54">
        <f>DSUM($B$84:$Y$96,I$84,$C$105:$D113)</f>
        <v>9.2755113678184813</v>
      </c>
      <c r="J113" s="54">
        <f>DSUM($B$84:$Y$96,J$84,$C$105:$D113)</f>
        <v>13.177076080858837</v>
      </c>
      <c r="K113" s="54">
        <f>DSUM($B$84:$Y$96,K$84,$C$105:$D113)</f>
        <v>17.000149225905993</v>
      </c>
      <c r="L113" s="54">
        <f>DSUM($B$84:$Y$96,L$84,$C$105:$D113)</f>
        <v>20.094200507642391</v>
      </c>
      <c r="M113" s="54">
        <f>DSUM($B$84:$Y$96,M$84,$C$105:$D113)</f>
        <v>21.914259285227523</v>
      </c>
      <c r="N113" s="54">
        <f>DSUM($B$84:$Y$96,N$84,$C$105:$D113)</f>
        <v>22.1777220553174</v>
      </c>
      <c r="O113" s="54">
        <f>DSUM($B$84:$Y$96,O$84,$C$105:$D113)</f>
        <v>20.940761893361561</v>
      </c>
      <c r="P113" s="54">
        <f>DSUM($B$84:$Y$96,P$84,$C$105:$D113)</f>
        <v>18.530276561596317</v>
      </c>
      <c r="Q113" s="54">
        <f>DSUM($B$84:$Y$96,Q$84,$C$105:$D113)</f>
        <v>15.42390245764571</v>
      </c>
      <c r="R113" s="54">
        <f>DSUM($B$84:$Y$96,R$84,$C$105:$D113)</f>
        <v>12.118433470034722</v>
      </c>
      <c r="S113" s="54">
        <f>DSUM($B$84:$Y$96,S$84,$C$105:$D113)</f>
        <v>9.0181782142003328</v>
      </c>
      <c r="T113" s="54">
        <f>DSUM($B$84:$Y$96,T$84,$C$105:$D113)</f>
        <v>6.3666159109184468</v>
      </c>
      <c r="U113" s="54">
        <f>DSUM($B$84:$Y$96,U$84,$C$105:$D113)</f>
        <v>4.2799248150467193</v>
      </c>
      <c r="V113" s="54">
        <f>DSUM($B$84:$Y$96,V$84,$C$105:$D113)</f>
        <v>2.7452885569447765</v>
      </c>
      <c r="W113" s="54">
        <f>DSUM($B$84:$Y$96,W$84,$C$105:$D113)</f>
        <v>1.6841759120518196</v>
      </c>
      <c r="X113" s="54">
        <f>DSUM($B$84:$Y$96,X$84,$C$105:$D113)</f>
        <v>0.9903942708428225</v>
      </c>
      <c r="Y113" s="54">
        <f>DSUM($B$84:$Y$96,Y$84,$C$105:$D113)</f>
        <v>229.91308026090408</v>
      </c>
      <c r="AA113" s="54"/>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9" t="s">
        <v>94</v>
      </c>
      <c r="C114" s="57" t="s">
        <v>95</v>
      </c>
      <c r="D114" s="57" t="s">
        <v>96</v>
      </c>
      <c r="E114" s="54">
        <f>DSUM($B$84:$Y$96,E$84,$C$105:$D114)</f>
        <v>0.79607837034438056</v>
      </c>
      <c r="F114" s="54">
        <f>DSUM($B$84:$Y$96,F$84,$C$105:$D114)</f>
        <v>1.3453538838190295</v>
      </c>
      <c r="G114" s="54">
        <f>DSUM($B$84:$Y$96,G$84,$C$105:$D114)</f>
        <v>2.8409065365486899</v>
      </c>
      <c r="H114" s="54">
        <f>DSUM($B$84:$Y$96,H$84,$C$105:$D114)</f>
        <v>5.1813656202989895</v>
      </c>
      <c r="I114" s="54">
        <f>DSUM($B$84:$Y$96,I$84,$C$105:$D114)</f>
        <v>9.2755113678184813</v>
      </c>
      <c r="J114" s="54">
        <f>DSUM($B$84:$Y$96,J$84,$C$105:$D114)</f>
        <v>13.177076080858837</v>
      </c>
      <c r="K114" s="54">
        <f>DSUM($B$84:$Y$96,K$84,$C$105:$D114)</f>
        <v>17.000149225905993</v>
      </c>
      <c r="L114" s="54">
        <f>DSUM($B$84:$Y$96,L$84,$C$105:$D114)</f>
        <v>20.094200507642391</v>
      </c>
      <c r="M114" s="54">
        <f>DSUM($B$84:$Y$96,M$84,$C$105:$D114)</f>
        <v>21.914259285227523</v>
      </c>
      <c r="N114" s="54">
        <f>DSUM($B$84:$Y$96,N$84,$C$105:$D114)</f>
        <v>22.1777220553174</v>
      </c>
      <c r="O114" s="54">
        <f>DSUM($B$84:$Y$96,O$84,$C$105:$D114)</f>
        <v>20.940761893361561</v>
      </c>
      <c r="P114" s="54">
        <f>DSUM($B$84:$Y$96,P$84,$C$105:$D114)</f>
        <v>18.530276561596317</v>
      </c>
      <c r="Q114" s="54">
        <f>DSUM($B$84:$Y$96,Q$84,$C$105:$D114)</f>
        <v>15.42390245764571</v>
      </c>
      <c r="R114" s="54">
        <f>DSUM($B$84:$Y$96,R$84,$C$105:$D114)</f>
        <v>12.118433470034722</v>
      </c>
      <c r="S114" s="54">
        <f>DSUM($B$84:$Y$96,S$84,$C$105:$D114)</f>
        <v>9.0181782142003328</v>
      </c>
      <c r="T114" s="54">
        <f>DSUM($B$84:$Y$96,T$84,$C$105:$D114)</f>
        <v>6.3666159109184468</v>
      </c>
      <c r="U114" s="54">
        <f>DSUM($B$84:$Y$96,U$84,$C$105:$D114)</f>
        <v>4.2799248150467193</v>
      </c>
      <c r="V114" s="54">
        <f>DSUM($B$84:$Y$96,V$84,$C$105:$D114)</f>
        <v>2.7452885569447765</v>
      </c>
      <c r="W114" s="54">
        <f>DSUM($B$84:$Y$96,W$84,$C$105:$D114)</f>
        <v>1.6841759120518196</v>
      </c>
      <c r="X114" s="54">
        <f>DSUM($B$84:$Y$96,X$84,$C$105:$D114)</f>
        <v>0.9903942708428225</v>
      </c>
      <c r="Y114" s="54">
        <f>DSUM($B$84:$Y$96,Y$84,$C$105:$D114)</f>
        <v>229.91308026090408</v>
      </c>
      <c r="AA114" s="5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9" t="s">
        <v>97</v>
      </c>
      <c r="C115" s="57" t="s">
        <v>98</v>
      </c>
      <c r="D115" s="57" t="s">
        <v>99</v>
      </c>
      <c r="E115" s="54">
        <f>DSUM($B$84:$Y$96,E$84,$C$105:$D115)</f>
        <v>0.79607837034438056</v>
      </c>
      <c r="F115" s="54">
        <f>DSUM($B$84:$Y$96,F$84,$C$105:$D115)</f>
        <v>1.3453538838190295</v>
      </c>
      <c r="G115" s="54">
        <f>DSUM($B$84:$Y$96,G$84,$C$105:$D115)</f>
        <v>2.8409065365486899</v>
      </c>
      <c r="H115" s="54">
        <f>DSUM($B$84:$Y$96,H$84,$C$105:$D115)</f>
        <v>5.1813656202989895</v>
      </c>
      <c r="I115" s="54">
        <f>DSUM($B$84:$Y$96,I$84,$C$105:$D115)</f>
        <v>9.2755113678184813</v>
      </c>
      <c r="J115" s="54">
        <f>DSUM($B$84:$Y$96,J$84,$C$105:$D115)</f>
        <v>13.177076080858837</v>
      </c>
      <c r="K115" s="54">
        <f>DSUM($B$84:$Y$96,K$84,$C$105:$D115)</f>
        <v>17.000149225905993</v>
      </c>
      <c r="L115" s="54">
        <f>DSUM($B$84:$Y$96,L$84,$C$105:$D115)</f>
        <v>20.094200507642391</v>
      </c>
      <c r="M115" s="54">
        <f>DSUM($B$84:$Y$96,M$84,$C$105:$D115)</f>
        <v>21.914259285227523</v>
      </c>
      <c r="N115" s="54">
        <f>DSUM($B$84:$Y$96,N$84,$C$105:$D115)</f>
        <v>22.1777220553174</v>
      </c>
      <c r="O115" s="54">
        <f>DSUM($B$84:$Y$96,O$84,$C$105:$D115)</f>
        <v>20.940761893361561</v>
      </c>
      <c r="P115" s="54">
        <f>DSUM($B$84:$Y$96,P$84,$C$105:$D115)</f>
        <v>18.530276561596317</v>
      </c>
      <c r="Q115" s="54">
        <f>DSUM($B$84:$Y$96,Q$84,$C$105:$D115)</f>
        <v>15.42390245764571</v>
      </c>
      <c r="R115" s="54">
        <f>DSUM($B$84:$Y$96,R$84,$C$105:$D115)</f>
        <v>12.118433470034722</v>
      </c>
      <c r="S115" s="54">
        <f>DSUM($B$84:$Y$96,S$84,$C$105:$D115)</f>
        <v>9.0181782142003328</v>
      </c>
      <c r="T115" s="54">
        <f>DSUM($B$84:$Y$96,T$84,$C$105:$D115)</f>
        <v>6.3666159109184468</v>
      </c>
      <c r="U115" s="54">
        <f>DSUM($B$84:$Y$96,U$84,$C$105:$D115)</f>
        <v>4.2799248150467193</v>
      </c>
      <c r="V115" s="54">
        <f>DSUM($B$84:$Y$96,V$84,$C$105:$D115)</f>
        <v>2.7452885569447765</v>
      </c>
      <c r="W115" s="54">
        <f>DSUM($B$84:$Y$96,W$84,$C$105:$D115)</f>
        <v>1.6841759120518196</v>
      </c>
      <c r="X115" s="54">
        <f>DSUM($B$84:$Y$96,X$84,$C$105:$D115)</f>
        <v>0.9903942708428225</v>
      </c>
      <c r="Y115" s="54">
        <f>DSUM($B$84:$Y$96,Y$84,$C$105:$D115)</f>
        <v>229.91308026090408</v>
      </c>
      <c r="AA115" s="54"/>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9" t="s">
        <v>100</v>
      </c>
      <c r="C116" s="57" t="s">
        <v>101</v>
      </c>
      <c r="D116" s="57" t="s">
        <v>102</v>
      </c>
      <c r="E116" s="54">
        <f>DSUM($B$84:$Y$96,E$84,$C$105:$D116)</f>
        <v>0.79607837034438056</v>
      </c>
      <c r="F116" s="54">
        <f>DSUM($B$84:$Y$96,F$84,$C$105:$D116)</f>
        <v>1.3453538838190295</v>
      </c>
      <c r="G116" s="54">
        <f>DSUM($B$84:$Y$96,G$84,$C$105:$D116)</f>
        <v>2.8409065365486899</v>
      </c>
      <c r="H116" s="54">
        <f>DSUM($B$84:$Y$96,H$84,$C$105:$D116)</f>
        <v>5.1813656202989895</v>
      </c>
      <c r="I116" s="54">
        <f>DSUM($B$84:$Y$96,I$84,$C$105:$D116)</f>
        <v>9.2755113678184813</v>
      </c>
      <c r="J116" s="54">
        <f>DSUM($B$84:$Y$96,J$84,$C$105:$D116)</f>
        <v>13.177076080858837</v>
      </c>
      <c r="K116" s="54">
        <f>DSUM($B$84:$Y$96,K$84,$C$105:$D116)</f>
        <v>17.000149225905993</v>
      </c>
      <c r="L116" s="54">
        <f>DSUM($B$84:$Y$96,L$84,$C$105:$D116)</f>
        <v>20.094200507642391</v>
      </c>
      <c r="M116" s="54">
        <f>DSUM($B$84:$Y$96,M$84,$C$105:$D116)</f>
        <v>21.914259285227523</v>
      </c>
      <c r="N116" s="54">
        <f>DSUM($B$84:$Y$96,N$84,$C$105:$D116)</f>
        <v>22.1777220553174</v>
      </c>
      <c r="O116" s="54">
        <f>DSUM($B$84:$Y$96,O$84,$C$105:$D116)</f>
        <v>20.940761893361561</v>
      </c>
      <c r="P116" s="54">
        <f>DSUM($B$84:$Y$96,P$84,$C$105:$D116)</f>
        <v>18.530276561596317</v>
      </c>
      <c r="Q116" s="54">
        <f>DSUM($B$84:$Y$96,Q$84,$C$105:$D116)</f>
        <v>15.42390245764571</v>
      </c>
      <c r="R116" s="54">
        <f>DSUM($B$84:$Y$96,R$84,$C$105:$D116)</f>
        <v>12.118433470034722</v>
      </c>
      <c r="S116" s="54">
        <f>DSUM($B$84:$Y$96,S$84,$C$105:$D116)</f>
        <v>9.0181782142003328</v>
      </c>
      <c r="T116" s="54">
        <f>DSUM($B$84:$Y$96,T$84,$C$105:$D116)</f>
        <v>6.3666159109184468</v>
      </c>
      <c r="U116" s="54">
        <f>DSUM($B$84:$Y$96,U$84,$C$105:$D116)</f>
        <v>4.2799248150467193</v>
      </c>
      <c r="V116" s="54">
        <f>DSUM($B$84:$Y$96,V$84,$C$105:$D116)</f>
        <v>2.7452885569447765</v>
      </c>
      <c r="W116" s="54">
        <f>DSUM($B$84:$Y$96,W$84,$C$105:$D116)</f>
        <v>1.6841759120518196</v>
      </c>
      <c r="X116" s="54">
        <f>DSUM($B$84:$Y$96,X$84,$C$105:$D116)</f>
        <v>0.9903942708428225</v>
      </c>
      <c r="Y116" s="54">
        <f>DSUM($B$84:$Y$96,Y$84,$C$105:$D116)</f>
        <v>229.91308026090408</v>
      </c>
      <c r="AA116" s="54"/>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9" t="s">
        <v>103</v>
      </c>
      <c r="C117" s="57" t="s">
        <v>104</v>
      </c>
      <c r="D117" s="57" t="s">
        <v>105</v>
      </c>
      <c r="E117" s="54">
        <f>DSUM($B$84:$Y$96,E$84,$C$105:$D117)</f>
        <v>0.79607837034438056</v>
      </c>
      <c r="F117" s="54">
        <f>DSUM($B$84:$Y$96,F$84,$C$105:$D117)</f>
        <v>1.3453538838190295</v>
      </c>
      <c r="G117" s="54">
        <f>DSUM($B$84:$Y$96,G$84,$C$105:$D117)</f>
        <v>2.8409065365486899</v>
      </c>
      <c r="H117" s="54">
        <f>DSUM($B$84:$Y$96,H$84,$C$105:$D117)</f>
        <v>5.1813656202989895</v>
      </c>
      <c r="I117" s="54">
        <f>DSUM($B$84:$Y$96,I$84,$C$105:$D117)</f>
        <v>9.2755113678184813</v>
      </c>
      <c r="J117" s="54">
        <f>DSUM($B$84:$Y$96,J$84,$C$105:$D117)</f>
        <v>13.177076080858837</v>
      </c>
      <c r="K117" s="54">
        <f>DSUM($B$84:$Y$96,K$84,$C$105:$D117)</f>
        <v>17.000149225905993</v>
      </c>
      <c r="L117" s="54">
        <f>DSUM($B$84:$Y$96,L$84,$C$105:$D117)</f>
        <v>20.094200507642391</v>
      </c>
      <c r="M117" s="54">
        <f>DSUM($B$84:$Y$96,M$84,$C$105:$D117)</f>
        <v>21.914259285227523</v>
      </c>
      <c r="N117" s="54">
        <f>DSUM($B$84:$Y$96,N$84,$C$105:$D117)</f>
        <v>22.1777220553174</v>
      </c>
      <c r="O117" s="54">
        <f>DSUM($B$84:$Y$96,O$84,$C$105:$D117)</f>
        <v>20.940761893361561</v>
      </c>
      <c r="P117" s="54">
        <f>DSUM($B$84:$Y$96,P$84,$C$105:$D117)</f>
        <v>18.530276561596317</v>
      </c>
      <c r="Q117" s="54">
        <f>DSUM($B$84:$Y$96,Q$84,$C$105:$D117)</f>
        <v>15.42390245764571</v>
      </c>
      <c r="R117" s="54">
        <f>DSUM($B$84:$Y$96,R$84,$C$105:$D117)</f>
        <v>12.118433470034722</v>
      </c>
      <c r="S117" s="54">
        <f>DSUM($B$84:$Y$96,S$84,$C$105:$D117)</f>
        <v>9.0181782142003328</v>
      </c>
      <c r="T117" s="54">
        <f>DSUM($B$84:$Y$96,T$84,$C$105:$D117)</f>
        <v>6.3666159109184468</v>
      </c>
      <c r="U117" s="54">
        <f>DSUM($B$84:$Y$96,U$84,$C$105:$D117)</f>
        <v>4.2799248150467193</v>
      </c>
      <c r="V117" s="54">
        <f>DSUM($B$84:$Y$96,V$84,$C$105:$D117)</f>
        <v>2.7452885569447765</v>
      </c>
      <c r="W117" s="54">
        <f>DSUM($B$84:$Y$96,W$84,$C$105:$D117)</f>
        <v>1.6841759120518196</v>
      </c>
      <c r="X117" s="54">
        <f>DSUM($B$84:$Y$96,X$84,$C$105:$D117)</f>
        <v>0.9903942708428225</v>
      </c>
      <c r="Y117" s="54">
        <f>DSUM($B$84:$Y$96,Y$84,$C$105:$D117)</f>
        <v>229.91308026090408</v>
      </c>
      <c r="AA117" s="54"/>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9" t="s">
        <v>106</v>
      </c>
      <c r="C118" s="57" t="s">
        <v>107</v>
      </c>
      <c r="D118" s="57" t="s">
        <v>108</v>
      </c>
      <c r="E118" s="54">
        <f>DSUM($B$84:$Y$96,E$84,$C$105:$D118)</f>
        <v>0.79607837034438056</v>
      </c>
      <c r="F118" s="54">
        <f>DSUM($B$84:$Y$96,F$84,$C$105:$D118)</f>
        <v>1.3453538838190295</v>
      </c>
      <c r="G118" s="54">
        <f>DSUM($B$84:$Y$96,G$84,$C$105:$D118)</f>
        <v>2.8409065365486899</v>
      </c>
      <c r="H118" s="54">
        <f>DSUM($B$84:$Y$96,H$84,$C$105:$D118)</f>
        <v>5.1813656202989895</v>
      </c>
      <c r="I118" s="54">
        <f>DSUM($B$84:$Y$96,I$84,$C$105:$D118)</f>
        <v>9.2755113678184813</v>
      </c>
      <c r="J118" s="54">
        <f>DSUM($B$84:$Y$96,J$84,$C$105:$D118)</f>
        <v>13.177076080858837</v>
      </c>
      <c r="K118" s="54">
        <f>DSUM($B$84:$Y$96,K$84,$C$105:$D118)</f>
        <v>17.000149225905993</v>
      </c>
      <c r="L118" s="54">
        <f>DSUM($B$84:$Y$96,L$84,$C$105:$D118)</f>
        <v>20.094200507642391</v>
      </c>
      <c r="M118" s="54">
        <f>DSUM($B$84:$Y$96,M$84,$C$105:$D118)</f>
        <v>21.914259285227523</v>
      </c>
      <c r="N118" s="54">
        <f>DSUM($B$84:$Y$96,N$84,$C$105:$D118)</f>
        <v>22.1777220553174</v>
      </c>
      <c r="O118" s="54">
        <f>DSUM($B$84:$Y$96,O$84,$C$105:$D118)</f>
        <v>20.940761893361561</v>
      </c>
      <c r="P118" s="54">
        <f>DSUM($B$84:$Y$96,P$84,$C$105:$D118)</f>
        <v>18.530276561596317</v>
      </c>
      <c r="Q118" s="54">
        <f>DSUM($B$84:$Y$96,Q$84,$C$105:$D118)</f>
        <v>15.42390245764571</v>
      </c>
      <c r="R118" s="54">
        <f>DSUM($B$84:$Y$96,R$84,$C$105:$D118)</f>
        <v>12.118433470034722</v>
      </c>
      <c r="S118" s="54">
        <f>DSUM($B$84:$Y$96,S$84,$C$105:$D118)</f>
        <v>9.0181782142003328</v>
      </c>
      <c r="T118" s="54">
        <f>DSUM($B$84:$Y$96,T$84,$C$105:$D118)</f>
        <v>6.3666159109184468</v>
      </c>
      <c r="U118" s="54">
        <f>DSUM($B$84:$Y$96,U$84,$C$105:$D118)</f>
        <v>4.2799248150467193</v>
      </c>
      <c r="V118" s="54">
        <f>DSUM($B$84:$Y$96,V$84,$C$105:$D118)</f>
        <v>2.7452885569447765</v>
      </c>
      <c r="W118" s="54">
        <f>DSUM($B$84:$Y$96,W$84,$C$105:$D118)</f>
        <v>1.6841759120518196</v>
      </c>
      <c r="X118" s="54">
        <f>DSUM($B$84:$Y$96,X$84,$C$105:$D118)</f>
        <v>0.9903942708428225</v>
      </c>
      <c r="Y118" s="54">
        <f>DSUM($B$84:$Y$96,Y$84,$C$105:$D118)</f>
        <v>229.91308026090408</v>
      </c>
      <c r="AA118" s="54"/>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9" t="s">
        <v>109</v>
      </c>
      <c r="C119" s="57" t="s">
        <v>110</v>
      </c>
      <c r="D119" s="57" t="s">
        <v>111</v>
      </c>
      <c r="E119" s="54">
        <f>DSUM($B$84:$Y$96,E$84,$C$105:$D119)</f>
        <v>0.79607837034438056</v>
      </c>
      <c r="F119" s="54">
        <f>DSUM($B$84:$Y$96,F$84,$C$105:$D119)</f>
        <v>1.3453538838190295</v>
      </c>
      <c r="G119" s="54">
        <f>DSUM($B$84:$Y$96,G$84,$C$105:$D119)</f>
        <v>2.8409065365486899</v>
      </c>
      <c r="H119" s="54">
        <f>DSUM($B$84:$Y$96,H$84,$C$105:$D119)</f>
        <v>5.1813656202989895</v>
      </c>
      <c r="I119" s="54">
        <f>DSUM($B$84:$Y$96,I$84,$C$105:$D119)</f>
        <v>9.2755113678184813</v>
      </c>
      <c r="J119" s="54">
        <f>DSUM($B$84:$Y$96,J$84,$C$105:$D119)</f>
        <v>13.177076080858837</v>
      </c>
      <c r="K119" s="54">
        <f>DSUM($B$84:$Y$96,K$84,$C$105:$D119)</f>
        <v>17.000149225905993</v>
      </c>
      <c r="L119" s="54">
        <f>DSUM($B$84:$Y$96,L$84,$C$105:$D119)</f>
        <v>20.094200507642391</v>
      </c>
      <c r="M119" s="54">
        <f>DSUM($B$84:$Y$96,M$84,$C$105:$D119)</f>
        <v>21.914259285227523</v>
      </c>
      <c r="N119" s="54">
        <f>DSUM($B$84:$Y$96,N$84,$C$105:$D119)</f>
        <v>22.1777220553174</v>
      </c>
      <c r="O119" s="54">
        <f>DSUM($B$84:$Y$96,O$84,$C$105:$D119)</f>
        <v>20.940761893361561</v>
      </c>
      <c r="P119" s="54">
        <f>DSUM($B$84:$Y$96,P$84,$C$105:$D119)</f>
        <v>18.530276561596317</v>
      </c>
      <c r="Q119" s="54">
        <f>DSUM($B$84:$Y$96,Q$84,$C$105:$D119)</f>
        <v>15.42390245764571</v>
      </c>
      <c r="R119" s="54">
        <f>DSUM($B$84:$Y$96,R$84,$C$105:$D119)</f>
        <v>12.118433470034722</v>
      </c>
      <c r="S119" s="54">
        <f>DSUM($B$84:$Y$96,S$84,$C$105:$D119)</f>
        <v>9.0181782142003328</v>
      </c>
      <c r="T119" s="54">
        <f>DSUM($B$84:$Y$96,T$84,$C$105:$D119)</f>
        <v>6.3666159109184468</v>
      </c>
      <c r="U119" s="54">
        <f>DSUM($B$84:$Y$96,U$84,$C$105:$D119)</f>
        <v>4.2799248150467193</v>
      </c>
      <c r="V119" s="54">
        <f>DSUM($B$84:$Y$96,V$84,$C$105:$D119)</f>
        <v>2.7452885569447765</v>
      </c>
      <c r="W119" s="54">
        <f>DSUM($B$84:$Y$96,W$84,$C$105:$D119)</f>
        <v>1.6841759120518196</v>
      </c>
      <c r="X119" s="54">
        <f>DSUM($B$84:$Y$96,X$84,$C$105:$D119)</f>
        <v>0.9903942708428225</v>
      </c>
      <c r="Y119" s="54">
        <f>DSUM($B$84:$Y$96,Y$84,$C$105:$D119)</f>
        <v>229.91308026090408</v>
      </c>
      <c r="AA119" s="54"/>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9" t="s">
        <v>112</v>
      </c>
      <c r="C120" s="57" t="s">
        <v>113</v>
      </c>
      <c r="D120" s="57" t="s">
        <v>114</v>
      </c>
      <c r="E120" s="54">
        <f>DSUM($B$84:$Y$96,E$84,$C$105:$D120)</f>
        <v>0.79607837034438056</v>
      </c>
      <c r="F120" s="54">
        <f>DSUM($B$84:$Y$96,F$84,$C$105:$D120)</f>
        <v>1.3453538838190295</v>
      </c>
      <c r="G120" s="54">
        <f>DSUM($B$84:$Y$96,G$84,$C$105:$D120)</f>
        <v>2.8409065365486899</v>
      </c>
      <c r="H120" s="54">
        <f>DSUM($B$84:$Y$96,H$84,$C$105:$D120)</f>
        <v>5.1813656202989895</v>
      </c>
      <c r="I120" s="54">
        <f>DSUM($B$84:$Y$96,I$84,$C$105:$D120)</f>
        <v>9.2755113678184813</v>
      </c>
      <c r="J120" s="54">
        <f>DSUM($B$84:$Y$96,J$84,$C$105:$D120)</f>
        <v>13.177076080858837</v>
      </c>
      <c r="K120" s="54">
        <f>DSUM($B$84:$Y$96,K$84,$C$105:$D120)</f>
        <v>17.000149225905993</v>
      </c>
      <c r="L120" s="54">
        <f>DSUM($B$84:$Y$96,L$84,$C$105:$D120)</f>
        <v>20.094200507642391</v>
      </c>
      <c r="M120" s="54">
        <f>DSUM($B$84:$Y$96,M$84,$C$105:$D120)</f>
        <v>21.914259285227523</v>
      </c>
      <c r="N120" s="54">
        <f>DSUM($B$84:$Y$96,N$84,$C$105:$D120)</f>
        <v>22.1777220553174</v>
      </c>
      <c r="O120" s="54">
        <f>DSUM($B$84:$Y$96,O$84,$C$105:$D120)</f>
        <v>20.940761893361561</v>
      </c>
      <c r="P120" s="54">
        <f>DSUM($B$84:$Y$96,P$84,$C$105:$D120)</f>
        <v>18.530276561596317</v>
      </c>
      <c r="Q120" s="54">
        <f>DSUM($B$84:$Y$96,Q$84,$C$105:$D120)</f>
        <v>15.42390245764571</v>
      </c>
      <c r="R120" s="54">
        <f>DSUM($B$84:$Y$96,R$84,$C$105:$D120)</f>
        <v>12.118433470034722</v>
      </c>
      <c r="S120" s="54">
        <f>DSUM($B$84:$Y$96,S$84,$C$105:$D120)</f>
        <v>9.0181782142003328</v>
      </c>
      <c r="T120" s="54">
        <f>DSUM($B$84:$Y$96,T$84,$C$105:$D120)</f>
        <v>6.3666159109184468</v>
      </c>
      <c r="U120" s="54">
        <f>DSUM($B$84:$Y$96,U$84,$C$105:$D120)</f>
        <v>4.2799248150467193</v>
      </c>
      <c r="V120" s="54">
        <f>DSUM($B$84:$Y$96,V$84,$C$105:$D120)</f>
        <v>2.7452885569447765</v>
      </c>
      <c r="W120" s="54">
        <f>DSUM($B$84:$Y$96,W$84,$C$105:$D120)</f>
        <v>1.6841759120518196</v>
      </c>
      <c r="X120" s="54">
        <f>DSUM($B$84:$Y$96,X$84,$C$105:$D120)</f>
        <v>0.9903942708428225</v>
      </c>
      <c r="Y120" s="54">
        <f>DSUM($B$84:$Y$96,Y$84,$C$105:$D120)</f>
        <v>229.91308026090408</v>
      </c>
      <c r="AA120" s="54"/>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9" t="s">
        <v>115</v>
      </c>
      <c r="C121" s="57" t="s">
        <v>116</v>
      </c>
      <c r="D121" s="57" t="s">
        <v>117</v>
      </c>
      <c r="E121" s="54">
        <f>DSUM($B$84:$Y$96,E$84,$C$105:$D121)</f>
        <v>0.79607837034438056</v>
      </c>
      <c r="F121" s="54">
        <f>DSUM($B$84:$Y$96,F$84,$C$105:$D121)</f>
        <v>1.3453538838190295</v>
      </c>
      <c r="G121" s="54">
        <f>DSUM($B$84:$Y$96,G$84,$C$105:$D121)</f>
        <v>2.8409065365486899</v>
      </c>
      <c r="H121" s="54">
        <f>DSUM($B$84:$Y$96,H$84,$C$105:$D121)</f>
        <v>5.1813656202989895</v>
      </c>
      <c r="I121" s="54">
        <f>DSUM($B$84:$Y$96,I$84,$C$105:$D121)</f>
        <v>9.2755113678184813</v>
      </c>
      <c r="J121" s="54">
        <f>DSUM($B$84:$Y$96,J$84,$C$105:$D121)</f>
        <v>13.177076080858837</v>
      </c>
      <c r="K121" s="54">
        <f>DSUM($B$84:$Y$96,K$84,$C$105:$D121)</f>
        <v>17.000149225905993</v>
      </c>
      <c r="L121" s="54">
        <f>DSUM($B$84:$Y$96,L$84,$C$105:$D121)</f>
        <v>20.094200507642391</v>
      </c>
      <c r="M121" s="54">
        <f>DSUM($B$84:$Y$96,M$84,$C$105:$D121)</f>
        <v>21.914259285227523</v>
      </c>
      <c r="N121" s="54">
        <f>DSUM($B$84:$Y$96,N$84,$C$105:$D121)</f>
        <v>22.1777220553174</v>
      </c>
      <c r="O121" s="54">
        <f>DSUM($B$84:$Y$96,O$84,$C$105:$D121)</f>
        <v>20.940761893361561</v>
      </c>
      <c r="P121" s="54">
        <f>DSUM($B$84:$Y$96,P$84,$C$105:$D121)</f>
        <v>18.530276561596317</v>
      </c>
      <c r="Q121" s="54">
        <f>DSUM($B$84:$Y$96,Q$84,$C$105:$D121)</f>
        <v>15.42390245764571</v>
      </c>
      <c r="R121" s="54">
        <f>DSUM($B$84:$Y$96,R$84,$C$105:$D121)</f>
        <v>12.118433470034722</v>
      </c>
      <c r="S121" s="54">
        <f>DSUM($B$84:$Y$96,S$84,$C$105:$D121)</f>
        <v>9.0181782142003328</v>
      </c>
      <c r="T121" s="54">
        <f>DSUM($B$84:$Y$96,T$84,$C$105:$D121)</f>
        <v>6.3666159109184468</v>
      </c>
      <c r="U121" s="54">
        <f>DSUM($B$84:$Y$96,U$84,$C$105:$D121)</f>
        <v>4.2799248150467193</v>
      </c>
      <c r="V121" s="54">
        <f>DSUM($B$84:$Y$96,V$84,$C$105:$D121)</f>
        <v>2.7452885569447765</v>
      </c>
      <c r="W121" s="54">
        <f>DSUM($B$84:$Y$96,W$84,$C$105:$D121)</f>
        <v>1.6841759120518196</v>
      </c>
      <c r="X121" s="54">
        <f>DSUM($B$84:$Y$96,X$84,$C$105:$D121)</f>
        <v>0.9903942708428225</v>
      </c>
      <c r="Y121" s="54">
        <f>DSUM($B$84:$Y$96,Y$84,$C$105:$D121)</f>
        <v>229.91308026090408</v>
      </c>
      <c r="AA121" s="54"/>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9" t="s">
        <v>118</v>
      </c>
      <c r="C122" s="57" t="s">
        <v>119</v>
      </c>
      <c r="D122" s="57" t="s">
        <v>120</v>
      </c>
      <c r="E122" s="54">
        <f>DSUM($B$84:$Y$96,E$84,$C$105:$D122)</f>
        <v>0.79607837034438056</v>
      </c>
      <c r="F122" s="54">
        <f>DSUM($B$84:$Y$96,F$84,$C$105:$D122)</f>
        <v>1.3453538838190295</v>
      </c>
      <c r="G122" s="54">
        <f>DSUM($B$84:$Y$96,G$84,$C$105:$D122)</f>
        <v>2.8409065365486899</v>
      </c>
      <c r="H122" s="54">
        <f>DSUM($B$84:$Y$96,H$84,$C$105:$D122)</f>
        <v>5.1813656202989895</v>
      </c>
      <c r="I122" s="54">
        <f>DSUM($B$84:$Y$96,I$84,$C$105:$D122)</f>
        <v>9.2755113678184813</v>
      </c>
      <c r="J122" s="54">
        <f>DSUM($B$84:$Y$96,J$84,$C$105:$D122)</f>
        <v>13.177076080858837</v>
      </c>
      <c r="K122" s="54">
        <f>DSUM($B$84:$Y$96,K$84,$C$105:$D122)</f>
        <v>17.000149225905993</v>
      </c>
      <c r="L122" s="54">
        <f>DSUM($B$84:$Y$96,L$84,$C$105:$D122)</f>
        <v>20.094200507642391</v>
      </c>
      <c r="M122" s="54">
        <f>DSUM($B$84:$Y$96,M$84,$C$105:$D122)</f>
        <v>21.914259285227523</v>
      </c>
      <c r="N122" s="54">
        <f>DSUM($B$84:$Y$96,N$84,$C$105:$D122)</f>
        <v>22.1777220553174</v>
      </c>
      <c r="O122" s="54">
        <f>DSUM($B$84:$Y$96,O$84,$C$105:$D122)</f>
        <v>20.940761893361561</v>
      </c>
      <c r="P122" s="54">
        <f>DSUM($B$84:$Y$96,P$84,$C$105:$D122)</f>
        <v>18.530276561596317</v>
      </c>
      <c r="Q122" s="54">
        <f>DSUM($B$84:$Y$96,Q$84,$C$105:$D122)</f>
        <v>15.42390245764571</v>
      </c>
      <c r="R122" s="54">
        <f>DSUM($B$84:$Y$96,R$84,$C$105:$D122)</f>
        <v>12.118433470034722</v>
      </c>
      <c r="S122" s="54">
        <f>DSUM($B$84:$Y$96,S$84,$C$105:$D122)</f>
        <v>9.0181782142003328</v>
      </c>
      <c r="T122" s="54">
        <f>DSUM($B$84:$Y$96,T$84,$C$105:$D122)</f>
        <v>6.3666159109184468</v>
      </c>
      <c r="U122" s="54">
        <f>DSUM($B$84:$Y$96,U$84,$C$105:$D122)</f>
        <v>4.2799248150467193</v>
      </c>
      <c r="V122" s="54">
        <f>DSUM($B$84:$Y$96,V$84,$C$105:$D122)</f>
        <v>2.7452885569447765</v>
      </c>
      <c r="W122" s="54">
        <f>DSUM($B$84:$Y$96,W$84,$C$105:$D122)</f>
        <v>1.6841759120518196</v>
      </c>
      <c r="X122" s="54">
        <f>DSUM($B$84:$Y$96,X$84,$C$105:$D122)</f>
        <v>0.9903942708428225</v>
      </c>
      <c r="Y122" s="54">
        <f>DSUM($B$84:$Y$96,Y$84,$C$105:$D122)</f>
        <v>229.91308026090408</v>
      </c>
      <c r="AA122" s="54"/>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9" t="s">
        <v>121</v>
      </c>
      <c r="C123" s="57" t="s">
        <v>122</v>
      </c>
      <c r="D123" s="57" t="s">
        <v>123</v>
      </c>
      <c r="E123" s="54">
        <f>DSUM($B$84:$Y$96,E$84,$C$105:$D123)</f>
        <v>0.79607837034438056</v>
      </c>
      <c r="F123" s="54">
        <f>DSUM($B$84:$Y$96,F$84,$C$105:$D123)</f>
        <v>1.3453538838190295</v>
      </c>
      <c r="G123" s="54">
        <f>DSUM($B$84:$Y$96,G$84,$C$105:$D123)</f>
        <v>2.8409065365486899</v>
      </c>
      <c r="H123" s="54">
        <f>DSUM($B$84:$Y$96,H$84,$C$105:$D123)</f>
        <v>5.1813656202989895</v>
      </c>
      <c r="I123" s="54">
        <f>DSUM($B$84:$Y$96,I$84,$C$105:$D123)</f>
        <v>9.2755113678184813</v>
      </c>
      <c r="J123" s="54">
        <f>DSUM($B$84:$Y$96,J$84,$C$105:$D123)</f>
        <v>13.177076080858837</v>
      </c>
      <c r="K123" s="54">
        <f>DSUM($B$84:$Y$96,K$84,$C$105:$D123)</f>
        <v>17.000149225905993</v>
      </c>
      <c r="L123" s="54">
        <f>DSUM($B$84:$Y$96,L$84,$C$105:$D123)</f>
        <v>20.094200507642391</v>
      </c>
      <c r="M123" s="54">
        <f>DSUM($B$84:$Y$96,M$84,$C$105:$D123)</f>
        <v>21.914259285227523</v>
      </c>
      <c r="N123" s="54">
        <f>DSUM($B$84:$Y$96,N$84,$C$105:$D123)</f>
        <v>22.1777220553174</v>
      </c>
      <c r="O123" s="54">
        <f>DSUM($B$84:$Y$96,O$84,$C$105:$D123)</f>
        <v>20.940761893361561</v>
      </c>
      <c r="P123" s="54">
        <f>DSUM($B$84:$Y$96,P$84,$C$105:$D123)</f>
        <v>18.530276561596317</v>
      </c>
      <c r="Q123" s="54">
        <f>DSUM($B$84:$Y$96,Q$84,$C$105:$D123)</f>
        <v>15.42390245764571</v>
      </c>
      <c r="R123" s="54">
        <f>DSUM($B$84:$Y$96,R$84,$C$105:$D123)</f>
        <v>12.118433470034722</v>
      </c>
      <c r="S123" s="54">
        <f>DSUM($B$84:$Y$96,S$84,$C$105:$D123)</f>
        <v>9.0181782142003328</v>
      </c>
      <c r="T123" s="54">
        <f>DSUM($B$84:$Y$96,T$84,$C$105:$D123)</f>
        <v>6.3666159109184468</v>
      </c>
      <c r="U123" s="54">
        <f>DSUM($B$84:$Y$96,U$84,$C$105:$D123)</f>
        <v>4.2799248150467193</v>
      </c>
      <c r="V123" s="54">
        <f>DSUM($B$84:$Y$96,V$84,$C$105:$D123)</f>
        <v>2.7452885569447765</v>
      </c>
      <c r="W123" s="54">
        <f>DSUM($B$84:$Y$96,W$84,$C$105:$D123)</f>
        <v>1.6841759120518196</v>
      </c>
      <c r="X123" s="54">
        <f>DSUM($B$84:$Y$96,X$84,$C$105:$D123)</f>
        <v>0.9903942708428225</v>
      </c>
      <c r="Y123" s="54">
        <f>DSUM($B$84:$Y$96,Y$84,$C$105:$D123)</f>
        <v>229.91308026090408</v>
      </c>
      <c r="AA123" s="54"/>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9" t="s">
        <v>124</v>
      </c>
      <c r="C124" s="57" t="s">
        <v>125</v>
      </c>
      <c r="D124" s="57" t="s">
        <v>126</v>
      </c>
      <c r="E124" s="54">
        <f>DSUM($B$84:$Y$96,E$84,$C$105:$D124)</f>
        <v>0.79607837034438056</v>
      </c>
      <c r="F124" s="54">
        <f>DSUM($B$84:$Y$96,F$84,$C$105:$D124)</f>
        <v>1.3453538838190295</v>
      </c>
      <c r="G124" s="54">
        <f>DSUM($B$84:$Y$96,G$84,$C$105:$D124)</f>
        <v>2.8409065365486899</v>
      </c>
      <c r="H124" s="54">
        <f>DSUM($B$84:$Y$96,H$84,$C$105:$D124)</f>
        <v>5.1813656202989895</v>
      </c>
      <c r="I124" s="54">
        <f>DSUM($B$84:$Y$96,I$84,$C$105:$D124)</f>
        <v>9.2755113678184813</v>
      </c>
      <c r="J124" s="54">
        <f>DSUM($B$84:$Y$96,J$84,$C$105:$D124)</f>
        <v>13.177076080858837</v>
      </c>
      <c r="K124" s="54">
        <f>DSUM($B$84:$Y$96,K$84,$C$105:$D124)</f>
        <v>17.000149225905993</v>
      </c>
      <c r="L124" s="54">
        <f>DSUM($B$84:$Y$96,L$84,$C$105:$D124)</f>
        <v>20.094200507642391</v>
      </c>
      <c r="M124" s="54">
        <f>DSUM($B$84:$Y$96,M$84,$C$105:$D124)</f>
        <v>21.914259285227523</v>
      </c>
      <c r="N124" s="54">
        <f>DSUM($B$84:$Y$96,N$84,$C$105:$D124)</f>
        <v>22.1777220553174</v>
      </c>
      <c r="O124" s="54">
        <f>DSUM($B$84:$Y$96,O$84,$C$105:$D124)</f>
        <v>20.940761893361561</v>
      </c>
      <c r="P124" s="54">
        <f>DSUM($B$84:$Y$96,P$84,$C$105:$D124)</f>
        <v>18.530276561596317</v>
      </c>
      <c r="Q124" s="54">
        <f>DSUM($B$84:$Y$96,Q$84,$C$105:$D124)</f>
        <v>15.42390245764571</v>
      </c>
      <c r="R124" s="54">
        <f>DSUM($B$84:$Y$96,R$84,$C$105:$D124)</f>
        <v>12.118433470034722</v>
      </c>
      <c r="S124" s="54">
        <f>DSUM($B$84:$Y$96,S$84,$C$105:$D124)</f>
        <v>9.0181782142003328</v>
      </c>
      <c r="T124" s="54">
        <f>DSUM($B$84:$Y$96,T$84,$C$105:$D124)</f>
        <v>6.3666159109184468</v>
      </c>
      <c r="U124" s="54">
        <f>DSUM($B$84:$Y$96,U$84,$C$105:$D124)</f>
        <v>4.2799248150467193</v>
      </c>
      <c r="V124" s="54">
        <f>DSUM($B$84:$Y$96,V$84,$C$105:$D124)</f>
        <v>2.7452885569447765</v>
      </c>
      <c r="W124" s="54">
        <f>DSUM($B$84:$Y$96,W$84,$C$105:$D124)</f>
        <v>1.6841759120518196</v>
      </c>
      <c r="X124" s="54">
        <f>DSUM($B$84:$Y$96,X$84,$C$105:$D124)</f>
        <v>0.9903942708428225</v>
      </c>
      <c r="Y124" s="54">
        <f>DSUM($B$84:$Y$96,Y$84,$C$105:$D124)</f>
        <v>229.91308026090408</v>
      </c>
      <c r="AA124" s="5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9" t="s">
        <v>127</v>
      </c>
      <c r="C125" s="57" t="s">
        <v>128</v>
      </c>
      <c r="D125" s="57" t="s">
        <v>129</v>
      </c>
      <c r="E125" s="54">
        <f>DSUM($B$84:$Y$96,E$84,$C$105:$D125)</f>
        <v>0.79607837034438056</v>
      </c>
      <c r="F125" s="54">
        <f>DSUM($B$84:$Y$96,F$84,$C$105:$D125)</f>
        <v>1.3453538838190295</v>
      </c>
      <c r="G125" s="54">
        <f>DSUM($B$84:$Y$96,G$84,$C$105:$D125)</f>
        <v>2.8409065365486899</v>
      </c>
      <c r="H125" s="54">
        <f>DSUM($B$84:$Y$96,H$84,$C$105:$D125)</f>
        <v>5.1813656202989895</v>
      </c>
      <c r="I125" s="54">
        <f>DSUM($B$84:$Y$96,I$84,$C$105:$D125)</f>
        <v>9.2755113678184813</v>
      </c>
      <c r="J125" s="54">
        <f>DSUM($B$84:$Y$96,J$84,$C$105:$D125)</f>
        <v>13.177076080858837</v>
      </c>
      <c r="K125" s="54">
        <f>DSUM($B$84:$Y$96,K$84,$C$105:$D125)</f>
        <v>17.000149225905993</v>
      </c>
      <c r="L125" s="54">
        <f>DSUM($B$84:$Y$96,L$84,$C$105:$D125)</f>
        <v>20.094200507642391</v>
      </c>
      <c r="M125" s="54">
        <f>DSUM($B$84:$Y$96,M$84,$C$105:$D125)</f>
        <v>21.914259285227523</v>
      </c>
      <c r="N125" s="54">
        <f>DSUM($B$84:$Y$96,N$84,$C$105:$D125)</f>
        <v>22.1777220553174</v>
      </c>
      <c r="O125" s="54">
        <f>DSUM($B$84:$Y$96,O$84,$C$105:$D125)</f>
        <v>20.940761893361561</v>
      </c>
      <c r="P125" s="54">
        <f>DSUM($B$84:$Y$96,P$84,$C$105:$D125)</f>
        <v>18.530276561596317</v>
      </c>
      <c r="Q125" s="54">
        <f>DSUM($B$84:$Y$96,Q$84,$C$105:$D125)</f>
        <v>15.42390245764571</v>
      </c>
      <c r="R125" s="54">
        <f>DSUM($B$84:$Y$96,R$84,$C$105:$D125)</f>
        <v>12.118433470034722</v>
      </c>
      <c r="S125" s="54">
        <f>DSUM($B$84:$Y$96,S$84,$C$105:$D125)</f>
        <v>9.0181782142003328</v>
      </c>
      <c r="T125" s="54">
        <f>DSUM($B$84:$Y$96,T$84,$C$105:$D125)</f>
        <v>6.3666159109184468</v>
      </c>
      <c r="U125" s="54">
        <f>DSUM($B$84:$Y$96,U$84,$C$105:$D125)</f>
        <v>4.2799248150467193</v>
      </c>
      <c r="V125" s="54">
        <f>DSUM($B$84:$Y$96,V$84,$C$105:$D125)</f>
        <v>2.7452885569447765</v>
      </c>
      <c r="W125" s="54">
        <f>DSUM($B$84:$Y$96,W$84,$C$105:$D125)</f>
        <v>1.6841759120518196</v>
      </c>
      <c r="X125" s="54">
        <f>DSUM($B$84:$Y$96,X$84,$C$105:$D125)</f>
        <v>0.9903942708428225</v>
      </c>
      <c r="Y125" s="54">
        <f>DSUM($B$84:$Y$96,Y$84,$C$105:$D125)</f>
        <v>229.91308026090408</v>
      </c>
      <c r="AA125" s="54"/>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9" t="s">
        <v>130</v>
      </c>
      <c r="C126" s="57" t="s">
        <v>131</v>
      </c>
      <c r="D126" s="57" t="s">
        <v>132</v>
      </c>
      <c r="E126" s="54">
        <f>DSUM($B$84:$Y$96,E$84,$C$105:$D126)</f>
        <v>0.79607837034438056</v>
      </c>
      <c r="F126" s="54">
        <f>DSUM($B$84:$Y$96,F$84,$C$105:$D126)</f>
        <v>1.3453538838190295</v>
      </c>
      <c r="G126" s="54">
        <f>DSUM($B$84:$Y$96,G$84,$C$105:$D126)</f>
        <v>2.8409065365486899</v>
      </c>
      <c r="H126" s="54">
        <f>DSUM($B$84:$Y$96,H$84,$C$105:$D126)</f>
        <v>5.1813656202989895</v>
      </c>
      <c r="I126" s="54">
        <f>DSUM($B$84:$Y$96,I$84,$C$105:$D126)</f>
        <v>9.2755113678184813</v>
      </c>
      <c r="J126" s="54">
        <f>DSUM($B$84:$Y$96,J$84,$C$105:$D126)</f>
        <v>13.177076080858837</v>
      </c>
      <c r="K126" s="54">
        <f>DSUM($B$84:$Y$96,K$84,$C$105:$D126)</f>
        <v>17.000149225905993</v>
      </c>
      <c r="L126" s="54">
        <f>DSUM($B$84:$Y$96,L$84,$C$105:$D126)</f>
        <v>20.094200507642391</v>
      </c>
      <c r="M126" s="54">
        <f>DSUM($B$84:$Y$96,M$84,$C$105:$D126)</f>
        <v>21.914259285227523</v>
      </c>
      <c r="N126" s="54">
        <f>DSUM($B$84:$Y$96,N$84,$C$105:$D126)</f>
        <v>22.1777220553174</v>
      </c>
      <c r="O126" s="54">
        <f>DSUM($B$84:$Y$96,O$84,$C$105:$D126)</f>
        <v>20.940761893361561</v>
      </c>
      <c r="P126" s="54">
        <f>DSUM($B$84:$Y$96,P$84,$C$105:$D126)</f>
        <v>18.530276561596317</v>
      </c>
      <c r="Q126" s="54">
        <f>DSUM($B$84:$Y$96,Q$84,$C$105:$D126)</f>
        <v>15.42390245764571</v>
      </c>
      <c r="R126" s="54">
        <f>DSUM($B$84:$Y$96,R$84,$C$105:$D126)</f>
        <v>12.118433470034722</v>
      </c>
      <c r="S126" s="54">
        <f>DSUM($B$84:$Y$96,S$84,$C$105:$D126)</f>
        <v>9.0181782142003328</v>
      </c>
      <c r="T126" s="54">
        <f>DSUM($B$84:$Y$96,T$84,$C$105:$D126)</f>
        <v>6.3666159109184468</v>
      </c>
      <c r="U126" s="54">
        <f>DSUM($B$84:$Y$96,U$84,$C$105:$D126)</f>
        <v>4.2799248150467193</v>
      </c>
      <c r="V126" s="54">
        <f>DSUM($B$84:$Y$96,V$84,$C$105:$D126)</f>
        <v>2.7452885569447765</v>
      </c>
      <c r="W126" s="54">
        <f>DSUM($B$84:$Y$96,W$84,$C$105:$D126)</f>
        <v>1.6841759120518196</v>
      </c>
      <c r="X126" s="54">
        <f>DSUM($B$84:$Y$96,X$84,$C$105:$D126)</f>
        <v>0.9903942708428225</v>
      </c>
      <c r="Y126" s="54">
        <f>DSUM($B$84:$Y$96,Y$84,$C$105:$D126)</f>
        <v>229.91308026090408</v>
      </c>
      <c r="AA126" s="54"/>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9" t="s">
        <v>1085</v>
      </c>
      <c r="C127" s="57" t="s">
        <v>134</v>
      </c>
      <c r="D127" s="57" t="s">
        <v>1086</v>
      </c>
      <c r="E127" s="54">
        <f>DSUM($B$84:$Y$96,E$84,$C$105:$D127)</f>
        <v>0.79607837034438056</v>
      </c>
      <c r="F127" s="54">
        <f>DSUM($B$84:$Y$96,F$84,$C$105:$D127)</f>
        <v>1.3453538838190295</v>
      </c>
      <c r="G127" s="54">
        <f>DSUM($B$84:$Y$96,G$84,$C$105:$D127)</f>
        <v>2.8409065365486899</v>
      </c>
      <c r="H127" s="54">
        <f>DSUM($B$84:$Y$96,H$84,$C$105:$D127)</f>
        <v>5.1813656202989895</v>
      </c>
      <c r="I127" s="54">
        <f>DSUM($B$84:$Y$96,I$84,$C$105:$D127)</f>
        <v>9.2755113678184813</v>
      </c>
      <c r="J127" s="54">
        <f>DSUM($B$84:$Y$96,J$84,$C$105:$D127)</f>
        <v>13.177076080858837</v>
      </c>
      <c r="K127" s="54">
        <f>DSUM($B$84:$Y$96,K$84,$C$105:$D127)</f>
        <v>17.000149225905993</v>
      </c>
      <c r="L127" s="54">
        <f>DSUM($B$84:$Y$96,L$84,$C$105:$D127)</f>
        <v>20.094200507642391</v>
      </c>
      <c r="M127" s="54">
        <f>DSUM($B$84:$Y$96,M$84,$C$105:$D127)</f>
        <v>21.914259285227523</v>
      </c>
      <c r="N127" s="54">
        <f>DSUM($B$84:$Y$96,N$84,$C$105:$D127)</f>
        <v>22.1777220553174</v>
      </c>
      <c r="O127" s="54">
        <f>DSUM($B$84:$Y$96,O$84,$C$105:$D127)</f>
        <v>20.940761893361561</v>
      </c>
      <c r="P127" s="54">
        <f>DSUM($B$84:$Y$96,P$84,$C$105:$D127)</f>
        <v>18.530276561596317</v>
      </c>
      <c r="Q127" s="54">
        <f>DSUM($B$84:$Y$96,Q$84,$C$105:$D127)</f>
        <v>15.42390245764571</v>
      </c>
      <c r="R127" s="54">
        <f>DSUM($B$84:$Y$96,R$84,$C$105:$D127)</f>
        <v>12.118433470034722</v>
      </c>
      <c r="S127" s="54">
        <f>DSUM($B$84:$Y$96,S$84,$C$105:$D127)</f>
        <v>9.0181782142003328</v>
      </c>
      <c r="T127" s="54">
        <f>DSUM($B$84:$Y$96,T$84,$C$105:$D127)</f>
        <v>6.3666159109184468</v>
      </c>
      <c r="U127" s="54">
        <f>DSUM($B$84:$Y$96,U$84,$C$105:$D127)</f>
        <v>4.2799248150467193</v>
      </c>
      <c r="V127" s="54">
        <f>DSUM($B$84:$Y$96,V$84,$C$105:$D127)</f>
        <v>2.7452885569447765</v>
      </c>
      <c r="W127" s="54">
        <f>DSUM($B$84:$Y$96,W$84,$C$105:$D127)</f>
        <v>1.6841759120518196</v>
      </c>
      <c r="X127" s="54">
        <f>DSUM($B$84:$Y$96,X$84,$C$105:$D127)</f>
        <v>0.9903942708428225</v>
      </c>
      <c r="Y127" s="54">
        <f>DSUM($B$84:$Y$96,Y$84,$C$105:$D127)</f>
        <v>229.91308026090408</v>
      </c>
      <c r="AA127" s="54"/>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9" t="s">
        <v>1087</v>
      </c>
      <c r="C128" s="57" t="s">
        <v>1088</v>
      </c>
      <c r="D128" s="57" t="s">
        <v>1089</v>
      </c>
      <c r="E128" s="54">
        <f>DSUM($B$84:$Y$96,E$84,$C$105:$D128)</f>
        <v>0.79607837034438056</v>
      </c>
      <c r="F128" s="54">
        <f>DSUM($B$84:$Y$96,F$84,$C$105:$D128)</f>
        <v>1.3453538838190295</v>
      </c>
      <c r="G128" s="54">
        <f>DSUM($B$84:$Y$96,G$84,$C$105:$D128)</f>
        <v>2.8409065365486899</v>
      </c>
      <c r="H128" s="54">
        <f>DSUM($B$84:$Y$96,H$84,$C$105:$D128)</f>
        <v>5.1813656202989895</v>
      </c>
      <c r="I128" s="54">
        <f>DSUM($B$84:$Y$96,I$84,$C$105:$D128)</f>
        <v>9.2755113678184813</v>
      </c>
      <c r="J128" s="54">
        <f>DSUM($B$84:$Y$96,J$84,$C$105:$D128)</f>
        <v>13.177076080858837</v>
      </c>
      <c r="K128" s="54">
        <f>DSUM($B$84:$Y$96,K$84,$C$105:$D128)</f>
        <v>17.000149225905993</v>
      </c>
      <c r="L128" s="54">
        <f>DSUM($B$84:$Y$96,L$84,$C$105:$D128)</f>
        <v>20.094200507642391</v>
      </c>
      <c r="M128" s="54">
        <f>DSUM($B$84:$Y$96,M$84,$C$105:$D128)</f>
        <v>21.914259285227523</v>
      </c>
      <c r="N128" s="54">
        <f>DSUM($B$84:$Y$96,N$84,$C$105:$D128)</f>
        <v>22.1777220553174</v>
      </c>
      <c r="O128" s="54">
        <f>DSUM($B$84:$Y$96,O$84,$C$105:$D128)</f>
        <v>20.940761893361561</v>
      </c>
      <c r="P128" s="54">
        <f>DSUM($B$84:$Y$96,P$84,$C$105:$D128)</f>
        <v>18.530276561596317</v>
      </c>
      <c r="Q128" s="54">
        <f>DSUM($B$84:$Y$96,Q$84,$C$105:$D128)</f>
        <v>15.42390245764571</v>
      </c>
      <c r="R128" s="54">
        <f>DSUM($B$84:$Y$96,R$84,$C$105:$D128)</f>
        <v>12.118433470034722</v>
      </c>
      <c r="S128" s="54">
        <f>DSUM($B$84:$Y$96,S$84,$C$105:$D128)</f>
        <v>9.0181782142003328</v>
      </c>
      <c r="T128" s="54">
        <f>DSUM($B$84:$Y$96,T$84,$C$105:$D128)</f>
        <v>6.3666159109184468</v>
      </c>
      <c r="U128" s="54">
        <f>DSUM($B$84:$Y$96,U$84,$C$105:$D128)</f>
        <v>4.2799248150467193</v>
      </c>
      <c r="V128" s="54">
        <f>DSUM($B$84:$Y$96,V$84,$C$105:$D128)</f>
        <v>2.7452885569447765</v>
      </c>
      <c r="W128" s="54">
        <f>DSUM($B$84:$Y$96,W$84,$C$105:$D128)</f>
        <v>1.6841759120518196</v>
      </c>
      <c r="X128" s="54">
        <f>DSUM($B$84:$Y$96,X$84,$C$105:$D128)</f>
        <v>0.9903942708428225</v>
      </c>
      <c r="Y128" s="54">
        <f>DSUM($B$84:$Y$96,Y$84,$C$105:$D128)</f>
        <v>229.91308026090408</v>
      </c>
      <c r="AA128" s="54"/>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9" t="s">
        <v>1090</v>
      </c>
      <c r="C129" s="57" t="s">
        <v>1091</v>
      </c>
      <c r="D129" s="57" t="s">
        <v>1092</v>
      </c>
      <c r="E129" s="54">
        <f>DSUM($B$84:$Y$96,E$84,$C$105:$D129)</f>
        <v>0.79607837034438056</v>
      </c>
      <c r="F129" s="54">
        <f>DSUM($B$84:$Y$96,F$84,$C$105:$D129)</f>
        <v>1.3453538838190295</v>
      </c>
      <c r="G129" s="54">
        <f>DSUM($B$84:$Y$96,G$84,$C$105:$D129)</f>
        <v>2.8409065365486899</v>
      </c>
      <c r="H129" s="54">
        <f>DSUM($B$84:$Y$96,H$84,$C$105:$D129)</f>
        <v>5.1813656202989895</v>
      </c>
      <c r="I129" s="54">
        <f>DSUM($B$84:$Y$96,I$84,$C$105:$D129)</f>
        <v>9.2755113678184813</v>
      </c>
      <c r="J129" s="54">
        <f>DSUM($B$84:$Y$96,J$84,$C$105:$D129)</f>
        <v>13.177076080858837</v>
      </c>
      <c r="K129" s="54">
        <f>DSUM($B$84:$Y$96,K$84,$C$105:$D129)</f>
        <v>17.000149225905993</v>
      </c>
      <c r="L129" s="54">
        <f>DSUM($B$84:$Y$96,L$84,$C$105:$D129)</f>
        <v>20.094200507642391</v>
      </c>
      <c r="M129" s="54">
        <f>DSUM($B$84:$Y$96,M$84,$C$105:$D129)</f>
        <v>21.914259285227523</v>
      </c>
      <c r="N129" s="54">
        <f>DSUM($B$84:$Y$96,N$84,$C$105:$D129)</f>
        <v>22.1777220553174</v>
      </c>
      <c r="O129" s="54">
        <f>DSUM($B$84:$Y$96,O$84,$C$105:$D129)</f>
        <v>20.940761893361561</v>
      </c>
      <c r="P129" s="54">
        <f>DSUM($B$84:$Y$96,P$84,$C$105:$D129)</f>
        <v>18.530276561596317</v>
      </c>
      <c r="Q129" s="54">
        <f>DSUM($B$84:$Y$96,Q$84,$C$105:$D129)</f>
        <v>15.42390245764571</v>
      </c>
      <c r="R129" s="54">
        <f>DSUM($B$84:$Y$96,R$84,$C$105:$D129)</f>
        <v>12.118433470034722</v>
      </c>
      <c r="S129" s="54">
        <f>DSUM($B$84:$Y$96,S$84,$C$105:$D129)</f>
        <v>9.0181782142003328</v>
      </c>
      <c r="T129" s="54">
        <f>DSUM($B$84:$Y$96,T$84,$C$105:$D129)</f>
        <v>6.3666159109184468</v>
      </c>
      <c r="U129" s="54">
        <f>DSUM($B$84:$Y$96,U$84,$C$105:$D129)</f>
        <v>4.2799248150467193</v>
      </c>
      <c r="V129" s="54">
        <f>DSUM($B$84:$Y$96,V$84,$C$105:$D129)</f>
        <v>2.7452885569447765</v>
      </c>
      <c r="W129" s="54">
        <f>DSUM($B$84:$Y$96,W$84,$C$105:$D129)</f>
        <v>1.6841759120518196</v>
      </c>
      <c r="X129" s="54">
        <f>DSUM($B$84:$Y$96,X$84,$C$105:$D129)</f>
        <v>0.9903942708428225</v>
      </c>
      <c r="Y129" s="54">
        <f>DSUM($B$84:$Y$96,Y$84,$C$105:$D129)</f>
        <v>229.91308026090408</v>
      </c>
      <c r="AA129" s="54"/>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B130" s="9" t="s">
        <v>1093</v>
      </c>
      <c r="C130" s="57" t="s">
        <v>1094</v>
      </c>
      <c r="D130" s="57" t="s">
        <v>1095</v>
      </c>
      <c r="E130" s="54">
        <f>DSUM($B$84:$Y$96,E$84,$C$105:$D130)</f>
        <v>0.90708987123789153</v>
      </c>
      <c r="F130" s="54">
        <f>DSUM($B$84:$Y$96,F$84,$C$105:$D130)</f>
        <v>1.5279515857550721</v>
      </c>
      <c r="G130" s="54">
        <f>DSUM($B$84:$Y$96,G$84,$C$105:$D130)</f>
        <v>3.2190237451254018</v>
      </c>
      <c r="H130" s="54">
        <f>DSUM($B$84:$Y$96,H$84,$C$105:$D130)</f>
        <v>5.8610319033298408</v>
      </c>
      <c r="I130" s="54">
        <f>DSUM($B$84:$Y$96,I$84,$C$105:$D130)</f>
        <v>10.435097069137491</v>
      </c>
      <c r="J130" s="54">
        <f>DSUM($B$84:$Y$96,J$84,$C$105:$D130)</f>
        <v>14.817100298906347</v>
      </c>
      <c r="K130" s="54">
        <f>DSUM($B$84:$Y$96,K$84,$C$105:$D130)</f>
        <v>19.106850409882242</v>
      </c>
      <c r="L130" s="54">
        <f>DSUM($B$84:$Y$96,L$84,$C$105:$D130)</f>
        <v>22.573623254969867</v>
      </c>
      <c r="M130" s="54">
        <f>DSUM($B$84:$Y$96,M$84,$C$105:$D130)</f>
        <v>24.606853744586441</v>
      </c>
      <c r="N130" s="54">
        <f>DSUM($B$84:$Y$96,N$84,$C$105:$D130)</f>
        <v>24.891523087072645</v>
      </c>
      <c r="O130" s="54">
        <f>DSUM($B$84:$Y$96,O$84,$C$105:$D130)</f>
        <v>23.49295794545931</v>
      </c>
      <c r="P130" s="54">
        <f>DSUM($B$84:$Y$96,P$84,$C$105:$D130)</f>
        <v>20.779823079868468</v>
      </c>
      <c r="Q130" s="54">
        <f>DSUM($B$84:$Y$96,Q$84,$C$105:$D130)</f>
        <v>17.289175623160208</v>
      </c>
      <c r="R130" s="54">
        <f>DSUM($B$84:$Y$96,R$84,$C$105:$D130)</f>
        <v>13.578468870756256</v>
      </c>
      <c r="S130" s="54">
        <f>DSUM($B$84:$Y$96,S$84,$C$105:$D130)</f>
        <v>10.100674671788484</v>
      </c>
      <c r="T130" s="54">
        <f>DSUM($B$84:$Y$96,T$84,$C$105:$D130)</f>
        <v>7.1279137581078995</v>
      </c>
      <c r="U130" s="54">
        <f>DSUM($B$84:$Y$96,U$84,$C$105:$D130)</f>
        <v>4.7897675864987708</v>
      </c>
      <c r="V130" s="54">
        <f>DSUM($B$84:$Y$96,V$84,$C$105:$D130)</f>
        <v>3.0711004896388774</v>
      </c>
      <c r="W130" s="54">
        <f>DSUM($B$84:$Y$96,W$84,$C$105:$D130)</f>
        <v>1.8833174760060338</v>
      </c>
      <c r="X130" s="54">
        <f>DSUM($B$84:$Y$96,X$84,$C$105:$D130)</f>
        <v>1.1074111828639017</v>
      </c>
      <c r="Y130" s="54">
        <f>DSUM($B$84:$Y$96,Y$84,$C$105:$D130)</f>
        <v>257.07773526490621</v>
      </c>
      <c r="AA130" s="54"/>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B131" s="9" t="s">
        <v>1096</v>
      </c>
      <c r="C131" s="57" t="s">
        <v>1097</v>
      </c>
      <c r="D131" s="57" t="s">
        <v>1098</v>
      </c>
      <c r="E131" s="54">
        <f>DSUM($B$84:$Y$96,E$84,$C$105:$D131)</f>
        <v>0.90708987123789153</v>
      </c>
      <c r="F131" s="54">
        <f>DSUM($B$84:$Y$96,F$84,$C$105:$D131)</f>
        <v>1.5279515857550721</v>
      </c>
      <c r="G131" s="54">
        <f>DSUM($B$84:$Y$96,G$84,$C$105:$D131)</f>
        <v>3.2190237451254018</v>
      </c>
      <c r="H131" s="54">
        <f>DSUM($B$84:$Y$96,H$84,$C$105:$D131)</f>
        <v>5.8610319033298408</v>
      </c>
      <c r="I131" s="54">
        <f>DSUM($B$84:$Y$96,I$84,$C$105:$D131)</f>
        <v>10.435097069137491</v>
      </c>
      <c r="J131" s="54">
        <f>DSUM($B$84:$Y$96,J$84,$C$105:$D131)</f>
        <v>14.817100298906347</v>
      </c>
      <c r="K131" s="54">
        <f>DSUM($B$84:$Y$96,K$84,$C$105:$D131)</f>
        <v>19.106850409882242</v>
      </c>
      <c r="L131" s="54">
        <f>DSUM($B$84:$Y$96,L$84,$C$105:$D131)</f>
        <v>22.573623254969867</v>
      </c>
      <c r="M131" s="54">
        <f>DSUM($B$84:$Y$96,M$84,$C$105:$D131)</f>
        <v>24.606853744586441</v>
      </c>
      <c r="N131" s="54">
        <f>DSUM($B$84:$Y$96,N$84,$C$105:$D131)</f>
        <v>24.891523087072645</v>
      </c>
      <c r="O131" s="54">
        <f>DSUM($B$84:$Y$96,O$84,$C$105:$D131)</f>
        <v>23.49295794545931</v>
      </c>
      <c r="P131" s="54">
        <f>DSUM($B$84:$Y$96,P$84,$C$105:$D131)</f>
        <v>20.779823079868468</v>
      </c>
      <c r="Q131" s="54">
        <f>DSUM($B$84:$Y$96,Q$84,$C$105:$D131)</f>
        <v>17.289175623160208</v>
      </c>
      <c r="R131" s="54">
        <f>DSUM($B$84:$Y$96,R$84,$C$105:$D131)</f>
        <v>13.578468870756256</v>
      </c>
      <c r="S131" s="54">
        <f>DSUM($B$84:$Y$96,S$84,$C$105:$D131)</f>
        <v>10.100674671788484</v>
      </c>
      <c r="T131" s="54">
        <f>DSUM($B$84:$Y$96,T$84,$C$105:$D131)</f>
        <v>7.1279137581078995</v>
      </c>
      <c r="U131" s="54">
        <f>DSUM($B$84:$Y$96,U$84,$C$105:$D131)</f>
        <v>4.7897675864987708</v>
      </c>
      <c r="V131" s="54">
        <f>DSUM($B$84:$Y$96,V$84,$C$105:$D131)</f>
        <v>3.0711004896388774</v>
      </c>
      <c r="W131" s="54">
        <f>DSUM($B$84:$Y$96,W$84,$C$105:$D131)</f>
        <v>1.8833174760060338</v>
      </c>
      <c r="X131" s="54">
        <f>DSUM($B$84:$Y$96,X$84,$C$105:$D131)</f>
        <v>1.1074111828639017</v>
      </c>
      <c r="Y131" s="54">
        <f>DSUM($B$84:$Y$96,Y$84,$C$105:$D131)</f>
        <v>257.07773526490621</v>
      </c>
      <c r="AA131" s="54"/>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c r="B132" s="9" t="s">
        <v>1099</v>
      </c>
      <c r="C132" s="57" t="s">
        <v>1100</v>
      </c>
      <c r="D132" s="57" t="s">
        <v>1101</v>
      </c>
      <c r="E132" s="54">
        <f>DSUM($B$84:$Y$96,E$84,$C$105:$D132)</f>
        <v>0.90708987123789153</v>
      </c>
      <c r="F132" s="54">
        <f>DSUM($B$84:$Y$96,F$84,$C$105:$D132)</f>
        <v>1.5279515857550721</v>
      </c>
      <c r="G132" s="54">
        <f>DSUM($B$84:$Y$96,G$84,$C$105:$D132)</f>
        <v>3.2190237451254018</v>
      </c>
      <c r="H132" s="54">
        <f>DSUM($B$84:$Y$96,H$84,$C$105:$D132)</f>
        <v>5.8610319033298408</v>
      </c>
      <c r="I132" s="54">
        <f>DSUM($B$84:$Y$96,I$84,$C$105:$D132)</f>
        <v>10.435097069137491</v>
      </c>
      <c r="J132" s="54">
        <f>DSUM($B$84:$Y$96,J$84,$C$105:$D132)</f>
        <v>14.817100298906347</v>
      </c>
      <c r="K132" s="54">
        <f>DSUM($B$84:$Y$96,K$84,$C$105:$D132)</f>
        <v>19.106850409882242</v>
      </c>
      <c r="L132" s="54">
        <f>DSUM($B$84:$Y$96,L$84,$C$105:$D132)</f>
        <v>22.573623254969867</v>
      </c>
      <c r="M132" s="54">
        <f>DSUM($B$84:$Y$96,M$84,$C$105:$D132)</f>
        <v>24.606853744586441</v>
      </c>
      <c r="N132" s="54">
        <f>DSUM($B$84:$Y$96,N$84,$C$105:$D132)</f>
        <v>24.891523087072645</v>
      </c>
      <c r="O132" s="54">
        <f>DSUM($B$84:$Y$96,O$84,$C$105:$D132)</f>
        <v>23.49295794545931</v>
      </c>
      <c r="P132" s="54">
        <f>DSUM($B$84:$Y$96,P$84,$C$105:$D132)</f>
        <v>20.779823079868468</v>
      </c>
      <c r="Q132" s="54">
        <f>DSUM($B$84:$Y$96,Q$84,$C$105:$D132)</f>
        <v>17.289175623160208</v>
      </c>
      <c r="R132" s="54">
        <f>DSUM($B$84:$Y$96,R$84,$C$105:$D132)</f>
        <v>13.578468870756256</v>
      </c>
      <c r="S132" s="54">
        <f>DSUM($B$84:$Y$96,S$84,$C$105:$D132)</f>
        <v>10.100674671788484</v>
      </c>
      <c r="T132" s="54">
        <f>DSUM($B$84:$Y$96,T$84,$C$105:$D132)</f>
        <v>7.1279137581078995</v>
      </c>
      <c r="U132" s="54">
        <f>DSUM($B$84:$Y$96,U$84,$C$105:$D132)</f>
        <v>4.7897675864987708</v>
      </c>
      <c r="V132" s="54">
        <f>DSUM($B$84:$Y$96,V$84,$C$105:$D132)</f>
        <v>3.0711004896388774</v>
      </c>
      <c r="W132" s="54">
        <f>DSUM($B$84:$Y$96,W$84,$C$105:$D132)</f>
        <v>1.8833174760060338</v>
      </c>
      <c r="X132" s="54">
        <f>DSUM($B$84:$Y$96,X$84,$C$105:$D132)</f>
        <v>1.1074111828639017</v>
      </c>
      <c r="Y132" s="54">
        <f>DSUM($B$84:$Y$96,Y$84,$C$105:$D132)</f>
        <v>257.07773526490621</v>
      </c>
      <c r="AA132" s="54"/>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c r="B133" s="9" t="s">
        <v>1102</v>
      </c>
      <c r="C133" s="57" t="s">
        <v>1103</v>
      </c>
      <c r="D133" s="57" t="s">
        <v>1104</v>
      </c>
      <c r="E133" s="54">
        <f>DSUM($B$84:$Y$96,E$84,$C$105:$D133)</f>
        <v>0.90708987123789153</v>
      </c>
      <c r="F133" s="54">
        <f>DSUM($B$84:$Y$96,F$84,$C$105:$D133)</f>
        <v>1.5279515857550721</v>
      </c>
      <c r="G133" s="54">
        <f>DSUM($B$84:$Y$96,G$84,$C$105:$D133)</f>
        <v>3.2190237451254018</v>
      </c>
      <c r="H133" s="54">
        <f>DSUM($B$84:$Y$96,H$84,$C$105:$D133)</f>
        <v>5.8610319033298408</v>
      </c>
      <c r="I133" s="54">
        <f>DSUM($B$84:$Y$96,I$84,$C$105:$D133)</f>
        <v>10.435097069137491</v>
      </c>
      <c r="J133" s="54">
        <f>DSUM($B$84:$Y$96,J$84,$C$105:$D133)</f>
        <v>14.817100298906347</v>
      </c>
      <c r="K133" s="54">
        <f>DSUM($B$84:$Y$96,K$84,$C$105:$D133)</f>
        <v>19.106850409882242</v>
      </c>
      <c r="L133" s="54">
        <f>DSUM($B$84:$Y$96,L$84,$C$105:$D133)</f>
        <v>22.573623254969867</v>
      </c>
      <c r="M133" s="54">
        <f>DSUM($B$84:$Y$96,M$84,$C$105:$D133)</f>
        <v>24.606853744586441</v>
      </c>
      <c r="N133" s="54">
        <f>DSUM($B$84:$Y$96,N$84,$C$105:$D133)</f>
        <v>24.891523087072645</v>
      </c>
      <c r="O133" s="54">
        <f>DSUM($B$84:$Y$96,O$84,$C$105:$D133)</f>
        <v>23.49295794545931</v>
      </c>
      <c r="P133" s="54">
        <f>DSUM($B$84:$Y$96,P$84,$C$105:$D133)</f>
        <v>20.779823079868468</v>
      </c>
      <c r="Q133" s="54">
        <f>DSUM($B$84:$Y$96,Q$84,$C$105:$D133)</f>
        <v>17.289175623160208</v>
      </c>
      <c r="R133" s="54">
        <f>DSUM($B$84:$Y$96,R$84,$C$105:$D133)</f>
        <v>13.578468870756256</v>
      </c>
      <c r="S133" s="54">
        <f>DSUM($B$84:$Y$96,S$84,$C$105:$D133)</f>
        <v>10.100674671788484</v>
      </c>
      <c r="T133" s="54">
        <f>DSUM($B$84:$Y$96,T$84,$C$105:$D133)</f>
        <v>7.1279137581078995</v>
      </c>
      <c r="U133" s="54">
        <f>DSUM($B$84:$Y$96,U$84,$C$105:$D133)</f>
        <v>4.7897675864987708</v>
      </c>
      <c r="V133" s="54">
        <f>DSUM($B$84:$Y$96,V$84,$C$105:$D133)</f>
        <v>3.0711004896388774</v>
      </c>
      <c r="W133" s="54">
        <f>DSUM($B$84:$Y$96,W$84,$C$105:$D133)</f>
        <v>1.8833174760060338</v>
      </c>
      <c r="X133" s="54">
        <f>DSUM($B$84:$Y$96,X$84,$C$105:$D133)</f>
        <v>1.1074111828639017</v>
      </c>
      <c r="Y133" s="54">
        <f>DSUM($B$84:$Y$96,Y$84,$C$105:$D133)</f>
        <v>257.07773526490621</v>
      </c>
      <c r="AA133" s="54"/>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c r="B134" s="9" t="s">
        <v>1105</v>
      </c>
      <c r="C134" s="57" t="s">
        <v>1106</v>
      </c>
      <c r="D134" s="57" t="s">
        <v>1107</v>
      </c>
      <c r="E134" s="54">
        <f>DSUM($B$84:$Y$96,E$84,$C$105:$D134)</f>
        <v>0.90708987123789153</v>
      </c>
      <c r="F134" s="54">
        <f>DSUM($B$84:$Y$96,F$84,$C$105:$D134)</f>
        <v>1.5279515857550721</v>
      </c>
      <c r="G134" s="54">
        <f>DSUM($B$84:$Y$96,G$84,$C$105:$D134)</f>
        <v>3.2190237451254018</v>
      </c>
      <c r="H134" s="54">
        <f>DSUM($B$84:$Y$96,H$84,$C$105:$D134)</f>
        <v>5.8610319033298408</v>
      </c>
      <c r="I134" s="54">
        <f>DSUM($B$84:$Y$96,I$84,$C$105:$D134)</f>
        <v>10.435097069137491</v>
      </c>
      <c r="J134" s="54">
        <f>DSUM($B$84:$Y$96,J$84,$C$105:$D134)</f>
        <v>14.817100298906347</v>
      </c>
      <c r="K134" s="54">
        <f>DSUM($B$84:$Y$96,K$84,$C$105:$D134)</f>
        <v>19.106850409882242</v>
      </c>
      <c r="L134" s="54">
        <f>DSUM($B$84:$Y$96,L$84,$C$105:$D134)</f>
        <v>22.573623254969867</v>
      </c>
      <c r="M134" s="54">
        <f>DSUM($B$84:$Y$96,M$84,$C$105:$D134)</f>
        <v>24.606853744586441</v>
      </c>
      <c r="N134" s="54">
        <f>DSUM($B$84:$Y$96,N$84,$C$105:$D134)</f>
        <v>24.891523087072645</v>
      </c>
      <c r="O134" s="54">
        <f>DSUM($B$84:$Y$96,O$84,$C$105:$D134)</f>
        <v>23.49295794545931</v>
      </c>
      <c r="P134" s="54">
        <f>DSUM($B$84:$Y$96,P$84,$C$105:$D134)</f>
        <v>20.779823079868468</v>
      </c>
      <c r="Q134" s="54">
        <f>DSUM($B$84:$Y$96,Q$84,$C$105:$D134)</f>
        <v>17.289175623160208</v>
      </c>
      <c r="R134" s="54">
        <f>DSUM($B$84:$Y$96,R$84,$C$105:$D134)</f>
        <v>13.578468870756256</v>
      </c>
      <c r="S134" s="54">
        <f>DSUM($B$84:$Y$96,S$84,$C$105:$D134)</f>
        <v>10.100674671788484</v>
      </c>
      <c r="T134" s="54">
        <f>DSUM($B$84:$Y$96,T$84,$C$105:$D134)</f>
        <v>7.1279137581078995</v>
      </c>
      <c r="U134" s="54">
        <f>DSUM($B$84:$Y$96,U$84,$C$105:$D134)</f>
        <v>4.7897675864987708</v>
      </c>
      <c r="V134" s="54">
        <f>DSUM($B$84:$Y$96,V$84,$C$105:$D134)</f>
        <v>3.0711004896388774</v>
      </c>
      <c r="W134" s="54">
        <f>DSUM($B$84:$Y$96,W$84,$C$105:$D134)</f>
        <v>1.8833174760060338</v>
      </c>
      <c r="X134" s="54">
        <f>DSUM($B$84:$Y$96,X$84,$C$105:$D134)</f>
        <v>1.1074111828639017</v>
      </c>
      <c r="Y134" s="54">
        <f>DSUM($B$84:$Y$96,Y$84,$C$105:$D134)</f>
        <v>257.07773526490621</v>
      </c>
      <c r="AA134" s="5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B135" s="9" t="s">
        <v>1108</v>
      </c>
      <c r="C135" s="57" t="s">
        <v>1109</v>
      </c>
      <c r="D135" s="57" t="s">
        <v>1110</v>
      </c>
      <c r="E135" s="54">
        <f>DSUM($B$84:$Y$96,E$84,$C$105:$D135)</f>
        <v>0.90708987123789153</v>
      </c>
      <c r="F135" s="54">
        <f>DSUM($B$84:$Y$96,F$84,$C$105:$D135)</f>
        <v>1.5279515857550721</v>
      </c>
      <c r="G135" s="54">
        <f>DSUM($B$84:$Y$96,G$84,$C$105:$D135)</f>
        <v>3.2190237451254018</v>
      </c>
      <c r="H135" s="54">
        <f>DSUM($B$84:$Y$96,H$84,$C$105:$D135)</f>
        <v>5.8610319033298408</v>
      </c>
      <c r="I135" s="54">
        <f>DSUM($B$84:$Y$96,I$84,$C$105:$D135)</f>
        <v>10.435097069137491</v>
      </c>
      <c r="J135" s="54">
        <f>DSUM($B$84:$Y$96,J$84,$C$105:$D135)</f>
        <v>14.817100298906347</v>
      </c>
      <c r="K135" s="54">
        <f>DSUM($B$84:$Y$96,K$84,$C$105:$D135)</f>
        <v>19.106850409882242</v>
      </c>
      <c r="L135" s="54">
        <f>DSUM($B$84:$Y$96,L$84,$C$105:$D135)</f>
        <v>22.573623254969867</v>
      </c>
      <c r="M135" s="54">
        <f>DSUM($B$84:$Y$96,M$84,$C$105:$D135)</f>
        <v>24.606853744586441</v>
      </c>
      <c r="N135" s="54">
        <f>DSUM($B$84:$Y$96,N$84,$C$105:$D135)</f>
        <v>24.891523087072645</v>
      </c>
      <c r="O135" s="54">
        <f>DSUM($B$84:$Y$96,O$84,$C$105:$D135)</f>
        <v>23.49295794545931</v>
      </c>
      <c r="P135" s="54">
        <f>DSUM($B$84:$Y$96,P$84,$C$105:$D135)</f>
        <v>20.779823079868468</v>
      </c>
      <c r="Q135" s="54">
        <f>DSUM($B$84:$Y$96,Q$84,$C$105:$D135)</f>
        <v>17.289175623160208</v>
      </c>
      <c r="R135" s="54">
        <f>DSUM($B$84:$Y$96,R$84,$C$105:$D135)</f>
        <v>13.578468870756256</v>
      </c>
      <c r="S135" s="54">
        <f>DSUM($B$84:$Y$96,S$84,$C$105:$D135)</f>
        <v>10.100674671788484</v>
      </c>
      <c r="T135" s="54">
        <f>DSUM($B$84:$Y$96,T$84,$C$105:$D135)</f>
        <v>7.1279137581078995</v>
      </c>
      <c r="U135" s="54">
        <f>DSUM($B$84:$Y$96,U$84,$C$105:$D135)</f>
        <v>4.7897675864987708</v>
      </c>
      <c r="V135" s="54">
        <f>DSUM($B$84:$Y$96,V$84,$C$105:$D135)</f>
        <v>3.0711004896388774</v>
      </c>
      <c r="W135" s="54">
        <f>DSUM($B$84:$Y$96,W$84,$C$105:$D135)</f>
        <v>1.8833174760060338</v>
      </c>
      <c r="X135" s="54">
        <f>DSUM($B$84:$Y$96,X$84,$C$105:$D135)</f>
        <v>1.1074111828639017</v>
      </c>
      <c r="Y135" s="54">
        <f>DSUM($B$84:$Y$96,Y$84,$C$105:$D135)</f>
        <v>257.07773526490621</v>
      </c>
      <c r="AA135" s="54"/>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c r="B136" s="9" t="s">
        <v>1111</v>
      </c>
      <c r="C136" s="57" t="s">
        <v>1112</v>
      </c>
      <c r="D136" s="57" t="s">
        <v>1113</v>
      </c>
      <c r="E136" s="54">
        <f>DSUM($B$84:$Y$96,E$84,$C$105:$D136)</f>
        <v>0.90708987123789153</v>
      </c>
      <c r="F136" s="54">
        <f>DSUM($B$84:$Y$96,F$84,$C$105:$D136)</f>
        <v>1.5279515857550721</v>
      </c>
      <c r="G136" s="54">
        <f>DSUM($B$84:$Y$96,G$84,$C$105:$D136)</f>
        <v>3.2190237451254018</v>
      </c>
      <c r="H136" s="54">
        <f>DSUM($B$84:$Y$96,H$84,$C$105:$D136)</f>
        <v>5.8610319033298408</v>
      </c>
      <c r="I136" s="54">
        <f>DSUM($B$84:$Y$96,I$84,$C$105:$D136)</f>
        <v>10.435097069137491</v>
      </c>
      <c r="J136" s="54">
        <f>DSUM($B$84:$Y$96,J$84,$C$105:$D136)</f>
        <v>14.817100298906347</v>
      </c>
      <c r="K136" s="54">
        <f>DSUM($B$84:$Y$96,K$84,$C$105:$D136)</f>
        <v>19.106850409882242</v>
      </c>
      <c r="L136" s="54">
        <f>DSUM($B$84:$Y$96,L$84,$C$105:$D136)</f>
        <v>22.573623254969867</v>
      </c>
      <c r="M136" s="54">
        <f>DSUM($B$84:$Y$96,M$84,$C$105:$D136)</f>
        <v>24.606853744586441</v>
      </c>
      <c r="N136" s="54">
        <f>DSUM($B$84:$Y$96,N$84,$C$105:$D136)</f>
        <v>24.891523087072645</v>
      </c>
      <c r="O136" s="54">
        <f>DSUM($B$84:$Y$96,O$84,$C$105:$D136)</f>
        <v>23.49295794545931</v>
      </c>
      <c r="P136" s="54">
        <f>DSUM($B$84:$Y$96,P$84,$C$105:$D136)</f>
        <v>20.779823079868468</v>
      </c>
      <c r="Q136" s="54">
        <f>DSUM($B$84:$Y$96,Q$84,$C$105:$D136)</f>
        <v>17.289175623160208</v>
      </c>
      <c r="R136" s="54">
        <f>DSUM($B$84:$Y$96,R$84,$C$105:$D136)</f>
        <v>13.578468870756256</v>
      </c>
      <c r="S136" s="54">
        <f>DSUM($B$84:$Y$96,S$84,$C$105:$D136)</f>
        <v>10.100674671788484</v>
      </c>
      <c r="T136" s="54">
        <f>DSUM($B$84:$Y$96,T$84,$C$105:$D136)</f>
        <v>7.1279137581078995</v>
      </c>
      <c r="U136" s="54">
        <f>DSUM($B$84:$Y$96,U$84,$C$105:$D136)</f>
        <v>4.7897675864987708</v>
      </c>
      <c r="V136" s="54">
        <f>DSUM($B$84:$Y$96,V$84,$C$105:$D136)</f>
        <v>3.0711004896388774</v>
      </c>
      <c r="W136" s="54">
        <f>DSUM($B$84:$Y$96,W$84,$C$105:$D136)</f>
        <v>1.8833174760060338</v>
      </c>
      <c r="X136" s="54">
        <f>DSUM($B$84:$Y$96,X$84,$C$105:$D136)</f>
        <v>1.1074111828639017</v>
      </c>
      <c r="Y136" s="54">
        <f>DSUM($B$84:$Y$96,Y$84,$C$105:$D136)</f>
        <v>257.07773526490621</v>
      </c>
      <c r="AA136" s="54"/>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c r="B137" s="9" t="s">
        <v>1114</v>
      </c>
      <c r="C137" s="57" t="s">
        <v>1115</v>
      </c>
      <c r="D137" s="57" t="s">
        <v>135</v>
      </c>
      <c r="E137" s="54">
        <f>DSUM($B$84:$Y$96,E$84,$C$105:$D137)</f>
        <v>0.90708987123789153</v>
      </c>
      <c r="F137" s="54">
        <f>DSUM($B$84:$Y$96,F$84,$C$105:$D137)</f>
        <v>1.5279515857550721</v>
      </c>
      <c r="G137" s="54">
        <f>DSUM($B$84:$Y$96,G$84,$C$105:$D137)</f>
        <v>3.2190237451254018</v>
      </c>
      <c r="H137" s="54">
        <f>DSUM($B$84:$Y$96,H$84,$C$105:$D137)</f>
        <v>5.8610319033298408</v>
      </c>
      <c r="I137" s="54">
        <f>DSUM($B$84:$Y$96,I$84,$C$105:$D137)</f>
        <v>10.435097069137491</v>
      </c>
      <c r="J137" s="54">
        <f>DSUM($B$84:$Y$96,J$84,$C$105:$D137)</f>
        <v>14.817100298906347</v>
      </c>
      <c r="K137" s="54">
        <f>DSUM($B$84:$Y$96,K$84,$C$105:$D137)</f>
        <v>19.106850409882242</v>
      </c>
      <c r="L137" s="54">
        <f>DSUM($B$84:$Y$96,L$84,$C$105:$D137)</f>
        <v>22.573623254969867</v>
      </c>
      <c r="M137" s="54">
        <f>DSUM($B$84:$Y$96,M$84,$C$105:$D137)</f>
        <v>24.606853744586441</v>
      </c>
      <c r="N137" s="54">
        <f>DSUM($B$84:$Y$96,N$84,$C$105:$D137)</f>
        <v>24.891523087072645</v>
      </c>
      <c r="O137" s="54">
        <f>DSUM($B$84:$Y$96,O$84,$C$105:$D137)</f>
        <v>23.49295794545931</v>
      </c>
      <c r="P137" s="54">
        <f>DSUM($B$84:$Y$96,P$84,$C$105:$D137)</f>
        <v>20.779823079868468</v>
      </c>
      <c r="Q137" s="54">
        <f>DSUM($B$84:$Y$96,Q$84,$C$105:$D137)</f>
        <v>17.289175623160208</v>
      </c>
      <c r="R137" s="54">
        <f>DSUM($B$84:$Y$96,R$84,$C$105:$D137)</f>
        <v>13.578468870756256</v>
      </c>
      <c r="S137" s="54">
        <f>DSUM($B$84:$Y$96,S$84,$C$105:$D137)</f>
        <v>10.100674671788484</v>
      </c>
      <c r="T137" s="54">
        <f>DSUM($B$84:$Y$96,T$84,$C$105:$D137)</f>
        <v>7.1279137581078995</v>
      </c>
      <c r="U137" s="54">
        <f>DSUM($B$84:$Y$96,U$84,$C$105:$D137)</f>
        <v>4.7897675864987708</v>
      </c>
      <c r="V137" s="54">
        <f>DSUM($B$84:$Y$96,V$84,$C$105:$D137)</f>
        <v>3.0711004896388774</v>
      </c>
      <c r="W137" s="54">
        <f>DSUM($B$84:$Y$96,W$84,$C$105:$D137)</f>
        <v>1.8833174760060338</v>
      </c>
      <c r="X137" s="54">
        <f>DSUM($B$84:$Y$96,X$84,$C$105:$D137)</f>
        <v>1.1074111828639017</v>
      </c>
      <c r="Y137" s="54">
        <f>DSUM($B$84:$Y$96,Y$84,$C$105:$D137)</f>
        <v>257.07773526490621</v>
      </c>
      <c r="AA137" s="54"/>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E139" s="36">
        <f>E137</f>
        <v>0.90708987123789153</v>
      </c>
      <c r="F139" s="36">
        <f>F137+E139</f>
        <v>2.4350414569929635</v>
      </c>
      <c r="G139" s="36">
        <f t="shared" ref="G139:V139" si="64">G137+F139</f>
        <v>5.6540652021183657</v>
      </c>
      <c r="H139" s="36">
        <f t="shared" si="64"/>
        <v>11.515097105448206</v>
      </c>
      <c r="I139" s="36">
        <f>I137+H139</f>
        <v>21.950194174585697</v>
      </c>
      <c r="J139" s="36">
        <f t="shared" si="64"/>
        <v>36.767294473492043</v>
      </c>
      <c r="K139" s="36">
        <f t="shared" si="64"/>
        <v>55.874144883374285</v>
      </c>
      <c r="L139" s="36">
        <f t="shared" si="64"/>
        <v>78.447768138344145</v>
      </c>
      <c r="M139" s="36">
        <f t="shared" si="64"/>
        <v>103.05462188293059</v>
      </c>
      <c r="N139" s="36">
        <f t="shared" si="64"/>
        <v>127.94614497000323</v>
      </c>
      <c r="O139" s="36">
        <f t="shared" si="64"/>
        <v>151.43910291546254</v>
      </c>
      <c r="P139" s="36">
        <f t="shared" si="64"/>
        <v>172.21892599533101</v>
      </c>
      <c r="Q139" s="36">
        <f t="shared" si="64"/>
        <v>189.50810161849122</v>
      </c>
      <c r="R139" s="36">
        <f t="shared" si="64"/>
        <v>203.08657048924749</v>
      </c>
      <c r="S139" s="36">
        <f t="shared" si="64"/>
        <v>213.18724516103597</v>
      </c>
      <c r="T139" s="36">
        <f t="shared" si="64"/>
        <v>220.31515891914387</v>
      </c>
      <c r="U139" s="36">
        <f t="shared" si="64"/>
        <v>225.10492650564265</v>
      </c>
      <c r="V139" s="36">
        <f t="shared" si="64"/>
        <v>228.17602699528152</v>
      </c>
      <c r="W139" s="36">
        <f>W137+V139</f>
        <v>230.05934447128755</v>
      </c>
      <c r="X139" s="36">
        <f>X137+W139</f>
        <v>231.16675565415144</v>
      </c>
      <c r="Y139" s="36"/>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ht="15">
      <c r="A140" s="62" t="s">
        <v>136</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ht="15">
      <c r="D141" s="71" t="str">
        <f>C30</f>
        <v>Advanced Power Strips - Retro</v>
      </c>
      <c r="E141" s="65">
        <f t="shared" ref="E141:X141" si="65">E11</f>
        <v>2016</v>
      </c>
      <c r="F141" s="66">
        <f t="shared" si="65"/>
        <v>2017</v>
      </c>
      <c r="G141" s="66">
        <f t="shared" si="65"/>
        <v>2018</v>
      </c>
      <c r="H141" s="66">
        <f t="shared" si="65"/>
        <v>2019</v>
      </c>
      <c r="I141" s="66">
        <f t="shared" si="65"/>
        <v>2020</v>
      </c>
      <c r="J141" s="66">
        <f t="shared" si="65"/>
        <v>2021</v>
      </c>
      <c r="K141" s="66">
        <f t="shared" si="65"/>
        <v>2022</v>
      </c>
      <c r="L141" s="66">
        <f t="shared" si="65"/>
        <v>2023</v>
      </c>
      <c r="M141" s="66">
        <f t="shared" si="65"/>
        <v>2024</v>
      </c>
      <c r="N141" s="66">
        <f t="shared" si="65"/>
        <v>2025</v>
      </c>
      <c r="O141" s="66">
        <f t="shared" si="65"/>
        <v>2026</v>
      </c>
      <c r="P141" s="66">
        <f t="shared" si="65"/>
        <v>2027</v>
      </c>
      <c r="Q141" s="66">
        <f t="shared" si="65"/>
        <v>2028</v>
      </c>
      <c r="R141" s="66">
        <f t="shared" si="65"/>
        <v>2029</v>
      </c>
      <c r="S141" s="66">
        <f t="shared" si="65"/>
        <v>2030</v>
      </c>
      <c r="T141" s="66">
        <f t="shared" si="65"/>
        <v>2031</v>
      </c>
      <c r="U141" s="66">
        <f t="shared" si="65"/>
        <v>2032</v>
      </c>
      <c r="V141" s="66">
        <f t="shared" si="65"/>
        <v>2033</v>
      </c>
      <c r="W141" s="66">
        <f t="shared" si="65"/>
        <v>2034</v>
      </c>
      <c r="X141" s="66">
        <f t="shared" si="65"/>
        <v>2035</v>
      </c>
      <c r="Y141" s="67" t="s">
        <v>61</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ht="15">
      <c r="E142" s="68" t="str">
        <f>CONCATENATE("aMW_",E$11)</f>
        <v>aMW_2016</v>
      </c>
      <c r="F142" s="69" t="str">
        <f t="shared" ref="F142:X142" si="66">CONCATENATE("aMW_",F$11)</f>
        <v>aMW_2017</v>
      </c>
      <c r="G142" s="69" t="str">
        <f t="shared" si="66"/>
        <v>aMW_2018</v>
      </c>
      <c r="H142" s="69" t="str">
        <f t="shared" si="66"/>
        <v>aMW_2019</v>
      </c>
      <c r="I142" s="69" t="str">
        <f t="shared" si="66"/>
        <v>aMW_2020</v>
      </c>
      <c r="J142" s="69" t="str">
        <f t="shared" si="66"/>
        <v>aMW_2021</v>
      </c>
      <c r="K142" s="69" t="str">
        <f t="shared" si="66"/>
        <v>aMW_2022</v>
      </c>
      <c r="L142" s="69" t="str">
        <f t="shared" si="66"/>
        <v>aMW_2023</v>
      </c>
      <c r="M142" s="69" t="str">
        <f t="shared" si="66"/>
        <v>aMW_2024</v>
      </c>
      <c r="N142" s="69" t="str">
        <f t="shared" si="66"/>
        <v>aMW_2025</v>
      </c>
      <c r="O142" s="69" t="str">
        <f t="shared" si="66"/>
        <v>aMW_2026</v>
      </c>
      <c r="P142" s="69" t="str">
        <f t="shared" si="66"/>
        <v>aMW_2027</v>
      </c>
      <c r="Q142" s="69" t="str">
        <f t="shared" si="66"/>
        <v>aMW_2028</v>
      </c>
      <c r="R142" s="69" t="str">
        <f t="shared" si="66"/>
        <v>aMW_2029</v>
      </c>
      <c r="S142" s="69" t="str">
        <f t="shared" si="66"/>
        <v>aMW_2030</v>
      </c>
      <c r="T142" s="69" t="str">
        <f t="shared" si="66"/>
        <v>aMW_2031</v>
      </c>
      <c r="U142" s="69" t="str">
        <f t="shared" si="66"/>
        <v>aMW_2032</v>
      </c>
      <c r="V142" s="69" t="str">
        <f t="shared" si="66"/>
        <v>aMW_2033</v>
      </c>
      <c r="W142" s="69" t="str">
        <f t="shared" si="66"/>
        <v>aMW_2034</v>
      </c>
      <c r="X142" s="69" t="str">
        <f t="shared" si="66"/>
        <v>aMW_2035</v>
      </c>
      <c r="Y142" s="70" t="s">
        <v>61</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9" t="s">
        <v>70</v>
      </c>
      <c r="E143" s="58">
        <f>E106</f>
        <v>3.6075972971368206E-2</v>
      </c>
      <c r="F143" s="58">
        <f t="shared" ref="F143:Y143" si="67">F106</f>
        <v>5.6845687149414875E-2</v>
      </c>
      <c r="G143" s="58">
        <f t="shared" si="67"/>
        <v>0.11389046540889008</v>
      </c>
      <c r="H143" s="58">
        <f t="shared" si="67"/>
        <v>0.19950662884078108</v>
      </c>
      <c r="I143" s="58">
        <f t="shared" si="67"/>
        <v>0.31047097076983782</v>
      </c>
      <c r="J143" s="58">
        <f t="shared" si="67"/>
        <v>0.43498390291122285</v>
      </c>
      <c r="K143" s="58">
        <f t="shared" si="67"/>
        <v>0.55360240991028176</v>
      </c>
      <c r="L143" s="58">
        <f t="shared" si="67"/>
        <v>0.64549948013688563</v>
      </c>
      <c r="M143" s="58">
        <f t="shared" si="67"/>
        <v>0.69453447127801782</v>
      </c>
      <c r="N143" s="58">
        <f t="shared" si="67"/>
        <v>0.69365998561396969</v>
      </c>
      <c r="O143" s="58">
        <f t="shared" si="67"/>
        <v>0.6465150869690881</v>
      </c>
      <c r="P143" s="58">
        <f t="shared" si="67"/>
        <v>0.5647824367870613</v>
      </c>
      <c r="Q143" s="58">
        <f t="shared" si="67"/>
        <v>0.46420087171888658</v>
      </c>
      <c r="R143" s="58">
        <f t="shared" si="67"/>
        <v>0.36019650961550659</v>
      </c>
      <c r="S143" s="58">
        <f t="shared" si="67"/>
        <v>0.26474306872716746</v>
      </c>
      <c r="T143" s="58">
        <f t="shared" si="67"/>
        <v>0.18450410138830525</v>
      </c>
      <c r="U143" s="58">
        <f t="shared" si="67"/>
        <v>0.12244274242436461</v>
      </c>
      <c r="V143" s="58">
        <f t="shared" si="67"/>
        <v>7.7539464655570364E-2</v>
      </c>
      <c r="W143" s="58">
        <f t="shared" si="67"/>
        <v>4.6964681825363196E-2</v>
      </c>
      <c r="X143" s="58">
        <f t="shared" si="67"/>
        <v>2.7543575159345416E-2</v>
      </c>
      <c r="Y143" s="58">
        <f t="shared" si="67"/>
        <v>6.3940476966751634</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9" t="s">
        <v>1123</v>
      </c>
      <c r="E144" s="58">
        <f>E107-E106</f>
        <v>0</v>
      </c>
      <c r="F144" s="58">
        <f>F107-F106</f>
        <v>0</v>
      </c>
      <c r="G144" s="58">
        <f t="shared" ref="G144:Y157" si="68">G107-G106</f>
        <v>0</v>
      </c>
      <c r="H144" s="58">
        <f t="shared" si="68"/>
        <v>0</v>
      </c>
      <c r="I144" s="58">
        <f t="shared" si="68"/>
        <v>0</v>
      </c>
      <c r="J144" s="58">
        <f t="shared" si="68"/>
        <v>0</v>
      </c>
      <c r="K144" s="58">
        <f t="shared" si="68"/>
        <v>0</v>
      </c>
      <c r="L144" s="58">
        <f t="shared" si="68"/>
        <v>0</v>
      </c>
      <c r="M144" s="58">
        <f t="shared" si="68"/>
        <v>0</v>
      </c>
      <c r="N144" s="58">
        <f>N107-N106</f>
        <v>0</v>
      </c>
      <c r="O144" s="58">
        <f t="shared" si="68"/>
        <v>0</v>
      </c>
      <c r="P144" s="58">
        <f t="shared" si="68"/>
        <v>0</v>
      </c>
      <c r="Q144" s="58">
        <f t="shared" si="68"/>
        <v>0</v>
      </c>
      <c r="R144" s="58">
        <f t="shared" si="68"/>
        <v>0</v>
      </c>
      <c r="S144" s="58">
        <f t="shared" si="68"/>
        <v>0</v>
      </c>
      <c r="T144" s="58">
        <f t="shared" si="68"/>
        <v>0</v>
      </c>
      <c r="U144" s="58">
        <f t="shared" si="68"/>
        <v>0</v>
      </c>
      <c r="V144" s="58">
        <f t="shared" si="68"/>
        <v>0</v>
      </c>
      <c r="W144" s="58">
        <f t="shared" si="68"/>
        <v>0</v>
      </c>
      <c r="X144" s="58">
        <f t="shared" si="68"/>
        <v>0</v>
      </c>
      <c r="Y144" s="58">
        <f t="shared" si="68"/>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9" t="s">
        <v>76</v>
      </c>
      <c r="E145" s="58">
        <f t="shared" ref="E145:T160" si="69">E108-E107</f>
        <v>0</v>
      </c>
      <c r="F145" s="58">
        <f t="shared" si="69"/>
        <v>0</v>
      </c>
      <c r="G145" s="58">
        <f t="shared" si="68"/>
        <v>0</v>
      </c>
      <c r="H145" s="58">
        <f t="shared" si="68"/>
        <v>0</v>
      </c>
      <c r="I145" s="58">
        <f t="shared" si="68"/>
        <v>0</v>
      </c>
      <c r="J145" s="58">
        <f t="shared" si="68"/>
        <v>0</v>
      </c>
      <c r="K145" s="58">
        <f t="shared" si="68"/>
        <v>0</v>
      </c>
      <c r="L145" s="58">
        <f t="shared" si="68"/>
        <v>0</v>
      </c>
      <c r="M145" s="58">
        <f t="shared" si="68"/>
        <v>0</v>
      </c>
      <c r="N145" s="58">
        <f t="shared" si="68"/>
        <v>0</v>
      </c>
      <c r="O145" s="58">
        <f t="shared" si="68"/>
        <v>0</v>
      </c>
      <c r="P145" s="58">
        <f t="shared" si="68"/>
        <v>0</v>
      </c>
      <c r="Q145" s="58">
        <f t="shared" si="68"/>
        <v>0</v>
      </c>
      <c r="R145" s="58">
        <f t="shared" si="68"/>
        <v>0</v>
      </c>
      <c r="S145" s="58">
        <f t="shared" si="68"/>
        <v>0</v>
      </c>
      <c r="T145" s="58">
        <f t="shared" si="68"/>
        <v>0</v>
      </c>
      <c r="U145" s="58">
        <f t="shared" si="68"/>
        <v>0</v>
      </c>
      <c r="V145" s="58">
        <f t="shared" si="68"/>
        <v>0</v>
      </c>
      <c r="W145" s="58">
        <f t="shared" si="68"/>
        <v>0</v>
      </c>
      <c r="X145" s="58">
        <f t="shared" si="68"/>
        <v>0</v>
      </c>
      <c r="Y145" s="58">
        <f t="shared" ref="Y145" si="70">Y108-Y107</f>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9" t="s">
        <v>79</v>
      </c>
      <c r="E146" s="58">
        <f t="shared" si="69"/>
        <v>0</v>
      </c>
      <c r="F146" s="58">
        <f t="shared" si="69"/>
        <v>0</v>
      </c>
      <c r="G146" s="58">
        <f t="shared" si="68"/>
        <v>0</v>
      </c>
      <c r="H146" s="58">
        <f t="shared" si="68"/>
        <v>0</v>
      </c>
      <c r="I146" s="58">
        <f t="shared" si="68"/>
        <v>0</v>
      </c>
      <c r="J146" s="58">
        <f t="shared" si="68"/>
        <v>0</v>
      </c>
      <c r="K146" s="58">
        <f t="shared" si="68"/>
        <v>0</v>
      </c>
      <c r="L146" s="58">
        <f t="shared" si="68"/>
        <v>0</v>
      </c>
      <c r="M146" s="58">
        <f t="shared" si="68"/>
        <v>0</v>
      </c>
      <c r="N146" s="58">
        <f t="shared" si="68"/>
        <v>0</v>
      </c>
      <c r="O146" s="58">
        <f t="shared" si="68"/>
        <v>0</v>
      </c>
      <c r="P146" s="58">
        <f t="shared" si="68"/>
        <v>0</v>
      </c>
      <c r="Q146" s="58">
        <f t="shared" si="68"/>
        <v>0</v>
      </c>
      <c r="R146" s="58">
        <f t="shared" si="68"/>
        <v>0</v>
      </c>
      <c r="S146" s="58">
        <f t="shared" si="68"/>
        <v>0</v>
      </c>
      <c r="T146" s="58">
        <f t="shared" si="68"/>
        <v>0</v>
      </c>
      <c r="U146" s="58">
        <f t="shared" si="68"/>
        <v>0</v>
      </c>
      <c r="V146" s="58">
        <f t="shared" si="68"/>
        <v>0</v>
      </c>
      <c r="W146" s="58">
        <f t="shared" si="68"/>
        <v>0</v>
      </c>
      <c r="X146" s="58">
        <f t="shared" si="68"/>
        <v>0</v>
      </c>
      <c r="Y146" s="58">
        <f t="shared" ref="Y146" si="71">Y109-Y108</f>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9" t="s">
        <v>82</v>
      </c>
      <c r="E147" s="58">
        <f t="shared" si="69"/>
        <v>0</v>
      </c>
      <c r="F147" s="58">
        <f t="shared" si="69"/>
        <v>0</v>
      </c>
      <c r="G147" s="58">
        <f t="shared" si="68"/>
        <v>0</v>
      </c>
      <c r="H147" s="58">
        <f t="shared" si="68"/>
        <v>0</v>
      </c>
      <c r="I147" s="58">
        <f t="shared" si="68"/>
        <v>0</v>
      </c>
      <c r="J147" s="58">
        <f t="shared" si="68"/>
        <v>0</v>
      </c>
      <c r="K147" s="58">
        <f t="shared" si="68"/>
        <v>0</v>
      </c>
      <c r="L147" s="58">
        <f t="shared" si="68"/>
        <v>0</v>
      </c>
      <c r="M147" s="58">
        <f t="shared" si="68"/>
        <v>0</v>
      </c>
      <c r="N147" s="58">
        <f t="shared" si="68"/>
        <v>0</v>
      </c>
      <c r="O147" s="58">
        <f t="shared" si="68"/>
        <v>0</v>
      </c>
      <c r="P147" s="58">
        <f t="shared" si="68"/>
        <v>0</v>
      </c>
      <c r="Q147" s="58">
        <f t="shared" si="68"/>
        <v>0</v>
      </c>
      <c r="R147" s="58">
        <f t="shared" si="68"/>
        <v>0</v>
      </c>
      <c r="S147" s="58">
        <f t="shared" si="68"/>
        <v>0</v>
      </c>
      <c r="T147" s="58">
        <f t="shared" si="68"/>
        <v>0</v>
      </c>
      <c r="U147" s="58">
        <f t="shared" si="68"/>
        <v>0</v>
      </c>
      <c r="V147" s="58">
        <f t="shared" si="68"/>
        <v>0</v>
      </c>
      <c r="W147" s="58">
        <f t="shared" si="68"/>
        <v>0</v>
      </c>
      <c r="X147" s="58">
        <f t="shared" si="68"/>
        <v>0</v>
      </c>
      <c r="Y147" s="58">
        <f t="shared" ref="Y147" si="72">Y110-Y109</f>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9" t="s">
        <v>85</v>
      </c>
      <c r="E148" s="58">
        <f t="shared" si="69"/>
        <v>0.76000239737301234</v>
      </c>
      <c r="F148" s="58">
        <f t="shared" si="69"/>
        <v>1.2885081966696146</v>
      </c>
      <c r="G148" s="58">
        <f t="shared" si="68"/>
        <v>2.7270160711397997</v>
      </c>
      <c r="H148" s="58">
        <f t="shared" si="68"/>
        <v>4.9818589914582088</v>
      </c>
      <c r="I148" s="58">
        <f t="shared" si="68"/>
        <v>8.965040397048643</v>
      </c>
      <c r="J148" s="58">
        <f t="shared" si="68"/>
        <v>12.742092177947615</v>
      </c>
      <c r="K148" s="58">
        <f t="shared" si="68"/>
        <v>16.44654681599571</v>
      </c>
      <c r="L148" s="58">
        <f t="shared" si="68"/>
        <v>19.448701027505507</v>
      </c>
      <c r="M148" s="58">
        <f t="shared" si="68"/>
        <v>21.219724813949504</v>
      </c>
      <c r="N148" s="58">
        <f t="shared" si="68"/>
        <v>21.48406206970343</v>
      </c>
      <c r="O148" s="58">
        <f t="shared" si="68"/>
        <v>20.294246806392472</v>
      </c>
      <c r="P148" s="58">
        <f t="shared" si="68"/>
        <v>17.965494124809254</v>
      </c>
      <c r="Q148" s="58">
        <f t="shared" si="68"/>
        <v>14.959701585926823</v>
      </c>
      <c r="R148" s="58">
        <f t="shared" si="68"/>
        <v>11.758236960419215</v>
      </c>
      <c r="S148" s="58">
        <f t="shared" si="68"/>
        <v>8.7534351454731656</v>
      </c>
      <c r="T148" s="58">
        <f t="shared" si="68"/>
        <v>6.1821118095301415</v>
      </c>
      <c r="U148" s="58">
        <f t="shared" si="68"/>
        <v>4.1574820726223543</v>
      </c>
      <c r="V148" s="58">
        <f t="shared" si="68"/>
        <v>2.6677490922892062</v>
      </c>
      <c r="W148" s="58">
        <f t="shared" si="68"/>
        <v>1.6372112302264563</v>
      </c>
      <c r="X148" s="58">
        <f t="shared" si="68"/>
        <v>0.96285069568347703</v>
      </c>
      <c r="Y148" s="58">
        <f t="shared" ref="Y148" si="73">Y111-Y110</f>
        <v>223.51903256422892</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9" t="s">
        <v>88</v>
      </c>
      <c r="E149" s="58">
        <f t="shared" si="69"/>
        <v>0</v>
      </c>
      <c r="F149" s="58">
        <f t="shared" si="69"/>
        <v>0</v>
      </c>
      <c r="G149" s="58">
        <f t="shared" si="68"/>
        <v>0</v>
      </c>
      <c r="H149" s="58">
        <f t="shared" si="68"/>
        <v>0</v>
      </c>
      <c r="I149" s="58">
        <f t="shared" si="68"/>
        <v>0</v>
      </c>
      <c r="J149" s="58">
        <f t="shared" si="68"/>
        <v>0</v>
      </c>
      <c r="K149" s="58">
        <f t="shared" si="68"/>
        <v>0</v>
      </c>
      <c r="L149" s="58">
        <f t="shared" si="68"/>
        <v>0</v>
      </c>
      <c r="M149" s="58">
        <f t="shared" si="68"/>
        <v>0</v>
      </c>
      <c r="N149" s="58">
        <f t="shared" si="68"/>
        <v>0</v>
      </c>
      <c r="O149" s="58">
        <f t="shared" si="68"/>
        <v>0</v>
      </c>
      <c r="P149" s="58">
        <f t="shared" si="68"/>
        <v>0</v>
      </c>
      <c r="Q149" s="58">
        <f t="shared" si="68"/>
        <v>0</v>
      </c>
      <c r="R149" s="58">
        <f t="shared" si="68"/>
        <v>0</v>
      </c>
      <c r="S149" s="58">
        <f t="shared" si="68"/>
        <v>0</v>
      </c>
      <c r="T149" s="58">
        <f t="shared" si="68"/>
        <v>0</v>
      </c>
      <c r="U149" s="58">
        <f t="shared" si="68"/>
        <v>0</v>
      </c>
      <c r="V149" s="58">
        <f t="shared" si="68"/>
        <v>0</v>
      </c>
      <c r="W149" s="58">
        <f t="shared" si="68"/>
        <v>0</v>
      </c>
      <c r="X149" s="58">
        <f t="shared" si="68"/>
        <v>0</v>
      </c>
      <c r="Y149" s="58">
        <f t="shared" ref="Y149" si="74">Y112-Y111</f>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9" t="s">
        <v>91</v>
      </c>
      <c r="E150" s="58">
        <f t="shared" si="69"/>
        <v>0</v>
      </c>
      <c r="F150" s="58">
        <f t="shared" si="69"/>
        <v>0</v>
      </c>
      <c r="G150" s="58">
        <f t="shared" si="68"/>
        <v>0</v>
      </c>
      <c r="H150" s="58">
        <f t="shared" si="68"/>
        <v>0</v>
      </c>
      <c r="I150" s="58">
        <f t="shared" si="68"/>
        <v>0</v>
      </c>
      <c r="J150" s="58">
        <f t="shared" si="68"/>
        <v>0</v>
      </c>
      <c r="K150" s="58">
        <f t="shared" si="68"/>
        <v>0</v>
      </c>
      <c r="L150" s="58">
        <f t="shared" si="68"/>
        <v>0</v>
      </c>
      <c r="M150" s="58">
        <f t="shared" si="68"/>
        <v>0</v>
      </c>
      <c r="N150" s="58">
        <f t="shared" si="68"/>
        <v>0</v>
      </c>
      <c r="O150" s="58">
        <f t="shared" si="68"/>
        <v>0</v>
      </c>
      <c r="P150" s="58">
        <f t="shared" si="68"/>
        <v>0</v>
      </c>
      <c r="Q150" s="58">
        <f t="shared" si="68"/>
        <v>0</v>
      </c>
      <c r="R150" s="58">
        <f t="shared" si="68"/>
        <v>0</v>
      </c>
      <c r="S150" s="58">
        <f t="shared" si="68"/>
        <v>0</v>
      </c>
      <c r="T150" s="58">
        <f t="shared" si="68"/>
        <v>0</v>
      </c>
      <c r="U150" s="58">
        <f t="shared" si="68"/>
        <v>0</v>
      </c>
      <c r="V150" s="58">
        <f t="shared" si="68"/>
        <v>0</v>
      </c>
      <c r="W150" s="58">
        <f t="shared" si="68"/>
        <v>0</v>
      </c>
      <c r="X150" s="58">
        <f t="shared" si="68"/>
        <v>0</v>
      </c>
      <c r="Y150" s="58">
        <f t="shared" ref="Y150" si="75">Y113-Y112</f>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9" t="s">
        <v>94</v>
      </c>
      <c r="E151" s="58">
        <f t="shared" si="69"/>
        <v>0</v>
      </c>
      <c r="F151" s="58">
        <f t="shared" si="69"/>
        <v>0</v>
      </c>
      <c r="G151" s="58">
        <f t="shared" si="68"/>
        <v>0</v>
      </c>
      <c r="H151" s="58">
        <f t="shared" si="68"/>
        <v>0</v>
      </c>
      <c r="I151" s="58">
        <f t="shared" si="68"/>
        <v>0</v>
      </c>
      <c r="J151" s="58">
        <f t="shared" si="68"/>
        <v>0</v>
      </c>
      <c r="K151" s="58">
        <f t="shared" si="68"/>
        <v>0</v>
      </c>
      <c r="L151" s="58">
        <f t="shared" si="68"/>
        <v>0</v>
      </c>
      <c r="M151" s="58">
        <f t="shared" si="68"/>
        <v>0</v>
      </c>
      <c r="N151" s="58">
        <f t="shared" si="68"/>
        <v>0</v>
      </c>
      <c r="O151" s="58">
        <f t="shared" si="68"/>
        <v>0</v>
      </c>
      <c r="P151" s="58">
        <f t="shared" si="68"/>
        <v>0</v>
      </c>
      <c r="Q151" s="58">
        <f t="shared" si="68"/>
        <v>0</v>
      </c>
      <c r="R151" s="58">
        <f t="shared" si="68"/>
        <v>0</v>
      </c>
      <c r="S151" s="58">
        <f t="shared" si="68"/>
        <v>0</v>
      </c>
      <c r="T151" s="58">
        <f t="shared" si="68"/>
        <v>0</v>
      </c>
      <c r="U151" s="58">
        <f t="shared" si="68"/>
        <v>0</v>
      </c>
      <c r="V151" s="58">
        <f t="shared" si="68"/>
        <v>0</v>
      </c>
      <c r="W151" s="58">
        <f t="shared" si="68"/>
        <v>0</v>
      </c>
      <c r="X151" s="58">
        <f t="shared" si="68"/>
        <v>0</v>
      </c>
      <c r="Y151" s="58">
        <f t="shared" ref="Y151" si="76">Y114-Y113</f>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9" t="s">
        <v>97</v>
      </c>
      <c r="E152" s="58">
        <f t="shared" si="69"/>
        <v>0</v>
      </c>
      <c r="F152" s="58">
        <f t="shared" si="69"/>
        <v>0</v>
      </c>
      <c r="G152" s="58">
        <f t="shared" si="68"/>
        <v>0</v>
      </c>
      <c r="H152" s="58">
        <f t="shared" si="68"/>
        <v>0</v>
      </c>
      <c r="I152" s="58">
        <f t="shared" si="68"/>
        <v>0</v>
      </c>
      <c r="J152" s="58">
        <f t="shared" si="68"/>
        <v>0</v>
      </c>
      <c r="K152" s="58">
        <f t="shared" si="68"/>
        <v>0</v>
      </c>
      <c r="L152" s="58">
        <f t="shared" si="68"/>
        <v>0</v>
      </c>
      <c r="M152" s="58">
        <f t="shared" si="68"/>
        <v>0</v>
      </c>
      <c r="N152" s="58">
        <f t="shared" si="68"/>
        <v>0</v>
      </c>
      <c r="O152" s="58">
        <f t="shared" si="68"/>
        <v>0</v>
      </c>
      <c r="P152" s="58">
        <f t="shared" si="68"/>
        <v>0</v>
      </c>
      <c r="Q152" s="58">
        <f t="shared" si="68"/>
        <v>0</v>
      </c>
      <c r="R152" s="58">
        <f t="shared" si="68"/>
        <v>0</v>
      </c>
      <c r="S152" s="58">
        <f t="shared" si="68"/>
        <v>0</v>
      </c>
      <c r="T152" s="58">
        <f t="shared" si="68"/>
        <v>0</v>
      </c>
      <c r="U152" s="58">
        <f t="shared" si="68"/>
        <v>0</v>
      </c>
      <c r="V152" s="58">
        <f t="shared" si="68"/>
        <v>0</v>
      </c>
      <c r="W152" s="58">
        <f t="shared" si="68"/>
        <v>0</v>
      </c>
      <c r="X152" s="58">
        <f t="shared" si="68"/>
        <v>0</v>
      </c>
      <c r="Y152" s="58">
        <f t="shared" ref="Y152" si="77">Y115-Y114</f>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9" t="s">
        <v>100</v>
      </c>
      <c r="E153" s="58">
        <f t="shared" si="69"/>
        <v>0</v>
      </c>
      <c r="F153" s="58">
        <f t="shared" si="69"/>
        <v>0</v>
      </c>
      <c r="G153" s="58">
        <f t="shared" si="68"/>
        <v>0</v>
      </c>
      <c r="H153" s="58">
        <f t="shared" si="68"/>
        <v>0</v>
      </c>
      <c r="I153" s="58">
        <f t="shared" si="68"/>
        <v>0</v>
      </c>
      <c r="J153" s="58">
        <f t="shared" si="68"/>
        <v>0</v>
      </c>
      <c r="K153" s="58">
        <f t="shared" si="68"/>
        <v>0</v>
      </c>
      <c r="L153" s="58">
        <f t="shared" si="68"/>
        <v>0</v>
      </c>
      <c r="M153" s="58">
        <f t="shared" si="68"/>
        <v>0</v>
      </c>
      <c r="N153" s="58">
        <f t="shared" si="68"/>
        <v>0</v>
      </c>
      <c r="O153" s="58">
        <f t="shared" si="68"/>
        <v>0</v>
      </c>
      <c r="P153" s="58">
        <f t="shared" si="68"/>
        <v>0</v>
      </c>
      <c r="Q153" s="58">
        <f t="shared" si="68"/>
        <v>0</v>
      </c>
      <c r="R153" s="58">
        <f t="shared" si="68"/>
        <v>0</v>
      </c>
      <c r="S153" s="58">
        <f t="shared" si="68"/>
        <v>0</v>
      </c>
      <c r="T153" s="58">
        <f t="shared" si="68"/>
        <v>0</v>
      </c>
      <c r="U153" s="58">
        <f t="shared" si="68"/>
        <v>0</v>
      </c>
      <c r="V153" s="58">
        <f t="shared" si="68"/>
        <v>0</v>
      </c>
      <c r="W153" s="58">
        <f t="shared" si="68"/>
        <v>0</v>
      </c>
      <c r="X153" s="58">
        <f t="shared" si="68"/>
        <v>0</v>
      </c>
      <c r="Y153" s="58">
        <f t="shared" ref="Y153" si="78">Y116-Y115</f>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9" t="s">
        <v>103</v>
      </c>
      <c r="E154" s="58">
        <f t="shared" si="69"/>
        <v>0</v>
      </c>
      <c r="F154" s="58">
        <f t="shared" si="69"/>
        <v>0</v>
      </c>
      <c r="G154" s="58">
        <f t="shared" si="68"/>
        <v>0</v>
      </c>
      <c r="H154" s="58">
        <f t="shared" si="68"/>
        <v>0</v>
      </c>
      <c r="I154" s="58">
        <f t="shared" si="68"/>
        <v>0</v>
      </c>
      <c r="J154" s="58">
        <f t="shared" si="68"/>
        <v>0</v>
      </c>
      <c r="K154" s="58">
        <f t="shared" si="68"/>
        <v>0</v>
      </c>
      <c r="L154" s="58">
        <f t="shared" si="68"/>
        <v>0</v>
      </c>
      <c r="M154" s="58">
        <f t="shared" si="68"/>
        <v>0</v>
      </c>
      <c r="N154" s="58">
        <f t="shared" si="68"/>
        <v>0</v>
      </c>
      <c r="O154" s="58">
        <f t="shared" si="68"/>
        <v>0</v>
      </c>
      <c r="P154" s="58">
        <f t="shared" si="68"/>
        <v>0</v>
      </c>
      <c r="Q154" s="58">
        <f t="shared" si="68"/>
        <v>0</v>
      </c>
      <c r="R154" s="58">
        <f t="shared" si="68"/>
        <v>0</v>
      </c>
      <c r="S154" s="58">
        <f t="shared" si="68"/>
        <v>0</v>
      </c>
      <c r="T154" s="58">
        <f t="shared" si="68"/>
        <v>0</v>
      </c>
      <c r="U154" s="58">
        <f t="shared" si="68"/>
        <v>0</v>
      </c>
      <c r="V154" s="58">
        <f t="shared" si="68"/>
        <v>0</v>
      </c>
      <c r="W154" s="58">
        <f t="shared" si="68"/>
        <v>0</v>
      </c>
      <c r="X154" s="58">
        <f t="shared" si="68"/>
        <v>0</v>
      </c>
      <c r="Y154" s="58">
        <f t="shared" ref="Y154" si="79">Y117-Y116</f>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9" t="s">
        <v>106</v>
      </c>
      <c r="E155" s="58">
        <f t="shared" si="69"/>
        <v>0</v>
      </c>
      <c r="F155" s="58">
        <f t="shared" si="69"/>
        <v>0</v>
      </c>
      <c r="G155" s="58">
        <f t="shared" si="68"/>
        <v>0</v>
      </c>
      <c r="H155" s="58">
        <f t="shared" si="68"/>
        <v>0</v>
      </c>
      <c r="I155" s="58">
        <f t="shared" si="68"/>
        <v>0</v>
      </c>
      <c r="J155" s="58">
        <f t="shared" si="68"/>
        <v>0</v>
      </c>
      <c r="K155" s="58">
        <f t="shared" si="68"/>
        <v>0</v>
      </c>
      <c r="L155" s="58">
        <f t="shared" si="68"/>
        <v>0</v>
      </c>
      <c r="M155" s="58">
        <f t="shared" si="68"/>
        <v>0</v>
      </c>
      <c r="N155" s="58">
        <f t="shared" si="68"/>
        <v>0</v>
      </c>
      <c r="O155" s="58">
        <f t="shared" si="68"/>
        <v>0</v>
      </c>
      <c r="P155" s="58">
        <f t="shared" si="68"/>
        <v>0</v>
      </c>
      <c r="Q155" s="58">
        <f t="shared" si="68"/>
        <v>0</v>
      </c>
      <c r="R155" s="58">
        <f t="shared" si="68"/>
        <v>0</v>
      </c>
      <c r="S155" s="58">
        <f t="shared" si="68"/>
        <v>0</v>
      </c>
      <c r="T155" s="58">
        <f t="shared" si="68"/>
        <v>0</v>
      </c>
      <c r="U155" s="58">
        <f t="shared" si="68"/>
        <v>0</v>
      </c>
      <c r="V155" s="58">
        <f t="shared" si="68"/>
        <v>0</v>
      </c>
      <c r="W155" s="58">
        <f t="shared" si="68"/>
        <v>0</v>
      </c>
      <c r="X155" s="58">
        <f t="shared" si="68"/>
        <v>0</v>
      </c>
      <c r="Y155" s="58">
        <f t="shared" ref="Y155" si="80">Y118-Y117</f>
        <v>0</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9" t="s">
        <v>109</v>
      </c>
      <c r="E156" s="58">
        <f t="shared" si="69"/>
        <v>0</v>
      </c>
      <c r="F156" s="58">
        <f t="shared" si="69"/>
        <v>0</v>
      </c>
      <c r="G156" s="58">
        <f t="shared" si="68"/>
        <v>0</v>
      </c>
      <c r="H156" s="58">
        <f t="shared" si="68"/>
        <v>0</v>
      </c>
      <c r="I156" s="58">
        <f t="shared" si="68"/>
        <v>0</v>
      </c>
      <c r="J156" s="58">
        <f t="shared" si="68"/>
        <v>0</v>
      </c>
      <c r="K156" s="58">
        <f t="shared" si="68"/>
        <v>0</v>
      </c>
      <c r="L156" s="58">
        <f t="shared" si="68"/>
        <v>0</v>
      </c>
      <c r="M156" s="58">
        <f t="shared" si="68"/>
        <v>0</v>
      </c>
      <c r="N156" s="58">
        <f t="shared" si="68"/>
        <v>0</v>
      </c>
      <c r="O156" s="58">
        <f t="shared" si="68"/>
        <v>0</v>
      </c>
      <c r="P156" s="58">
        <f t="shared" si="68"/>
        <v>0</v>
      </c>
      <c r="Q156" s="58">
        <f t="shared" si="68"/>
        <v>0</v>
      </c>
      <c r="R156" s="58">
        <f t="shared" si="68"/>
        <v>0</v>
      </c>
      <c r="S156" s="58">
        <f t="shared" si="68"/>
        <v>0</v>
      </c>
      <c r="T156" s="58">
        <f t="shared" si="68"/>
        <v>0</v>
      </c>
      <c r="U156" s="58">
        <f t="shared" si="68"/>
        <v>0</v>
      </c>
      <c r="V156" s="58">
        <f t="shared" si="68"/>
        <v>0</v>
      </c>
      <c r="W156" s="58">
        <f t="shared" si="68"/>
        <v>0</v>
      </c>
      <c r="X156" s="58">
        <f t="shared" si="68"/>
        <v>0</v>
      </c>
      <c r="Y156" s="58">
        <f t="shared" ref="Y156" si="81">Y119-Y118</f>
        <v>0</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9" t="s">
        <v>112</v>
      </c>
      <c r="E157" s="58">
        <f t="shared" si="69"/>
        <v>0</v>
      </c>
      <c r="F157" s="58">
        <f t="shared" si="69"/>
        <v>0</v>
      </c>
      <c r="G157" s="58">
        <f t="shared" si="68"/>
        <v>0</v>
      </c>
      <c r="H157" s="58">
        <f t="shared" si="68"/>
        <v>0</v>
      </c>
      <c r="I157" s="58">
        <f t="shared" si="68"/>
        <v>0</v>
      </c>
      <c r="J157" s="58">
        <f t="shared" si="68"/>
        <v>0</v>
      </c>
      <c r="K157" s="58">
        <f t="shared" si="68"/>
        <v>0</v>
      </c>
      <c r="L157" s="58">
        <f t="shared" si="68"/>
        <v>0</v>
      </c>
      <c r="M157" s="58">
        <f t="shared" si="68"/>
        <v>0</v>
      </c>
      <c r="N157" s="58">
        <f t="shared" si="68"/>
        <v>0</v>
      </c>
      <c r="O157" s="58">
        <f t="shared" si="68"/>
        <v>0</v>
      </c>
      <c r="P157" s="58">
        <f t="shared" ref="P157:Y160" si="82">P120-P119</f>
        <v>0</v>
      </c>
      <c r="Q157" s="58">
        <f t="shared" si="82"/>
        <v>0</v>
      </c>
      <c r="R157" s="58">
        <f t="shared" si="82"/>
        <v>0</v>
      </c>
      <c r="S157" s="58">
        <f t="shared" si="82"/>
        <v>0</v>
      </c>
      <c r="T157" s="58">
        <f t="shared" si="82"/>
        <v>0</v>
      </c>
      <c r="U157" s="58">
        <f t="shared" si="82"/>
        <v>0</v>
      </c>
      <c r="V157" s="58">
        <f t="shared" si="82"/>
        <v>0</v>
      </c>
      <c r="W157" s="58">
        <f t="shared" si="82"/>
        <v>0</v>
      </c>
      <c r="X157" s="58">
        <f t="shared" si="82"/>
        <v>0</v>
      </c>
      <c r="Y157" s="58">
        <f t="shared" si="82"/>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9" t="s">
        <v>115</v>
      </c>
      <c r="E158" s="58">
        <f t="shared" si="69"/>
        <v>0</v>
      </c>
      <c r="F158" s="58">
        <f t="shared" si="69"/>
        <v>0</v>
      </c>
      <c r="G158" s="58">
        <f t="shared" si="69"/>
        <v>0</v>
      </c>
      <c r="H158" s="58">
        <f t="shared" si="69"/>
        <v>0</v>
      </c>
      <c r="I158" s="58">
        <f t="shared" si="69"/>
        <v>0</v>
      </c>
      <c r="J158" s="58">
        <f t="shared" si="69"/>
        <v>0</v>
      </c>
      <c r="K158" s="58">
        <f t="shared" si="69"/>
        <v>0</v>
      </c>
      <c r="L158" s="58">
        <f t="shared" si="69"/>
        <v>0</v>
      </c>
      <c r="M158" s="58">
        <f t="shared" si="69"/>
        <v>0</v>
      </c>
      <c r="N158" s="58">
        <f t="shared" si="69"/>
        <v>0</v>
      </c>
      <c r="O158" s="58">
        <f t="shared" si="69"/>
        <v>0</v>
      </c>
      <c r="P158" s="58">
        <f t="shared" si="69"/>
        <v>0</v>
      </c>
      <c r="Q158" s="58">
        <f t="shared" si="69"/>
        <v>0</v>
      </c>
      <c r="R158" s="58">
        <f t="shared" si="69"/>
        <v>0</v>
      </c>
      <c r="S158" s="58">
        <f t="shared" si="69"/>
        <v>0</v>
      </c>
      <c r="T158" s="58">
        <f t="shared" si="69"/>
        <v>0</v>
      </c>
      <c r="U158" s="58">
        <f t="shared" si="82"/>
        <v>0</v>
      </c>
      <c r="V158" s="58">
        <f t="shared" si="82"/>
        <v>0</v>
      </c>
      <c r="W158" s="58">
        <f t="shared" si="82"/>
        <v>0</v>
      </c>
      <c r="X158" s="58">
        <f t="shared" si="82"/>
        <v>0</v>
      </c>
      <c r="Y158" s="58">
        <f t="shared" si="82"/>
        <v>0</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9" t="s">
        <v>118</v>
      </c>
      <c r="E159" s="58">
        <f t="shared" si="69"/>
        <v>0</v>
      </c>
      <c r="F159" s="58">
        <f t="shared" si="69"/>
        <v>0</v>
      </c>
      <c r="G159" s="58">
        <f t="shared" si="69"/>
        <v>0</v>
      </c>
      <c r="H159" s="58">
        <f t="shared" si="69"/>
        <v>0</v>
      </c>
      <c r="I159" s="58">
        <f t="shared" si="69"/>
        <v>0</v>
      </c>
      <c r="J159" s="58">
        <f t="shared" si="69"/>
        <v>0</v>
      </c>
      <c r="K159" s="58">
        <f t="shared" si="69"/>
        <v>0</v>
      </c>
      <c r="L159" s="58">
        <f t="shared" si="69"/>
        <v>0</v>
      </c>
      <c r="M159" s="58">
        <f t="shared" si="69"/>
        <v>0</v>
      </c>
      <c r="N159" s="58">
        <f t="shared" si="69"/>
        <v>0</v>
      </c>
      <c r="O159" s="58">
        <f t="shared" si="69"/>
        <v>0</v>
      </c>
      <c r="P159" s="58">
        <f t="shared" si="69"/>
        <v>0</v>
      </c>
      <c r="Q159" s="58">
        <f t="shared" si="69"/>
        <v>0</v>
      </c>
      <c r="R159" s="58">
        <f t="shared" si="69"/>
        <v>0</v>
      </c>
      <c r="S159" s="58">
        <f t="shared" si="69"/>
        <v>0</v>
      </c>
      <c r="T159" s="58">
        <f t="shared" si="69"/>
        <v>0</v>
      </c>
      <c r="U159" s="58">
        <f t="shared" si="82"/>
        <v>0</v>
      </c>
      <c r="V159" s="58">
        <f t="shared" si="82"/>
        <v>0</v>
      </c>
      <c r="W159" s="58">
        <f t="shared" si="82"/>
        <v>0</v>
      </c>
      <c r="X159" s="58">
        <f t="shared" si="82"/>
        <v>0</v>
      </c>
      <c r="Y159" s="58">
        <f t="shared" si="82"/>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9" t="s">
        <v>121</v>
      </c>
      <c r="E160" s="58">
        <f t="shared" si="69"/>
        <v>0</v>
      </c>
      <c r="F160" s="58">
        <f t="shared" si="69"/>
        <v>0</v>
      </c>
      <c r="G160" s="58">
        <f t="shared" si="69"/>
        <v>0</v>
      </c>
      <c r="H160" s="58">
        <f t="shared" si="69"/>
        <v>0</v>
      </c>
      <c r="I160" s="58">
        <f t="shared" si="69"/>
        <v>0</v>
      </c>
      <c r="J160" s="58">
        <f t="shared" si="69"/>
        <v>0</v>
      </c>
      <c r="K160" s="58">
        <f t="shared" si="69"/>
        <v>0</v>
      </c>
      <c r="L160" s="58">
        <f t="shared" si="69"/>
        <v>0</v>
      </c>
      <c r="M160" s="58">
        <f t="shared" si="69"/>
        <v>0</v>
      </c>
      <c r="N160" s="58">
        <f t="shared" si="69"/>
        <v>0</v>
      </c>
      <c r="O160" s="58">
        <f t="shared" si="69"/>
        <v>0</v>
      </c>
      <c r="P160" s="58">
        <f t="shared" si="69"/>
        <v>0</v>
      </c>
      <c r="Q160" s="58">
        <f t="shared" si="69"/>
        <v>0</v>
      </c>
      <c r="R160" s="58">
        <f t="shared" si="69"/>
        <v>0</v>
      </c>
      <c r="S160" s="58">
        <f t="shared" si="69"/>
        <v>0</v>
      </c>
      <c r="T160" s="58">
        <f t="shared" si="69"/>
        <v>0</v>
      </c>
      <c r="U160" s="58">
        <f t="shared" si="82"/>
        <v>0</v>
      </c>
      <c r="V160" s="58">
        <f t="shared" si="82"/>
        <v>0</v>
      </c>
      <c r="W160" s="58">
        <f t="shared" si="82"/>
        <v>0</v>
      </c>
      <c r="X160" s="58">
        <f t="shared" si="82"/>
        <v>0</v>
      </c>
      <c r="Y160" s="58">
        <f t="shared" si="82"/>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9" t="s">
        <v>124</v>
      </c>
      <c r="E161" s="58">
        <f t="shared" ref="E161:Y161" si="83">E124-E123</f>
        <v>0</v>
      </c>
      <c r="F161" s="58">
        <f t="shared" si="83"/>
        <v>0</v>
      </c>
      <c r="G161" s="58">
        <f t="shared" si="83"/>
        <v>0</v>
      </c>
      <c r="H161" s="58">
        <f t="shared" si="83"/>
        <v>0</v>
      </c>
      <c r="I161" s="58">
        <f t="shared" si="83"/>
        <v>0</v>
      </c>
      <c r="J161" s="58">
        <f t="shared" si="83"/>
        <v>0</v>
      </c>
      <c r="K161" s="58">
        <f t="shared" si="83"/>
        <v>0</v>
      </c>
      <c r="L161" s="58">
        <f t="shared" si="83"/>
        <v>0</v>
      </c>
      <c r="M161" s="58">
        <f t="shared" si="83"/>
        <v>0</v>
      </c>
      <c r="N161" s="58">
        <f t="shared" si="83"/>
        <v>0</v>
      </c>
      <c r="O161" s="58">
        <f t="shared" si="83"/>
        <v>0</v>
      </c>
      <c r="P161" s="58">
        <f t="shared" si="83"/>
        <v>0</v>
      </c>
      <c r="Q161" s="58">
        <f t="shared" si="83"/>
        <v>0</v>
      </c>
      <c r="R161" s="58">
        <f t="shared" si="83"/>
        <v>0</v>
      </c>
      <c r="S161" s="58">
        <f t="shared" si="83"/>
        <v>0</v>
      </c>
      <c r="T161" s="58">
        <f t="shared" si="83"/>
        <v>0</v>
      </c>
      <c r="U161" s="58">
        <f t="shared" si="83"/>
        <v>0</v>
      </c>
      <c r="V161" s="58">
        <f t="shared" si="83"/>
        <v>0</v>
      </c>
      <c r="W161" s="58">
        <f t="shared" si="83"/>
        <v>0</v>
      </c>
      <c r="X161" s="58">
        <f t="shared" si="83"/>
        <v>0</v>
      </c>
      <c r="Y161" s="58">
        <f t="shared" si="83"/>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9" t="s">
        <v>127</v>
      </c>
      <c r="E162" s="58">
        <f t="shared" ref="E162:Y162" si="84">E125-E124</f>
        <v>0</v>
      </c>
      <c r="F162" s="58">
        <f t="shared" si="84"/>
        <v>0</v>
      </c>
      <c r="G162" s="58">
        <f t="shared" si="84"/>
        <v>0</v>
      </c>
      <c r="H162" s="58">
        <f t="shared" si="84"/>
        <v>0</v>
      </c>
      <c r="I162" s="58">
        <f t="shared" si="84"/>
        <v>0</v>
      </c>
      <c r="J162" s="58">
        <f t="shared" si="84"/>
        <v>0</v>
      </c>
      <c r="K162" s="58">
        <f t="shared" si="84"/>
        <v>0</v>
      </c>
      <c r="L162" s="58">
        <f t="shared" si="84"/>
        <v>0</v>
      </c>
      <c r="M162" s="58">
        <f t="shared" si="84"/>
        <v>0</v>
      </c>
      <c r="N162" s="58">
        <f t="shared" si="84"/>
        <v>0</v>
      </c>
      <c r="O162" s="58">
        <f t="shared" si="84"/>
        <v>0</v>
      </c>
      <c r="P162" s="58">
        <f t="shared" si="84"/>
        <v>0</v>
      </c>
      <c r="Q162" s="58">
        <f t="shared" si="84"/>
        <v>0</v>
      </c>
      <c r="R162" s="58">
        <f t="shared" si="84"/>
        <v>0</v>
      </c>
      <c r="S162" s="58">
        <f t="shared" si="84"/>
        <v>0</v>
      </c>
      <c r="T162" s="58">
        <f t="shared" si="84"/>
        <v>0</v>
      </c>
      <c r="U162" s="58">
        <f t="shared" si="84"/>
        <v>0</v>
      </c>
      <c r="V162" s="58">
        <f t="shared" si="84"/>
        <v>0</v>
      </c>
      <c r="W162" s="58">
        <f t="shared" si="84"/>
        <v>0</v>
      </c>
      <c r="X162" s="58">
        <f t="shared" si="84"/>
        <v>0</v>
      </c>
      <c r="Y162" s="58">
        <f t="shared" si="84"/>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9" t="s">
        <v>130</v>
      </c>
      <c r="E163" s="58">
        <f t="shared" ref="E163:Y163" si="85">E126-E125</f>
        <v>0</v>
      </c>
      <c r="F163" s="58">
        <f t="shared" si="85"/>
        <v>0</v>
      </c>
      <c r="G163" s="58">
        <f t="shared" si="85"/>
        <v>0</v>
      </c>
      <c r="H163" s="58">
        <f t="shared" si="85"/>
        <v>0</v>
      </c>
      <c r="I163" s="58">
        <f t="shared" si="85"/>
        <v>0</v>
      </c>
      <c r="J163" s="58">
        <f t="shared" si="85"/>
        <v>0</v>
      </c>
      <c r="K163" s="58">
        <f t="shared" si="85"/>
        <v>0</v>
      </c>
      <c r="L163" s="58">
        <f t="shared" si="85"/>
        <v>0</v>
      </c>
      <c r="M163" s="58">
        <f t="shared" si="85"/>
        <v>0</v>
      </c>
      <c r="N163" s="58">
        <f t="shared" si="85"/>
        <v>0</v>
      </c>
      <c r="O163" s="58">
        <f t="shared" si="85"/>
        <v>0</v>
      </c>
      <c r="P163" s="58">
        <f t="shared" si="85"/>
        <v>0</v>
      </c>
      <c r="Q163" s="58">
        <f t="shared" si="85"/>
        <v>0</v>
      </c>
      <c r="R163" s="58">
        <f t="shared" si="85"/>
        <v>0</v>
      </c>
      <c r="S163" s="58">
        <f t="shared" si="85"/>
        <v>0</v>
      </c>
      <c r="T163" s="58">
        <f t="shared" si="85"/>
        <v>0</v>
      </c>
      <c r="U163" s="58">
        <f t="shared" si="85"/>
        <v>0</v>
      </c>
      <c r="V163" s="58">
        <f t="shared" si="85"/>
        <v>0</v>
      </c>
      <c r="W163" s="58">
        <f t="shared" si="85"/>
        <v>0</v>
      </c>
      <c r="X163" s="58">
        <f t="shared" si="85"/>
        <v>0</v>
      </c>
      <c r="Y163" s="58">
        <f t="shared" si="85"/>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9" t="s">
        <v>1085</v>
      </c>
      <c r="E164" s="58">
        <f t="shared" ref="E164:Y164" si="86">E127-E126</f>
        <v>0</v>
      </c>
      <c r="F164" s="58">
        <f t="shared" si="86"/>
        <v>0</v>
      </c>
      <c r="G164" s="58">
        <f t="shared" si="86"/>
        <v>0</v>
      </c>
      <c r="H164" s="58">
        <f t="shared" si="86"/>
        <v>0</v>
      </c>
      <c r="I164" s="58">
        <f t="shared" si="86"/>
        <v>0</v>
      </c>
      <c r="J164" s="58">
        <f t="shared" si="86"/>
        <v>0</v>
      </c>
      <c r="K164" s="58">
        <f t="shared" si="86"/>
        <v>0</v>
      </c>
      <c r="L164" s="58">
        <f t="shared" si="86"/>
        <v>0</v>
      </c>
      <c r="M164" s="58">
        <f t="shared" si="86"/>
        <v>0</v>
      </c>
      <c r="N164" s="58">
        <f t="shared" si="86"/>
        <v>0</v>
      </c>
      <c r="O164" s="58">
        <f t="shared" si="86"/>
        <v>0</v>
      </c>
      <c r="P164" s="58">
        <f t="shared" si="86"/>
        <v>0</v>
      </c>
      <c r="Q164" s="58">
        <f t="shared" si="86"/>
        <v>0</v>
      </c>
      <c r="R164" s="58">
        <f t="shared" si="86"/>
        <v>0</v>
      </c>
      <c r="S164" s="58">
        <f t="shared" si="86"/>
        <v>0</v>
      </c>
      <c r="T164" s="58">
        <f t="shared" si="86"/>
        <v>0</v>
      </c>
      <c r="U164" s="58">
        <f t="shared" si="86"/>
        <v>0</v>
      </c>
      <c r="V164" s="58">
        <f t="shared" si="86"/>
        <v>0</v>
      </c>
      <c r="W164" s="58">
        <f t="shared" si="86"/>
        <v>0</v>
      </c>
      <c r="X164" s="58">
        <f t="shared" si="86"/>
        <v>0</v>
      </c>
      <c r="Y164" s="58">
        <f t="shared" si="86"/>
        <v>0</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9" t="s">
        <v>1087</v>
      </c>
      <c r="E165" s="58">
        <f t="shared" ref="E165:Y165" si="87">E128-E127</f>
        <v>0</v>
      </c>
      <c r="F165" s="58">
        <f t="shared" si="87"/>
        <v>0</v>
      </c>
      <c r="G165" s="58">
        <f t="shared" si="87"/>
        <v>0</v>
      </c>
      <c r="H165" s="58">
        <f t="shared" si="87"/>
        <v>0</v>
      </c>
      <c r="I165" s="58">
        <f t="shared" si="87"/>
        <v>0</v>
      </c>
      <c r="J165" s="58">
        <f t="shared" si="87"/>
        <v>0</v>
      </c>
      <c r="K165" s="58">
        <f t="shared" si="87"/>
        <v>0</v>
      </c>
      <c r="L165" s="58">
        <f t="shared" si="87"/>
        <v>0</v>
      </c>
      <c r="M165" s="58">
        <f t="shared" si="87"/>
        <v>0</v>
      </c>
      <c r="N165" s="58">
        <f t="shared" si="87"/>
        <v>0</v>
      </c>
      <c r="O165" s="58">
        <f t="shared" si="87"/>
        <v>0</v>
      </c>
      <c r="P165" s="58">
        <f t="shared" si="87"/>
        <v>0</v>
      </c>
      <c r="Q165" s="58">
        <f t="shared" si="87"/>
        <v>0</v>
      </c>
      <c r="R165" s="58">
        <f t="shared" si="87"/>
        <v>0</v>
      </c>
      <c r="S165" s="58">
        <f t="shared" si="87"/>
        <v>0</v>
      </c>
      <c r="T165" s="58">
        <f t="shared" si="87"/>
        <v>0</v>
      </c>
      <c r="U165" s="58">
        <f t="shared" si="87"/>
        <v>0</v>
      </c>
      <c r="V165" s="58">
        <f t="shared" si="87"/>
        <v>0</v>
      </c>
      <c r="W165" s="58">
        <f t="shared" si="87"/>
        <v>0</v>
      </c>
      <c r="X165" s="58">
        <f t="shared" si="87"/>
        <v>0</v>
      </c>
      <c r="Y165" s="58">
        <f t="shared" si="87"/>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9" t="s">
        <v>1090</v>
      </c>
      <c r="E166" s="58">
        <f t="shared" ref="E166:Y166" si="88">E129-E128</f>
        <v>0</v>
      </c>
      <c r="F166" s="58">
        <f t="shared" si="88"/>
        <v>0</v>
      </c>
      <c r="G166" s="58">
        <f t="shared" si="88"/>
        <v>0</v>
      </c>
      <c r="H166" s="58">
        <f t="shared" si="88"/>
        <v>0</v>
      </c>
      <c r="I166" s="58">
        <f t="shared" si="88"/>
        <v>0</v>
      </c>
      <c r="J166" s="58">
        <f t="shared" si="88"/>
        <v>0</v>
      </c>
      <c r="K166" s="58">
        <f t="shared" si="88"/>
        <v>0</v>
      </c>
      <c r="L166" s="58">
        <f t="shared" si="88"/>
        <v>0</v>
      </c>
      <c r="M166" s="58">
        <f t="shared" si="88"/>
        <v>0</v>
      </c>
      <c r="N166" s="58">
        <f t="shared" si="88"/>
        <v>0</v>
      </c>
      <c r="O166" s="58">
        <f t="shared" si="88"/>
        <v>0</v>
      </c>
      <c r="P166" s="58">
        <f t="shared" si="88"/>
        <v>0</v>
      </c>
      <c r="Q166" s="58">
        <f t="shared" si="88"/>
        <v>0</v>
      </c>
      <c r="R166" s="58">
        <f t="shared" si="88"/>
        <v>0</v>
      </c>
      <c r="S166" s="58">
        <f t="shared" si="88"/>
        <v>0</v>
      </c>
      <c r="T166" s="58">
        <f t="shared" si="88"/>
        <v>0</v>
      </c>
      <c r="U166" s="58">
        <f t="shared" si="88"/>
        <v>0</v>
      </c>
      <c r="V166" s="58">
        <f t="shared" si="88"/>
        <v>0</v>
      </c>
      <c r="W166" s="58">
        <f t="shared" si="88"/>
        <v>0</v>
      </c>
      <c r="X166" s="58">
        <f t="shared" si="88"/>
        <v>0</v>
      </c>
      <c r="Y166" s="58">
        <f t="shared" si="88"/>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D167" s="9" t="s">
        <v>1093</v>
      </c>
      <c r="E167" s="58">
        <f t="shared" ref="E167:Y167" si="89">E130-E129</f>
        <v>0.11101150089351097</v>
      </c>
      <c r="F167" s="58">
        <f t="shared" si="89"/>
        <v>0.18259770193604252</v>
      </c>
      <c r="G167" s="58">
        <f t="shared" si="89"/>
        <v>0.37811720857671194</v>
      </c>
      <c r="H167" s="58">
        <f t="shared" si="89"/>
        <v>0.6796662830308513</v>
      </c>
      <c r="I167" s="58">
        <f t="shared" si="89"/>
        <v>1.1595857013190098</v>
      </c>
      <c r="J167" s="58">
        <f t="shared" si="89"/>
        <v>1.6400242180475093</v>
      </c>
      <c r="K167" s="58">
        <f t="shared" si="89"/>
        <v>2.1067011839762486</v>
      </c>
      <c r="L167" s="58">
        <f t="shared" si="89"/>
        <v>2.4794227473274759</v>
      </c>
      <c r="M167" s="58">
        <f t="shared" si="89"/>
        <v>2.6925944593589186</v>
      </c>
      <c r="N167" s="58">
        <f t="shared" si="89"/>
        <v>2.7138010317552457</v>
      </c>
      <c r="O167" s="58">
        <f t="shared" si="89"/>
        <v>2.5521960520977487</v>
      </c>
      <c r="P167" s="58">
        <f t="shared" si="89"/>
        <v>2.249546518272151</v>
      </c>
      <c r="Q167" s="58">
        <f t="shared" si="89"/>
        <v>1.8652731655144983</v>
      </c>
      <c r="R167" s="58">
        <f t="shared" si="89"/>
        <v>1.4600354007215337</v>
      </c>
      <c r="S167" s="58">
        <f t="shared" si="89"/>
        <v>1.0824964575881513</v>
      </c>
      <c r="T167" s="58">
        <f t="shared" si="89"/>
        <v>0.7612978471894527</v>
      </c>
      <c r="U167" s="58">
        <f t="shared" si="89"/>
        <v>0.50984277145205148</v>
      </c>
      <c r="V167" s="58">
        <f t="shared" si="89"/>
        <v>0.32581193269410091</v>
      </c>
      <c r="W167" s="58">
        <f t="shared" si="89"/>
        <v>0.19914156395421423</v>
      </c>
      <c r="X167" s="58">
        <f t="shared" si="89"/>
        <v>0.11701691202107922</v>
      </c>
      <c r="Y167" s="58">
        <f t="shared" si="89"/>
        <v>27.164655004002128</v>
      </c>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c r="D168" s="9" t="s">
        <v>1096</v>
      </c>
      <c r="E168" s="58">
        <f t="shared" ref="E168:Y168" si="90">E131-E130</f>
        <v>0</v>
      </c>
      <c r="F168" s="58">
        <f t="shared" si="90"/>
        <v>0</v>
      </c>
      <c r="G168" s="58">
        <f t="shared" si="90"/>
        <v>0</v>
      </c>
      <c r="H168" s="58">
        <f t="shared" si="90"/>
        <v>0</v>
      </c>
      <c r="I168" s="58">
        <f t="shared" si="90"/>
        <v>0</v>
      </c>
      <c r="J168" s="58">
        <f t="shared" si="90"/>
        <v>0</v>
      </c>
      <c r="K168" s="58">
        <f t="shared" si="90"/>
        <v>0</v>
      </c>
      <c r="L168" s="58">
        <f t="shared" si="90"/>
        <v>0</v>
      </c>
      <c r="M168" s="58">
        <f t="shared" si="90"/>
        <v>0</v>
      </c>
      <c r="N168" s="58">
        <f t="shared" si="90"/>
        <v>0</v>
      </c>
      <c r="O168" s="58">
        <f t="shared" si="90"/>
        <v>0</v>
      </c>
      <c r="P168" s="58">
        <f t="shared" si="90"/>
        <v>0</v>
      </c>
      <c r="Q168" s="58">
        <f t="shared" si="90"/>
        <v>0</v>
      </c>
      <c r="R168" s="58">
        <f t="shared" si="90"/>
        <v>0</v>
      </c>
      <c r="S168" s="58">
        <f t="shared" si="90"/>
        <v>0</v>
      </c>
      <c r="T168" s="58">
        <f t="shared" si="90"/>
        <v>0</v>
      </c>
      <c r="U168" s="58">
        <f t="shared" si="90"/>
        <v>0</v>
      </c>
      <c r="V168" s="58">
        <f t="shared" si="90"/>
        <v>0</v>
      </c>
      <c r="W168" s="58">
        <f t="shared" si="90"/>
        <v>0</v>
      </c>
      <c r="X168" s="58">
        <f t="shared" si="90"/>
        <v>0</v>
      </c>
      <c r="Y168" s="58">
        <f t="shared" si="90"/>
        <v>0</v>
      </c>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c r="D169" s="9" t="s">
        <v>1099</v>
      </c>
      <c r="E169" s="58">
        <f t="shared" ref="E169:Y169" si="91">E132-E131</f>
        <v>0</v>
      </c>
      <c r="F169" s="58">
        <f t="shared" si="91"/>
        <v>0</v>
      </c>
      <c r="G169" s="58">
        <f t="shared" si="91"/>
        <v>0</v>
      </c>
      <c r="H169" s="58">
        <f t="shared" si="91"/>
        <v>0</v>
      </c>
      <c r="I169" s="58">
        <f t="shared" si="91"/>
        <v>0</v>
      </c>
      <c r="J169" s="58">
        <f t="shared" si="91"/>
        <v>0</v>
      </c>
      <c r="K169" s="58">
        <f t="shared" si="91"/>
        <v>0</v>
      </c>
      <c r="L169" s="58">
        <f t="shared" si="91"/>
        <v>0</v>
      </c>
      <c r="M169" s="58">
        <f t="shared" si="91"/>
        <v>0</v>
      </c>
      <c r="N169" s="58">
        <f t="shared" si="91"/>
        <v>0</v>
      </c>
      <c r="O169" s="58">
        <f t="shared" si="91"/>
        <v>0</v>
      </c>
      <c r="P169" s="58">
        <f t="shared" si="91"/>
        <v>0</v>
      </c>
      <c r="Q169" s="58">
        <f t="shared" si="91"/>
        <v>0</v>
      </c>
      <c r="R169" s="58">
        <f t="shared" si="91"/>
        <v>0</v>
      </c>
      <c r="S169" s="58">
        <f t="shared" si="91"/>
        <v>0</v>
      </c>
      <c r="T169" s="58">
        <f t="shared" si="91"/>
        <v>0</v>
      </c>
      <c r="U169" s="58">
        <f t="shared" si="91"/>
        <v>0</v>
      </c>
      <c r="V169" s="58">
        <f t="shared" si="91"/>
        <v>0</v>
      </c>
      <c r="W169" s="58">
        <f t="shared" si="91"/>
        <v>0</v>
      </c>
      <c r="X169" s="58">
        <f t="shared" si="91"/>
        <v>0</v>
      </c>
      <c r="Y169" s="58">
        <f t="shared" si="91"/>
        <v>0</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D170" s="9" t="s">
        <v>1102</v>
      </c>
      <c r="E170" s="58">
        <f t="shared" ref="E170:Y170" si="92">E133-E132</f>
        <v>0</v>
      </c>
      <c r="F170" s="58">
        <f t="shared" si="92"/>
        <v>0</v>
      </c>
      <c r="G170" s="58">
        <f t="shared" si="92"/>
        <v>0</v>
      </c>
      <c r="H170" s="58">
        <f t="shared" si="92"/>
        <v>0</v>
      </c>
      <c r="I170" s="58">
        <f t="shared" si="92"/>
        <v>0</v>
      </c>
      <c r="J170" s="58">
        <f t="shared" si="92"/>
        <v>0</v>
      </c>
      <c r="K170" s="58">
        <f t="shared" si="92"/>
        <v>0</v>
      </c>
      <c r="L170" s="58">
        <f t="shared" si="92"/>
        <v>0</v>
      </c>
      <c r="M170" s="58">
        <f t="shared" si="92"/>
        <v>0</v>
      </c>
      <c r="N170" s="58">
        <f t="shared" si="92"/>
        <v>0</v>
      </c>
      <c r="O170" s="58">
        <f t="shared" si="92"/>
        <v>0</v>
      </c>
      <c r="P170" s="58">
        <f t="shared" si="92"/>
        <v>0</v>
      </c>
      <c r="Q170" s="58">
        <f t="shared" si="92"/>
        <v>0</v>
      </c>
      <c r="R170" s="58">
        <f t="shared" si="92"/>
        <v>0</v>
      </c>
      <c r="S170" s="58">
        <f t="shared" si="92"/>
        <v>0</v>
      </c>
      <c r="T170" s="58">
        <f t="shared" si="92"/>
        <v>0</v>
      </c>
      <c r="U170" s="58">
        <f t="shared" si="92"/>
        <v>0</v>
      </c>
      <c r="V170" s="58">
        <f t="shared" si="92"/>
        <v>0</v>
      </c>
      <c r="W170" s="58">
        <f t="shared" si="92"/>
        <v>0</v>
      </c>
      <c r="X170" s="58">
        <f t="shared" si="92"/>
        <v>0</v>
      </c>
      <c r="Y170" s="58">
        <f t="shared" si="92"/>
        <v>0</v>
      </c>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D171" s="9" t="s">
        <v>1105</v>
      </c>
      <c r="E171" s="58">
        <f t="shared" ref="E171:Y171" si="93">E134-E133</f>
        <v>0</v>
      </c>
      <c r="F171" s="58">
        <f t="shared" si="93"/>
        <v>0</v>
      </c>
      <c r="G171" s="58">
        <f t="shared" si="93"/>
        <v>0</v>
      </c>
      <c r="H171" s="58">
        <f t="shared" si="93"/>
        <v>0</v>
      </c>
      <c r="I171" s="58">
        <f t="shared" si="93"/>
        <v>0</v>
      </c>
      <c r="J171" s="58">
        <f t="shared" si="93"/>
        <v>0</v>
      </c>
      <c r="K171" s="58">
        <f t="shared" si="93"/>
        <v>0</v>
      </c>
      <c r="L171" s="58">
        <f t="shared" si="93"/>
        <v>0</v>
      </c>
      <c r="M171" s="58">
        <f t="shared" si="93"/>
        <v>0</v>
      </c>
      <c r="N171" s="58">
        <f t="shared" si="93"/>
        <v>0</v>
      </c>
      <c r="O171" s="58">
        <f t="shared" si="93"/>
        <v>0</v>
      </c>
      <c r="P171" s="58">
        <f t="shared" si="93"/>
        <v>0</v>
      </c>
      <c r="Q171" s="58">
        <f t="shared" si="93"/>
        <v>0</v>
      </c>
      <c r="R171" s="58">
        <f t="shared" si="93"/>
        <v>0</v>
      </c>
      <c r="S171" s="58">
        <f t="shared" si="93"/>
        <v>0</v>
      </c>
      <c r="T171" s="58">
        <f t="shared" si="93"/>
        <v>0</v>
      </c>
      <c r="U171" s="58">
        <f t="shared" si="93"/>
        <v>0</v>
      </c>
      <c r="V171" s="58">
        <f t="shared" si="93"/>
        <v>0</v>
      </c>
      <c r="W171" s="58">
        <f t="shared" si="93"/>
        <v>0</v>
      </c>
      <c r="X171" s="58">
        <f t="shared" si="93"/>
        <v>0</v>
      </c>
      <c r="Y171" s="58">
        <f t="shared" si="93"/>
        <v>0</v>
      </c>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c r="D172" s="9" t="s">
        <v>1108</v>
      </c>
      <c r="E172" s="58">
        <f t="shared" ref="E172:Y172" si="94">E135-E134</f>
        <v>0</v>
      </c>
      <c r="F172" s="58">
        <f t="shared" si="94"/>
        <v>0</v>
      </c>
      <c r="G172" s="58">
        <f t="shared" si="94"/>
        <v>0</v>
      </c>
      <c r="H172" s="58">
        <f t="shared" si="94"/>
        <v>0</v>
      </c>
      <c r="I172" s="58">
        <f t="shared" si="94"/>
        <v>0</v>
      </c>
      <c r="J172" s="58">
        <f t="shared" si="94"/>
        <v>0</v>
      </c>
      <c r="K172" s="58">
        <f t="shared" si="94"/>
        <v>0</v>
      </c>
      <c r="L172" s="58">
        <f t="shared" si="94"/>
        <v>0</v>
      </c>
      <c r="M172" s="58">
        <f t="shared" si="94"/>
        <v>0</v>
      </c>
      <c r="N172" s="58">
        <f t="shared" si="94"/>
        <v>0</v>
      </c>
      <c r="O172" s="58">
        <f t="shared" si="94"/>
        <v>0</v>
      </c>
      <c r="P172" s="58">
        <f t="shared" si="94"/>
        <v>0</v>
      </c>
      <c r="Q172" s="58">
        <f t="shared" si="94"/>
        <v>0</v>
      </c>
      <c r="R172" s="58">
        <f t="shared" si="94"/>
        <v>0</v>
      </c>
      <c r="S172" s="58">
        <f t="shared" si="94"/>
        <v>0</v>
      </c>
      <c r="T172" s="58">
        <f t="shared" si="94"/>
        <v>0</v>
      </c>
      <c r="U172" s="58">
        <f t="shared" si="94"/>
        <v>0</v>
      </c>
      <c r="V172" s="58">
        <f t="shared" si="94"/>
        <v>0</v>
      </c>
      <c r="W172" s="58">
        <f t="shared" si="94"/>
        <v>0</v>
      </c>
      <c r="X172" s="58">
        <f t="shared" si="94"/>
        <v>0</v>
      </c>
      <c r="Y172" s="58">
        <f t="shared" si="94"/>
        <v>0</v>
      </c>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row>
    <row r="173" spans="4:79">
      <c r="D173" s="9" t="s">
        <v>1111</v>
      </c>
      <c r="E173" s="58">
        <f t="shared" ref="E173:Y173" si="95">E136-E135</f>
        <v>0</v>
      </c>
      <c r="F173" s="58">
        <f t="shared" si="95"/>
        <v>0</v>
      </c>
      <c r="G173" s="58">
        <f t="shared" si="95"/>
        <v>0</v>
      </c>
      <c r="H173" s="58">
        <f t="shared" si="95"/>
        <v>0</v>
      </c>
      <c r="I173" s="58">
        <f t="shared" si="95"/>
        <v>0</v>
      </c>
      <c r="J173" s="58">
        <f t="shared" si="95"/>
        <v>0</v>
      </c>
      <c r="K173" s="58">
        <f t="shared" si="95"/>
        <v>0</v>
      </c>
      <c r="L173" s="58">
        <f t="shared" si="95"/>
        <v>0</v>
      </c>
      <c r="M173" s="58">
        <f t="shared" si="95"/>
        <v>0</v>
      </c>
      <c r="N173" s="58">
        <f t="shared" si="95"/>
        <v>0</v>
      </c>
      <c r="O173" s="58">
        <f t="shared" si="95"/>
        <v>0</v>
      </c>
      <c r="P173" s="58">
        <f t="shared" si="95"/>
        <v>0</v>
      </c>
      <c r="Q173" s="58">
        <f t="shared" si="95"/>
        <v>0</v>
      </c>
      <c r="R173" s="58">
        <f t="shared" si="95"/>
        <v>0</v>
      </c>
      <c r="S173" s="58">
        <f t="shared" si="95"/>
        <v>0</v>
      </c>
      <c r="T173" s="58">
        <f t="shared" si="95"/>
        <v>0</v>
      </c>
      <c r="U173" s="58">
        <f t="shared" si="95"/>
        <v>0</v>
      </c>
      <c r="V173" s="58">
        <f t="shared" si="95"/>
        <v>0</v>
      </c>
      <c r="W173" s="58">
        <f t="shared" si="95"/>
        <v>0</v>
      </c>
      <c r="X173" s="58">
        <f t="shared" si="95"/>
        <v>0</v>
      </c>
      <c r="Y173" s="58">
        <f t="shared" si="95"/>
        <v>0</v>
      </c>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row>
    <row r="174" spans="4:79">
      <c r="D174" s="9" t="s">
        <v>1114</v>
      </c>
      <c r="E174" s="58">
        <f t="shared" ref="E174:Y174" si="96">E137-E136</f>
        <v>0</v>
      </c>
      <c r="F174" s="58">
        <f t="shared" si="96"/>
        <v>0</v>
      </c>
      <c r="G174" s="58">
        <f t="shared" si="96"/>
        <v>0</v>
      </c>
      <c r="H174" s="58">
        <f t="shared" si="96"/>
        <v>0</v>
      </c>
      <c r="I174" s="58">
        <f t="shared" si="96"/>
        <v>0</v>
      </c>
      <c r="J174" s="58">
        <f t="shared" si="96"/>
        <v>0</v>
      </c>
      <c r="K174" s="58">
        <f t="shared" si="96"/>
        <v>0</v>
      </c>
      <c r="L174" s="58">
        <f t="shared" si="96"/>
        <v>0</v>
      </c>
      <c r="M174" s="58">
        <f t="shared" si="96"/>
        <v>0</v>
      </c>
      <c r="N174" s="58">
        <f t="shared" si="96"/>
        <v>0</v>
      </c>
      <c r="O174" s="58">
        <f t="shared" si="96"/>
        <v>0</v>
      </c>
      <c r="P174" s="58">
        <f t="shared" si="96"/>
        <v>0</v>
      </c>
      <c r="Q174" s="58">
        <f t="shared" si="96"/>
        <v>0</v>
      </c>
      <c r="R174" s="58">
        <f t="shared" si="96"/>
        <v>0</v>
      </c>
      <c r="S174" s="58">
        <f t="shared" si="96"/>
        <v>0</v>
      </c>
      <c r="T174" s="58">
        <f t="shared" si="96"/>
        <v>0</v>
      </c>
      <c r="U174" s="58">
        <f t="shared" si="96"/>
        <v>0</v>
      </c>
      <c r="V174" s="58">
        <f t="shared" si="96"/>
        <v>0</v>
      </c>
      <c r="W174" s="58">
        <f t="shared" si="96"/>
        <v>0</v>
      </c>
      <c r="X174" s="58">
        <f t="shared" si="96"/>
        <v>0</v>
      </c>
      <c r="Y174" s="58">
        <f t="shared" si="96"/>
        <v>0</v>
      </c>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row>
    <row r="175" spans="4:79">
      <c r="E175" s="58"/>
      <c r="F175" s="58"/>
      <c r="G175" s="58"/>
      <c r="H175" s="58"/>
      <c r="I175" s="58"/>
      <c r="J175" s="58"/>
      <c r="K175" s="58"/>
      <c r="L175" s="58"/>
      <c r="M175" s="58"/>
      <c r="N175" s="58"/>
      <c r="O175" s="58"/>
      <c r="P175" s="58"/>
      <c r="Q175" s="58"/>
      <c r="R175" s="58"/>
      <c r="S175" s="58"/>
      <c r="T175" s="58"/>
      <c r="U175" s="58"/>
      <c r="V175" s="58"/>
      <c r="W175" s="58"/>
      <c r="X175" s="58"/>
      <c r="Y175" s="58"/>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row>
    <row r="176" spans="4:79" ht="15">
      <c r="D176" s="72" t="s">
        <v>137</v>
      </c>
      <c r="E176" s="73">
        <f t="shared" ref="E176:X176" si="97">SUM(E143:E174)</f>
        <v>0.90708987123789153</v>
      </c>
      <c r="F176" s="73">
        <f t="shared" si="97"/>
        <v>1.5279515857550721</v>
      </c>
      <c r="G176" s="73">
        <f t="shared" si="97"/>
        <v>3.2190237451254018</v>
      </c>
      <c r="H176" s="73">
        <f t="shared" si="97"/>
        <v>5.8610319033298408</v>
      </c>
      <c r="I176" s="73">
        <f t="shared" si="97"/>
        <v>10.435097069137491</v>
      </c>
      <c r="J176" s="73">
        <f t="shared" si="97"/>
        <v>14.817100298906347</v>
      </c>
      <c r="K176" s="73">
        <f t="shared" si="97"/>
        <v>19.106850409882242</v>
      </c>
      <c r="L176" s="73">
        <f t="shared" si="97"/>
        <v>22.573623254969867</v>
      </c>
      <c r="M176" s="73">
        <f t="shared" si="97"/>
        <v>24.606853744586441</v>
      </c>
      <c r="N176" s="73">
        <f t="shared" si="97"/>
        <v>24.891523087072645</v>
      </c>
      <c r="O176" s="73">
        <f t="shared" si="97"/>
        <v>23.49295794545931</v>
      </c>
      <c r="P176" s="73">
        <f t="shared" si="97"/>
        <v>20.779823079868468</v>
      </c>
      <c r="Q176" s="73">
        <f t="shared" si="97"/>
        <v>17.289175623160208</v>
      </c>
      <c r="R176" s="73">
        <f t="shared" si="97"/>
        <v>13.578468870756256</v>
      </c>
      <c r="S176" s="73">
        <f t="shared" si="97"/>
        <v>10.100674671788484</v>
      </c>
      <c r="T176" s="73">
        <f t="shared" si="97"/>
        <v>7.1279137581078995</v>
      </c>
      <c r="U176" s="73">
        <f t="shared" si="97"/>
        <v>4.7897675864987708</v>
      </c>
      <c r="V176" s="73">
        <f t="shared" si="97"/>
        <v>3.0711004896388774</v>
      </c>
      <c r="W176" s="73">
        <f t="shared" si="97"/>
        <v>1.8833174760060338</v>
      </c>
      <c r="X176" s="73">
        <f t="shared" si="97"/>
        <v>1.1074111828639017</v>
      </c>
      <c r="Y176" s="73"/>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row>
    <row r="177" spans="4:79" ht="15">
      <c r="D177" s="72" t="s">
        <v>138</v>
      </c>
      <c r="E177" s="73">
        <f>E176</f>
        <v>0.90708987123789153</v>
      </c>
      <c r="F177" s="73">
        <f t="shared" ref="F177:X177" si="98">E177+F176</f>
        <v>2.4350414569929635</v>
      </c>
      <c r="G177" s="73">
        <f t="shared" si="98"/>
        <v>5.6540652021183657</v>
      </c>
      <c r="H177" s="73">
        <f t="shared" si="98"/>
        <v>11.515097105448206</v>
      </c>
      <c r="I177" s="73">
        <f t="shared" si="98"/>
        <v>21.950194174585697</v>
      </c>
      <c r="J177" s="73">
        <f t="shared" si="98"/>
        <v>36.767294473492043</v>
      </c>
      <c r="K177" s="73">
        <f t="shared" si="98"/>
        <v>55.874144883374285</v>
      </c>
      <c r="L177" s="73">
        <f t="shared" si="98"/>
        <v>78.447768138344145</v>
      </c>
      <c r="M177" s="73">
        <f t="shared" si="98"/>
        <v>103.05462188293059</v>
      </c>
      <c r="N177" s="73">
        <f t="shared" si="98"/>
        <v>127.94614497000323</v>
      </c>
      <c r="O177" s="73">
        <f t="shared" si="98"/>
        <v>151.43910291546254</v>
      </c>
      <c r="P177" s="73">
        <f t="shared" si="98"/>
        <v>172.21892599533101</v>
      </c>
      <c r="Q177" s="73">
        <f t="shared" si="98"/>
        <v>189.50810161849122</v>
      </c>
      <c r="R177" s="73">
        <f t="shared" si="98"/>
        <v>203.08657048924749</v>
      </c>
      <c r="S177" s="73">
        <f t="shared" si="98"/>
        <v>213.18724516103597</v>
      </c>
      <c r="T177" s="73">
        <f t="shared" si="98"/>
        <v>220.31515891914387</v>
      </c>
      <c r="U177" s="73">
        <f t="shared" si="98"/>
        <v>225.10492650564265</v>
      </c>
      <c r="V177" s="73">
        <f t="shared" si="98"/>
        <v>228.17602699528152</v>
      </c>
      <c r="W177" s="73">
        <f t="shared" si="98"/>
        <v>230.05934447128755</v>
      </c>
      <c r="X177" s="73">
        <f t="shared" si="98"/>
        <v>231.16675565415144</v>
      </c>
      <c r="Y177" s="73">
        <f>SUM(Y143:Y174)</f>
        <v>257.07773526490621</v>
      </c>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row>
    <row r="178" spans="4:79">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row>
    <row r="179" spans="4: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row>
    <row r="180" spans="4:79" customFormat="1"/>
    <row r="181" spans="4:79" customFormat="1"/>
    <row r="182" spans="4:79" customFormat="1"/>
    <row r="183" spans="4:79" customFormat="1"/>
    <row r="184" spans="4:79" customFormat="1"/>
    <row r="185" spans="4:79" customFormat="1"/>
    <row r="186" spans="4:79" customFormat="1"/>
    <row r="187" spans="4:79" customFormat="1"/>
  </sheetData>
  <mergeCells count="1">
    <mergeCell ref="B1:S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dimension ref="A2:Y59"/>
  <sheetViews>
    <sheetView workbookViewId="0">
      <selection activeCell="B15" sqref="B15"/>
    </sheetView>
  </sheetViews>
  <sheetFormatPr defaultRowHeight="12.75"/>
  <cols>
    <col min="1" max="1" width="58.28515625" customWidth="1"/>
    <col min="2" max="2" width="12.85546875" customWidth="1"/>
    <col min="3" max="4" width="21.140625" customWidth="1"/>
    <col min="5" max="5" width="17.28515625" customWidth="1"/>
    <col min="6" max="9" width="10.5703125" bestFit="1" customWidth="1"/>
    <col min="10" max="10" width="9.85546875" customWidth="1"/>
    <col min="11" max="17" width="10.5703125" bestFit="1" customWidth="1"/>
    <col min="18" max="18" width="9.85546875" customWidth="1"/>
    <col min="19" max="23" width="10.5703125" bestFit="1" customWidth="1"/>
  </cols>
  <sheetData>
    <row r="2" spans="1:14">
      <c r="A2" t="s">
        <v>904</v>
      </c>
    </row>
    <row r="3" spans="1:14">
      <c r="A3" t="s">
        <v>790</v>
      </c>
      <c r="B3" s="473" t="s">
        <v>48</v>
      </c>
      <c r="C3" s="473" t="s">
        <v>49</v>
      </c>
      <c r="D3" s="473" t="s">
        <v>50</v>
      </c>
      <c r="E3" s="473" t="s">
        <v>51</v>
      </c>
    </row>
    <row r="4" spans="1:14">
      <c r="A4" t="s">
        <v>903</v>
      </c>
      <c r="B4" s="491">
        <f>VLOOKUP($A4,[2]!ExistingSat,MATCH(B$3,[2]SATS!$C$10:$F$10,0)+1,FALSE)</f>
        <v>2.2906090340948593</v>
      </c>
      <c r="C4" s="491">
        <f>VLOOKUP($A4,[2]!ExistingSat,MATCH(C$3,[2]SATS!$C$10:$F$10,0)+1,FALSE)</f>
        <v>1.5145007606068333</v>
      </c>
      <c r="D4" s="491">
        <f>VLOOKUP($A4,[2]!ExistingSat,MATCH(D$3,[2]SATS!$C$10:$F$10,0)+1,FALSE)</f>
        <v>1.5145007606068333</v>
      </c>
      <c r="E4" s="491">
        <f>VLOOKUP($A4,[2]!ExistingSat,MATCH(E$3,[2]SATS!$C$10:$F$10,0)+1,FALSE)</f>
        <v>2.0454162110233622</v>
      </c>
    </row>
    <row r="5" spans="1:14">
      <c r="A5" t="s">
        <v>203</v>
      </c>
      <c r="B5" s="491">
        <f>VLOOKUP($A5,[2]!ExistingSat,MATCH(B$3,[2]SATS!$C$10:$F$10,0)+1,FALSE)</f>
        <v>1.6655502145549572</v>
      </c>
      <c r="C5" s="491">
        <f>VLOOKUP($A5,[2]!ExistingSat,MATCH(C$3,[2]SATS!$C$10:$F$10,0)+1,FALSE)</f>
        <v>0.71239882016544165</v>
      </c>
      <c r="D5" s="491">
        <f>VLOOKUP($A5,[2]!ExistingSat,MATCH(D$3,[2]SATS!$C$10:$F$10,0)+1,FALSE)</f>
        <v>0.71239882016544165</v>
      </c>
      <c r="E5" s="491">
        <f>VLOOKUP($A5,[2]!ExistingSat,MATCH(E$3,[2]SATS!$C$10:$F$10,0)+1,FALSE)</f>
        <v>1.1331497454290105</v>
      </c>
    </row>
    <row r="6" spans="1:14" ht="13.5" thickBot="1">
      <c r="B6" s="474"/>
      <c r="C6" s="474"/>
      <c r="D6" s="474"/>
      <c r="E6" s="474"/>
      <c r="H6" s="551" t="s">
        <v>1139</v>
      </c>
      <c r="L6" s="551" t="str">
        <f>"Table 7. Home Electronic Saturations – Manufactured Home "&amp;$A$1</f>
        <v xml:space="preserve">Table 7. Home Electronic Saturations – Manufactured Home </v>
      </c>
    </row>
    <row r="7" spans="1:14" ht="25.5" thickTop="1" thickBot="1">
      <c r="A7" s="85" t="s">
        <v>1138</v>
      </c>
      <c r="H7" s="552" t="s">
        <v>1140</v>
      </c>
      <c r="I7" s="553" t="s">
        <v>1141</v>
      </c>
      <c r="L7" s="552" t="s">
        <v>1140</v>
      </c>
      <c r="M7" s="553" t="s">
        <v>1141</v>
      </c>
    </row>
    <row r="8" spans="1:14" ht="13.5" thickTop="1">
      <c r="H8" s="554" t="s">
        <v>1142</v>
      </c>
      <c r="I8" s="555">
        <v>2.3118480858910098</v>
      </c>
      <c r="L8" s="554" t="s">
        <v>1142</v>
      </c>
      <c r="M8" s="555">
        <v>2.0454162110233614</v>
      </c>
    </row>
    <row r="9" spans="1:14">
      <c r="A9" t="s">
        <v>790</v>
      </c>
      <c r="B9" s="473" t="s">
        <v>48</v>
      </c>
      <c r="C9" s="473" t="s">
        <v>49</v>
      </c>
      <c r="D9" s="473" t="s">
        <v>50</v>
      </c>
      <c r="E9" s="473" t="s">
        <v>51</v>
      </c>
      <c r="H9" s="556" t="s">
        <v>1143</v>
      </c>
      <c r="I9" s="557">
        <v>1.2299348610484766</v>
      </c>
      <c r="L9" s="556" t="s">
        <v>1143</v>
      </c>
      <c r="M9" s="557">
        <v>1.2017363375341947</v>
      </c>
    </row>
    <row r="10" spans="1:14">
      <c r="A10" t="s">
        <v>903</v>
      </c>
      <c r="B10" s="491">
        <f>B4</f>
        <v>2.2906090340948593</v>
      </c>
      <c r="C10" s="491">
        <f t="shared" ref="C10:E10" si="0">C4</f>
        <v>1.5145007606068333</v>
      </c>
      <c r="D10" s="491">
        <f t="shared" si="0"/>
        <v>1.5145007606068333</v>
      </c>
      <c r="E10" s="491">
        <f t="shared" si="0"/>
        <v>2.0454162110233622</v>
      </c>
      <c r="H10" s="556" t="s">
        <v>1144</v>
      </c>
      <c r="I10" s="557">
        <v>0.85476535228092898</v>
      </c>
      <c r="L10" s="556" t="s">
        <v>1144</v>
      </c>
      <c r="M10" s="557">
        <v>0.68893002817508286</v>
      </c>
    </row>
    <row r="11" spans="1:14">
      <c r="A11" t="s">
        <v>203</v>
      </c>
      <c r="B11" s="491">
        <f>I16</f>
        <v>0.96428380745963449</v>
      </c>
      <c r="C11" s="491">
        <f>C5*$K$27</f>
        <v>0.44414870578030757</v>
      </c>
      <c r="D11" s="491">
        <f>D5*$K$27</f>
        <v>0.44414870578030757</v>
      </c>
      <c r="E11" s="491">
        <f>M16</f>
        <v>0.70646803257015534</v>
      </c>
      <c r="H11" s="556" t="s">
        <v>1145</v>
      </c>
      <c r="I11" s="557">
        <v>0.22714787256159141</v>
      </c>
      <c r="L11" s="556" t="s">
        <v>1145</v>
      </c>
      <c r="M11" s="557">
        <v>0.14688392936292438</v>
      </c>
    </row>
    <row r="12" spans="1:14" ht="24.95" customHeight="1">
      <c r="H12" s="558" t="s">
        <v>1146</v>
      </c>
      <c r="I12" s="559">
        <v>1.5593582913801154</v>
      </c>
      <c r="J12" s="85"/>
      <c r="K12" s="85"/>
      <c r="L12" s="558" t="s">
        <v>1146</v>
      </c>
      <c r="M12" s="559">
        <v>1.3170555258448282</v>
      </c>
      <c r="N12" s="85"/>
    </row>
    <row r="13" spans="1:14" ht="24.95" customHeight="1">
      <c r="A13" t="s">
        <v>793</v>
      </c>
      <c r="B13" s="474">
        <f>B14+B15</f>
        <v>3.2548928415544935</v>
      </c>
      <c r="C13" s="474">
        <f t="shared" ref="C13:E13" si="1">C14+C15</f>
        <v>1.9586494663871408</v>
      </c>
      <c r="D13" s="474">
        <f t="shared" si="1"/>
        <v>1.9586494663871408</v>
      </c>
      <c r="E13" s="474">
        <f t="shared" si="1"/>
        <v>2.7518842435935174</v>
      </c>
      <c r="H13" s="556" t="s">
        <v>1147</v>
      </c>
      <c r="I13" s="557">
        <v>1.065193147991123</v>
      </c>
      <c r="J13" s="85"/>
      <c r="K13" s="85"/>
      <c r="L13" s="556" t="s">
        <v>1147</v>
      </c>
      <c r="M13" s="557">
        <v>0.974207999499351</v>
      </c>
      <c r="N13" s="85"/>
    </row>
    <row r="14" spans="1:14" ht="24.95" customHeight="1">
      <c r="A14" t="s">
        <v>794</v>
      </c>
      <c r="B14" s="474">
        <f t="shared" ref="B14:E14" si="2">B11</f>
        <v>0.96428380745963449</v>
      </c>
      <c r="C14" s="474">
        <f t="shared" si="2"/>
        <v>0.44414870578030757</v>
      </c>
      <c r="D14" s="474">
        <f t="shared" si="2"/>
        <v>0.44414870578030757</v>
      </c>
      <c r="E14" s="474">
        <f t="shared" si="2"/>
        <v>0.70646803257015534</v>
      </c>
      <c r="H14" s="556" t="s">
        <v>1148</v>
      </c>
      <c r="I14" s="557">
        <v>0.49416514338899842</v>
      </c>
      <c r="J14" s="85"/>
      <c r="K14" s="85"/>
      <c r="L14" s="556" t="s">
        <v>1148</v>
      </c>
      <c r="M14" s="557">
        <v>0.34284752634547461</v>
      </c>
      <c r="N14" s="85"/>
    </row>
    <row r="15" spans="1:14" s="85" customFormat="1">
      <c r="A15" t="s">
        <v>795</v>
      </c>
      <c r="B15" s="474">
        <f>B4</f>
        <v>2.2906090340948593</v>
      </c>
      <c r="C15" s="474">
        <f>C4</f>
        <v>1.5145007606068333</v>
      </c>
      <c r="D15" s="474">
        <f>D4</f>
        <v>1.5145007606068333</v>
      </c>
      <c r="E15" s="474">
        <f>E4</f>
        <v>2.0454162110233622</v>
      </c>
      <c r="H15" s="558" t="s">
        <v>203</v>
      </c>
      <c r="I15" s="559">
        <v>1.6851241092395322</v>
      </c>
      <c r="J15"/>
      <c r="K15"/>
      <c r="L15" s="558" t="s">
        <v>203</v>
      </c>
      <c r="M15" s="559">
        <v>1.1331497454290094</v>
      </c>
      <c r="N15"/>
    </row>
    <row r="16" spans="1:14" s="85" customFormat="1">
      <c r="B16" s="87"/>
      <c r="H16" s="556" t="s">
        <v>394</v>
      </c>
      <c r="I16" s="557">
        <v>0.96428380745963449</v>
      </c>
      <c r="J16"/>
      <c r="K16"/>
      <c r="L16" s="556" t="s">
        <v>394</v>
      </c>
      <c r="M16" s="557">
        <v>0.70646803257015534</v>
      </c>
      <c r="N16"/>
    </row>
    <row r="17" spans="1:25" s="85" customFormat="1">
      <c r="B17" s="87"/>
      <c r="H17" s="556" t="s">
        <v>395</v>
      </c>
      <c r="I17" s="557">
        <v>0.68337823408954967</v>
      </c>
      <c r="J17"/>
      <c r="K17"/>
      <c r="L17" s="556" t="s">
        <v>395</v>
      </c>
      <c r="M17" s="557">
        <v>0.41850113503652137</v>
      </c>
      <c r="N17"/>
    </row>
    <row r="18" spans="1:25">
      <c r="A18" t="s">
        <v>52</v>
      </c>
      <c r="B18" s="473" t="s">
        <v>48</v>
      </c>
      <c r="C18" s="473" t="s">
        <v>49</v>
      </c>
      <c r="D18" s="473" t="s">
        <v>50</v>
      </c>
      <c r="E18" s="473" t="s">
        <v>51</v>
      </c>
      <c r="H18" s="558" t="s">
        <v>1149</v>
      </c>
      <c r="I18" s="559">
        <v>1.0228652330906021</v>
      </c>
      <c r="L18" s="558" t="s">
        <v>1149</v>
      </c>
      <c r="M18" s="559">
        <v>0.72198913200149573</v>
      </c>
    </row>
    <row r="19" spans="1:25" ht="24.95" customHeight="1">
      <c r="A19" t="s">
        <v>903</v>
      </c>
      <c r="B19" s="491">
        <f>VLOOKUP($A19,[2]!NewSat,MATCH(B$18,[2]SATS!$C$10:$F$10,0)+1,FALSE)</f>
        <v>2.6054137843968896</v>
      </c>
      <c r="C19" s="491">
        <f>VLOOKUP($A19,[2]!NewSat,MATCH(C$18,[2]SATS!$C$10:$F$10,0)+1,FALSE)</f>
        <v>1.5145007606068333</v>
      </c>
      <c r="D19" s="491">
        <f>VLOOKUP($A19,[2]!NewSat,MATCH(D$18,[2]SATS!$C$10:$F$10,0)+1,FALSE)</f>
        <v>1.5145007606068333</v>
      </c>
      <c r="E19" s="491">
        <f>VLOOKUP($A19,[2]!NewSat,MATCH(E$18,[2]SATS!$C$10:$F$10,0)+1,FALSE)</f>
        <v>2.0454162110233622</v>
      </c>
      <c r="H19" s="556" t="s">
        <v>1150</v>
      </c>
      <c r="I19" s="557">
        <v>0.72536012306295872</v>
      </c>
      <c r="L19" s="556" t="s">
        <v>1150</v>
      </c>
      <c r="M19" s="557">
        <v>0.58083170146255547</v>
      </c>
    </row>
    <row r="20" spans="1:25" ht="24.95" customHeight="1">
      <c r="A20" t="s">
        <v>203</v>
      </c>
      <c r="B20" s="491">
        <f>B11</f>
        <v>0.96428380745963449</v>
      </c>
      <c r="C20" s="491">
        <f t="shared" ref="C20:E20" si="3">C11</f>
        <v>0.44414870578030757</v>
      </c>
      <c r="D20" s="491">
        <f t="shared" si="3"/>
        <v>0.44414870578030757</v>
      </c>
      <c r="E20" s="491">
        <f t="shared" si="3"/>
        <v>0.70646803257015534</v>
      </c>
      <c r="H20" s="556" t="s">
        <v>1151</v>
      </c>
      <c r="I20" s="557">
        <v>0.2975051100276494</v>
      </c>
      <c r="L20" s="556" t="s">
        <v>1151</v>
      </c>
      <c r="M20" s="557">
        <v>0.14115743053893987</v>
      </c>
    </row>
    <row r="21" spans="1:25" ht="24.95" customHeight="1">
      <c r="B21" s="474"/>
      <c r="C21" s="474"/>
      <c r="D21" s="474"/>
      <c r="E21" s="474"/>
      <c r="H21" s="558" t="s">
        <v>1152</v>
      </c>
      <c r="I21" s="559">
        <v>0.49891412032738564</v>
      </c>
      <c r="L21" s="558" t="s">
        <v>1152</v>
      </c>
      <c r="M21" s="559">
        <v>0.37198577618876111</v>
      </c>
    </row>
    <row r="22" spans="1:25" ht="24.95" customHeight="1">
      <c r="A22" t="s">
        <v>793</v>
      </c>
      <c r="B22" s="491">
        <f>B23+B24</f>
        <v>3.5696975918565244</v>
      </c>
      <c r="C22" s="491">
        <f t="shared" ref="C22:E22" si="4">C23+C24</f>
        <v>1.9586494663871408</v>
      </c>
      <c r="D22" s="491">
        <f t="shared" si="4"/>
        <v>1.9586494663871408</v>
      </c>
      <c r="E22" s="491">
        <f t="shared" si="4"/>
        <v>2.7518842435935174</v>
      </c>
      <c r="H22" s="556" t="s">
        <v>1153</v>
      </c>
      <c r="I22" s="575" t="s">
        <v>1154</v>
      </c>
      <c r="L22" s="556" t="s">
        <v>1153</v>
      </c>
      <c r="M22" s="575" t="s">
        <v>1154</v>
      </c>
    </row>
    <row r="23" spans="1:25" ht="24.95" customHeight="1" thickBot="1">
      <c r="A23" t="s">
        <v>794</v>
      </c>
      <c r="B23" s="491">
        <f>B20</f>
        <v>0.96428380745963449</v>
      </c>
      <c r="C23" s="474">
        <f t="shared" ref="C23:E23" si="5">C20</f>
        <v>0.44414870578030757</v>
      </c>
      <c r="D23" s="474">
        <f t="shared" si="5"/>
        <v>0.44414870578030757</v>
      </c>
      <c r="E23" s="474">
        <f t="shared" si="5"/>
        <v>0.70646803257015534</v>
      </c>
      <c r="H23" s="560" t="s">
        <v>1155</v>
      </c>
      <c r="I23" s="576"/>
      <c r="L23" s="560" t="s">
        <v>1155</v>
      </c>
      <c r="M23" s="576"/>
    </row>
    <row r="24" spans="1:25" ht="24.95" customHeight="1" thickTop="1">
      <c r="A24" t="s">
        <v>795</v>
      </c>
      <c r="B24" s="491">
        <f>B19</f>
        <v>2.6054137843968896</v>
      </c>
      <c r="C24" s="474">
        <f t="shared" ref="C24:E24" si="6">C19</f>
        <v>1.5145007606068333</v>
      </c>
      <c r="D24" s="474">
        <f t="shared" si="6"/>
        <v>1.5145007606068333</v>
      </c>
      <c r="E24" s="474">
        <f t="shared" si="6"/>
        <v>2.0454162110233622</v>
      </c>
    </row>
    <row r="25" spans="1:25" ht="24.95" customHeight="1">
      <c r="B25" s="474"/>
      <c r="C25" s="474"/>
      <c r="D25" s="474"/>
      <c r="E25" s="474"/>
      <c r="K25" t="s">
        <v>1156</v>
      </c>
      <c r="L25" s="474"/>
    </row>
    <row r="26" spans="1:25" ht="24.95" customHeight="1">
      <c r="K26" s="561">
        <f>M17/M15</f>
        <v>0.36932553418001896</v>
      </c>
      <c r="L26" s="474" t="s">
        <v>1157</v>
      </c>
    </row>
    <row r="27" spans="1:25" ht="24.95" customHeight="1">
      <c r="K27" s="561">
        <f>M16/M15</f>
        <v>0.62345513946410258</v>
      </c>
      <c r="L27" t="s">
        <v>394</v>
      </c>
    </row>
    <row r="28" spans="1:25" ht="24.95" customHeight="1"/>
    <row r="29" spans="1:25" ht="24.95" customHeight="1"/>
    <row r="30" spans="1:25" ht="24.95" customHeight="1">
      <c r="A30" t="s">
        <v>1134</v>
      </c>
      <c r="B30">
        <v>2012</v>
      </c>
      <c r="C30">
        <v>2016</v>
      </c>
      <c r="D30">
        <v>2017</v>
      </c>
      <c r="E30">
        <v>2018</v>
      </c>
      <c r="F30">
        <v>2019</v>
      </c>
      <c r="G30">
        <v>2020</v>
      </c>
      <c r="H30">
        <v>2021</v>
      </c>
      <c r="I30">
        <v>2022</v>
      </c>
      <c r="J30">
        <v>2023</v>
      </c>
      <c r="K30">
        <v>2024</v>
      </c>
      <c r="L30">
        <v>2025</v>
      </c>
      <c r="M30">
        <v>2026</v>
      </c>
      <c r="N30">
        <v>2027</v>
      </c>
      <c r="O30">
        <v>2028</v>
      </c>
      <c r="P30">
        <v>2029</v>
      </c>
      <c r="Q30">
        <v>2030</v>
      </c>
      <c r="R30">
        <v>2031</v>
      </c>
      <c r="S30">
        <v>2032</v>
      </c>
      <c r="T30">
        <v>2033</v>
      </c>
      <c r="U30">
        <v>2034</v>
      </c>
      <c r="V30">
        <v>2035</v>
      </c>
    </row>
    <row r="31" spans="1:25" ht="24.95" customHeight="1">
      <c r="A31" s="509" t="s">
        <v>900</v>
      </c>
      <c r="B31" s="511">
        <v>0.85575573624861834</v>
      </c>
      <c r="C31" s="512">
        <v>0.84327263361238769</v>
      </c>
      <c r="D31" s="512">
        <v>0.83516699825349738</v>
      </c>
      <c r="E31" s="512">
        <v>0.82706136289460708</v>
      </c>
      <c r="F31" s="512">
        <v>0.81895572753571677</v>
      </c>
      <c r="G31" s="512">
        <v>0.81085009217682646</v>
      </c>
      <c r="H31" s="512">
        <v>0.80354248599455702</v>
      </c>
      <c r="I31" s="512">
        <v>0.79623487981228758</v>
      </c>
      <c r="J31" s="512">
        <v>0.78892727363001813</v>
      </c>
      <c r="K31" s="512">
        <v>0.78161966744774869</v>
      </c>
      <c r="L31" s="512">
        <v>0.77431206126547925</v>
      </c>
      <c r="M31" s="512">
        <v>0.7670044550832098</v>
      </c>
      <c r="N31" s="512">
        <v>0.75969684890094036</v>
      </c>
      <c r="O31" s="512">
        <v>0.75238924271867091</v>
      </c>
      <c r="P31" s="512">
        <v>0.74508163653640147</v>
      </c>
      <c r="Q31" s="512">
        <v>0.73777403035413158</v>
      </c>
      <c r="R31" s="512">
        <v>0.72886505918563937</v>
      </c>
      <c r="S31" s="512">
        <v>0.71995608801714717</v>
      </c>
      <c r="T31" s="512">
        <v>0.71104711684865496</v>
      </c>
      <c r="U31" s="512">
        <v>0.70213814568016275</v>
      </c>
      <c r="V31" s="512">
        <v>0.70213814568016253</v>
      </c>
    </row>
    <row r="32" spans="1:25" ht="24.95" customHeight="1">
      <c r="A32" s="509" t="s">
        <v>903</v>
      </c>
      <c r="B32" s="511">
        <v>1.5310653768959956</v>
      </c>
      <c r="C32" s="512">
        <v>2.0390986040750212</v>
      </c>
      <c r="D32" s="512">
        <v>2.1690991444388525</v>
      </c>
      <c r="E32" s="512">
        <v>2.267304366791818</v>
      </c>
      <c r="F32" s="512">
        <v>2.3406369151448723</v>
      </c>
      <c r="G32" s="512">
        <v>2.6926342683607825</v>
      </c>
      <c r="H32" s="512">
        <v>2.7050590973533177</v>
      </c>
      <c r="I32" s="512">
        <v>2.7172442814632238</v>
      </c>
      <c r="J32" s="512">
        <v>2.7299685576765462</v>
      </c>
      <c r="K32" s="512">
        <v>2.7426004462636504</v>
      </c>
      <c r="L32" s="512">
        <v>2.7546998402860199</v>
      </c>
      <c r="M32" s="512">
        <v>2.766356226480887</v>
      </c>
      <c r="N32" s="512">
        <v>2.7778778338892449</v>
      </c>
      <c r="O32" s="512">
        <v>2.7889499289189246</v>
      </c>
      <c r="P32" s="512">
        <v>2.7997789648185671</v>
      </c>
      <c r="Q32" s="512">
        <v>2.8105677346824058</v>
      </c>
      <c r="R32" s="512">
        <v>2.8170977341947716</v>
      </c>
      <c r="S32" s="512">
        <v>2.8236205120404874</v>
      </c>
      <c r="T32" s="512">
        <v>2.8299233876775562</v>
      </c>
      <c r="U32" s="512">
        <v>2.8361265914086049</v>
      </c>
      <c r="V32" s="512">
        <v>2.8423092243398891</v>
      </c>
      <c r="W32" s="48">
        <v>2.8299233876775562</v>
      </c>
      <c r="X32">
        <v>2.8361265914086049</v>
      </c>
      <c r="Y32">
        <v>2.8423092243398891</v>
      </c>
    </row>
    <row r="33" spans="1:22" ht="24.95" customHeight="1">
      <c r="A33" s="509"/>
      <c r="B33" s="511"/>
      <c r="C33" s="512"/>
      <c r="D33" s="512"/>
      <c r="E33" s="512"/>
      <c r="F33" s="512"/>
      <c r="G33" s="512"/>
      <c r="H33" s="512"/>
      <c r="I33" s="512"/>
      <c r="J33" s="512"/>
      <c r="K33" s="512"/>
      <c r="L33" s="512"/>
      <c r="M33" s="512"/>
      <c r="N33" s="512"/>
      <c r="O33" s="512"/>
      <c r="P33" s="512"/>
      <c r="Q33" s="512"/>
      <c r="R33" s="512"/>
      <c r="S33" s="512"/>
      <c r="T33" s="512"/>
      <c r="U33" s="512"/>
      <c r="V33" s="512"/>
    </row>
    <row r="34" spans="1:22" ht="24.95" customHeight="1">
      <c r="A34" s="509"/>
      <c r="B34" s="511"/>
      <c r="C34" s="512"/>
      <c r="D34" s="512"/>
      <c r="E34" s="512"/>
      <c r="F34" s="512"/>
      <c r="G34" s="512"/>
      <c r="H34" s="512"/>
      <c r="I34" s="512"/>
      <c r="J34" s="512"/>
      <c r="K34" s="512"/>
      <c r="L34" s="512"/>
      <c r="M34" s="512"/>
      <c r="N34" s="512"/>
      <c r="O34" s="512"/>
      <c r="P34" s="512"/>
      <c r="Q34" s="512"/>
      <c r="R34" s="512"/>
      <c r="S34" s="512"/>
      <c r="T34" s="512"/>
      <c r="U34" s="512"/>
      <c r="V34" s="512"/>
    </row>
    <row r="35" spans="1:22" ht="24.95" customHeight="1">
      <c r="A35" t="s">
        <v>1135</v>
      </c>
      <c r="B35">
        <v>2016</v>
      </c>
      <c r="C35">
        <v>2017</v>
      </c>
      <c r="D35">
        <v>2018</v>
      </c>
      <c r="E35">
        <v>2019</v>
      </c>
      <c r="F35">
        <v>2020</v>
      </c>
      <c r="G35">
        <v>2021</v>
      </c>
      <c r="H35">
        <v>2022</v>
      </c>
      <c r="I35">
        <v>2023</v>
      </c>
      <c r="J35">
        <v>2024</v>
      </c>
      <c r="K35">
        <v>2025</v>
      </c>
      <c r="L35">
        <v>2026</v>
      </c>
      <c r="M35">
        <v>2027</v>
      </c>
      <c r="N35">
        <v>2028</v>
      </c>
      <c r="O35">
        <v>2029</v>
      </c>
      <c r="P35">
        <v>2030</v>
      </c>
      <c r="Q35">
        <v>2031</v>
      </c>
      <c r="R35">
        <v>2032</v>
      </c>
      <c r="S35">
        <v>2033</v>
      </c>
      <c r="T35">
        <v>2034</v>
      </c>
      <c r="U35">
        <v>2035</v>
      </c>
    </row>
    <row r="36" spans="1:22" ht="24.95" customHeight="1">
      <c r="A36" t="s">
        <v>901</v>
      </c>
      <c r="B36" s="510">
        <f>C31/$B31</f>
        <v>0.98541277363684066</v>
      </c>
      <c r="C36" s="510">
        <f>D31/$B31</f>
        <v>0.9759408705977527</v>
      </c>
      <c r="D36" s="510">
        <f t="shared" ref="D36:U36" si="7">E31/$B31</f>
        <v>0.96646896755866463</v>
      </c>
      <c r="E36" s="510">
        <f t="shared" si="7"/>
        <v>0.95699706451957656</v>
      </c>
      <c r="F36" s="510">
        <f t="shared" si="7"/>
        <v>0.9475251614804886</v>
      </c>
      <c r="G36" s="510">
        <f t="shared" si="7"/>
        <v>0.93898580162261158</v>
      </c>
      <c r="H36" s="510">
        <f t="shared" si="7"/>
        <v>0.93044644176473457</v>
      </c>
      <c r="I36" s="510">
        <f t="shared" si="7"/>
        <v>0.92190708190685755</v>
      </c>
      <c r="J36" s="510">
        <f t="shared" si="7"/>
        <v>0.91336772204898053</v>
      </c>
      <c r="K36" s="510">
        <f t="shared" si="7"/>
        <v>0.90482836219110352</v>
      </c>
      <c r="L36" s="510">
        <f t="shared" si="7"/>
        <v>0.8962890023332265</v>
      </c>
      <c r="M36" s="510">
        <f t="shared" si="7"/>
        <v>0.88774964247534949</v>
      </c>
      <c r="N36" s="510">
        <f t="shared" si="7"/>
        <v>0.87921028261747247</v>
      </c>
      <c r="O36" s="510">
        <f t="shared" si="7"/>
        <v>0.87067092275959546</v>
      </c>
      <c r="P36" s="510">
        <f t="shared" si="7"/>
        <v>0.86213156290171788</v>
      </c>
      <c r="Q36" s="510">
        <f t="shared" si="7"/>
        <v>0.85172091557430818</v>
      </c>
      <c r="R36" s="510">
        <f t="shared" si="7"/>
        <v>0.84131026824689847</v>
      </c>
      <c r="S36" s="510">
        <f t="shared" si="7"/>
        <v>0.83089962091948877</v>
      </c>
      <c r="T36" s="510">
        <f t="shared" si="7"/>
        <v>0.82048897359207906</v>
      </c>
      <c r="U36" s="510">
        <f t="shared" si="7"/>
        <v>0.82048897359207873</v>
      </c>
    </row>
    <row r="37" spans="1:22" ht="24.95" customHeight="1">
      <c r="A37" t="s">
        <v>902</v>
      </c>
      <c r="B37" s="510">
        <f>C32/$B32</f>
        <v>1.3318168086388227</v>
      </c>
      <c r="C37" s="510">
        <f>D32/$B32</f>
        <v>1.4167253581531405</v>
      </c>
      <c r="D37" s="510">
        <f t="shared" ref="D37:T37" si="8">E32/$B32</f>
        <v>1.4808671144980341</v>
      </c>
      <c r="E37" s="510">
        <f t="shared" si="8"/>
        <v>1.5287635332007579</v>
      </c>
      <c r="F37" s="510">
        <f t="shared" si="8"/>
        <v>1.7586670752229359</v>
      </c>
      <c r="G37" s="510">
        <f t="shared" si="8"/>
        <v>1.7667822277043568</v>
      </c>
      <c r="H37" s="510">
        <f t="shared" si="8"/>
        <v>1.7747408585334397</v>
      </c>
      <c r="I37" s="510">
        <f t="shared" si="8"/>
        <v>1.7830515919647705</v>
      </c>
      <c r="J37" s="510">
        <f t="shared" si="8"/>
        <v>1.7913019833443427</v>
      </c>
      <c r="K37" s="510">
        <f t="shared" si="8"/>
        <v>1.7992045812379083</v>
      </c>
      <c r="L37" s="510">
        <f t="shared" si="8"/>
        <v>1.8068178330106697</v>
      </c>
      <c r="M37" s="510">
        <f t="shared" si="8"/>
        <v>1.814343055370355</v>
      </c>
      <c r="N37" s="510">
        <f t="shared" si="8"/>
        <v>1.8215746832268525</v>
      </c>
      <c r="O37" s="510">
        <f t="shared" si="8"/>
        <v>1.8286475594495495</v>
      </c>
      <c r="P37" s="510">
        <f t="shared" si="8"/>
        <v>1.8356941363146808</v>
      </c>
      <c r="Q37" s="510">
        <f t="shared" si="8"/>
        <v>1.8399591400244533</v>
      </c>
      <c r="R37" s="510">
        <f t="shared" si="8"/>
        <v>1.84421942697506</v>
      </c>
      <c r="S37" s="510">
        <f t="shared" si="8"/>
        <v>1.8483360870028944</v>
      </c>
      <c r="T37" s="510">
        <f t="shared" si="8"/>
        <v>1.8523876473246519</v>
      </c>
      <c r="U37" s="510">
        <f>V32/$B32</f>
        <v>1.8564257720347923</v>
      </c>
    </row>
    <row r="38" spans="1:22" ht="24.95" customHeight="1"/>
    <row r="39" spans="1:22" ht="24.95" customHeight="1">
      <c r="B39">
        <v>2016</v>
      </c>
      <c r="C39">
        <v>2017</v>
      </c>
      <c r="D39">
        <v>2018</v>
      </c>
      <c r="E39">
        <v>2019</v>
      </c>
      <c r="F39">
        <v>2020</v>
      </c>
      <c r="G39">
        <v>2021</v>
      </c>
      <c r="H39">
        <v>2022</v>
      </c>
      <c r="I39">
        <v>2023</v>
      </c>
      <c r="J39">
        <v>2024</v>
      </c>
      <c r="K39">
        <v>2025</v>
      </c>
      <c r="L39">
        <v>2026</v>
      </c>
      <c r="M39">
        <v>2027</v>
      </c>
      <c r="N39">
        <v>2028</v>
      </c>
      <c r="O39">
        <v>2029</v>
      </c>
      <c r="P39">
        <v>2030</v>
      </c>
      <c r="Q39">
        <v>2031</v>
      </c>
      <c r="R39">
        <v>2032</v>
      </c>
      <c r="S39">
        <v>2033</v>
      </c>
      <c r="T39">
        <v>2034</v>
      </c>
      <c r="U39">
        <v>2035</v>
      </c>
    </row>
    <row r="40" spans="1:22" ht="24.95" customHeight="1">
      <c r="A40" t="s">
        <v>793</v>
      </c>
      <c r="B40" s="510">
        <f>AVERAGE(B36:B37)</f>
        <v>1.1586147911378317</v>
      </c>
      <c r="C40" s="510">
        <f t="shared" ref="C40:U40" si="9">AVERAGE(C36:C37)</f>
        <v>1.1963331143754465</v>
      </c>
      <c r="D40" s="510">
        <f t="shared" si="9"/>
        <v>1.2236680410283494</v>
      </c>
      <c r="E40" s="510">
        <f t="shared" si="9"/>
        <v>1.2428802988601673</v>
      </c>
      <c r="F40" s="510">
        <f t="shared" si="9"/>
        <v>1.3530961183517123</v>
      </c>
      <c r="G40" s="510">
        <f t="shared" si="9"/>
        <v>1.3528840146634842</v>
      </c>
      <c r="H40" s="510">
        <f t="shared" si="9"/>
        <v>1.3525936501490872</v>
      </c>
      <c r="I40" s="510">
        <f t="shared" si="9"/>
        <v>1.3524793369358141</v>
      </c>
      <c r="J40" s="510">
        <f t="shared" si="9"/>
        <v>1.3523348526966616</v>
      </c>
      <c r="K40" s="510">
        <f t="shared" si="9"/>
        <v>1.352016471714506</v>
      </c>
      <c r="L40" s="510">
        <f t="shared" si="9"/>
        <v>1.3515534176719481</v>
      </c>
      <c r="M40" s="510">
        <f t="shared" si="9"/>
        <v>1.3510463489228521</v>
      </c>
      <c r="N40" s="510">
        <f t="shared" si="9"/>
        <v>1.3503924829221625</v>
      </c>
      <c r="O40" s="510">
        <f t="shared" si="9"/>
        <v>1.3496592411045725</v>
      </c>
      <c r="P40" s="510">
        <f t="shared" si="9"/>
        <v>1.3489128496081992</v>
      </c>
      <c r="Q40" s="510">
        <f t="shared" si="9"/>
        <v>1.3458400277993807</v>
      </c>
      <c r="R40" s="510">
        <f t="shared" si="9"/>
        <v>1.3427648476109793</v>
      </c>
      <c r="S40" s="510">
        <f t="shared" si="9"/>
        <v>1.3396178539611916</v>
      </c>
      <c r="T40" s="510">
        <f t="shared" si="9"/>
        <v>1.3364383104583655</v>
      </c>
      <c r="U40" s="510">
        <f t="shared" si="9"/>
        <v>1.3384573728134355</v>
      </c>
    </row>
    <row r="41" spans="1:22" ht="24.95" customHeight="1">
      <c r="A41" t="s">
        <v>794</v>
      </c>
      <c r="B41" s="510">
        <f>B36</f>
        <v>0.98541277363684066</v>
      </c>
      <c r="C41" s="510">
        <f t="shared" ref="C41:U41" si="10">C36</f>
        <v>0.9759408705977527</v>
      </c>
      <c r="D41" s="510">
        <f t="shared" si="10"/>
        <v>0.96646896755866463</v>
      </c>
      <c r="E41" s="510">
        <f t="shared" si="10"/>
        <v>0.95699706451957656</v>
      </c>
      <c r="F41" s="510">
        <f t="shared" si="10"/>
        <v>0.9475251614804886</v>
      </c>
      <c r="G41" s="510">
        <f t="shared" si="10"/>
        <v>0.93898580162261158</v>
      </c>
      <c r="H41" s="510">
        <f t="shared" si="10"/>
        <v>0.93044644176473457</v>
      </c>
      <c r="I41" s="510">
        <f t="shared" si="10"/>
        <v>0.92190708190685755</v>
      </c>
      <c r="J41" s="510">
        <f t="shared" si="10"/>
        <v>0.91336772204898053</v>
      </c>
      <c r="K41" s="510">
        <f t="shared" si="10"/>
        <v>0.90482836219110352</v>
      </c>
      <c r="L41" s="510">
        <f t="shared" si="10"/>
        <v>0.8962890023332265</v>
      </c>
      <c r="M41" s="510">
        <f t="shared" si="10"/>
        <v>0.88774964247534949</v>
      </c>
      <c r="N41" s="510">
        <f t="shared" si="10"/>
        <v>0.87921028261747247</v>
      </c>
      <c r="O41" s="510">
        <f t="shared" si="10"/>
        <v>0.87067092275959546</v>
      </c>
      <c r="P41" s="510">
        <f t="shared" si="10"/>
        <v>0.86213156290171788</v>
      </c>
      <c r="Q41" s="510">
        <f t="shared" si="10"/>
        <v>0.85172091557430818</v>
      </c>
      <c r="R41" s="510">
        <f t="shared" si="10"/>
        <v>0.84131026824689847</v>
      </c>
      <c r="S41" s="510">
        <f t="shared" si="10"/>
        <v>0.83089962091948877</v>
      </c>
      <c r="T41" s="510">
        <f t="shared" si="10"/>
        <v>0.82048897359207906</v>
      </c>
      <c r="U41" s="510">
        <f t="shared" si="10"/>
        <v>0.82048897359207873</v>
      </c>
    </row>
    <row r="42" spans="1:22" ht="24.95" customHeight="1">
      <c r="A42" t="s">
        <v>795</v>
      </c>
      <c r="B42" s="510">
        <f>B37</f>
        <v>1.3318168086388227</v>
      </c>
      <c r="C42" s="510">
        <f t="shared" ref="C42:U42" si="11">C37</f>
        <v>1.4167253581531405</v>
      </c>
      <c r="D42" s="510">
        <f t="shared" si="11"/>
        <v>1.4808671144980341</v>
      </c>
      <c r="E42" s="510">
        <f t="shared" si="11"/>
        <v>1.5287635332007579</v>
      </c>
      <c r="F42" s="510">
        <f t="shared" si="11"/>
        <v>1.7586670752229359</v>
      </c>
      <c r="G42" s="510">
        <f t="shared" si="11"/>
        <v>1.7667822277043568</v>
      </c>
      <c r="H42" s="510">
        <f t="shared" si="11"/>
        <v>1.7747408585334397</v>
      </c>
      <c r="I42" s="510">
        <f t="shared" si="11"/>
        <v>1.7830515919647705</v>
      </c>
      <c r="J42" s="510">
        <f t="shared" si="11"/>
        <v>1.7913019833443427</v>
      </c>
      <c r="K42" s="510">
        <f t="shared" si="11"/>
        <v>1.7992045812379083</v>
      </c>
      <c r="L42" s="510">
        <f t="shared" si="11"/>
        <v>1.8068178330106697</v>
      </c>
      <c r="M42" s="510">
        <f t="shared" si="11"/>
        <v>1.814343055370355</v>
      </c>
      <c r="N42" s="510">
        <f t="shared" si="11"/>
        <v>1.8215746832268525</v>
      </c>
      <c r="O42" s="510">
        <f t="shared" si="11"/>
        <v>1.8286475594495495</v>
      </c>
      <c r="P42" s="510">
        <f t="shared" si="11"/>
        <v>1.8356941363146808</v>
      </c>
      <c r="Q42" s="510">
        <f t="shared" si="11"/>
        <v>1.8399591400244533</v>
      </c>
      <c r="R42" s="510">
        <f t="shared" si="11"/>
        <v>1.84421942697506</v>
      </c>
      <c r="S42" s="510">
        <f t="shared" si="11"/>
        <v>1.8483360870028944</v>
      </c>
      <c r="T42" s="510">
        <f t="shared" si="11"/>
        <v>1.8523876473246519</v>
      </c>
      <c r="U42" s="510">
        <f t="shared" si="11"/>
        <v>1.8564257720347923</v>
      </c>
    </row>
    <row r="43" spans="1:22" ht="24.95" customHeight="1"/>
    <row r="44" spans="1:22" ht="24.95" customHeight="1"/>
    <row r="45" spans="1:22" ht="24.95" customHeight="1"/>
    <row r="46" spans="1:22" ht="24.95" customHeight="1"/>
    <row r="47" spans="1:22" ht="24.95" customHeight="1"/>
    <row r="48" spans="1:22"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sheetData>
  <mergeCells count="2">
    <mergeCell ref="I22:I23"/>
    <mergeCell ref="M22:M2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dimension ref="A1:G3"/>
  <sheetViews>
    <sheetView workbookViewId="0">
      <selection activeCell="J19" sqref="J19"/>
    </sheetView>
  </sheetViews>
  <sheetFormatPr defaultRowHeight="12.75"/>
  <sheetData>
    <row r="1" spans="1:7">
      <c r="A1" s="563" t="s">
        <v>1160</v>
      </c>
      <c r="B1" s="564" t="s">
        <v>1161</v>
      </c>
      <c r="C1" s="564" t="s">
        <v>1162</v>
      </c>
      <c r="D1" s="564" t="s">
        <v>1163</v>
      </c>
      <c r="E1" s="564" t="s">
        <v>1164</v>
      </c>
      <c r="F1" s="564" t="s">
        <v>1165</v>
      </c>
      <c r="G1" s="565" t="s">
        <v>1166</v>
      </c>
    </row>
    <row r="2" spans="1:7">
      <c r="A2" s="566">
        <v>2012</v>
      </c>
      <c r="B2" s="567" t="s">
        <v>1132</v>
      </c>
      <c r="C2" s="567" t="s">
        <v>1167</v>
      </c>
      <c r="D2" s="567" t="s">
        <v>1168</v>
      </c>
      <c r="E2" s="567" t="s">
        <v>1169</v>
      </c>
      <c r="F2" s="568">
        <v>1033936.8</v>
      </c>
      <c r="G2" s="569">
        <v>0.11802931560305296</v>
      </c>
    </row>
    <row r="3" spans="1:7">
      <c r="A3" s="570">
        <v>2013</v>
      </c>
      <c r="B3" s="571" t="s">
        <v>1132</v>
      </c>
      <c r="C3" s="571" t="s">
        <v>1167</v>
      </c>
      <c r="D3" s="571" t="s">
        <v>1168</v>
      </c>
      <c r="E3" s="571" t="s">
        <v>1169</v>
      </c>
      <c r="F3" s="572">
        <v>1169699.8000000003</v>
      </c>
      <c r="G3" s="573">
        <v>0.13352737333480036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A7"/>
  <sheetViews>
    <sheetView workbookViewId="0">
      <selection sqref="A1:EA7"/>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543"/>
      <c r="B2" s="42"/>
      <c r="C2" s="43"/>
      <c r="D2" s="43"/>
      <c r="E2" s="43"/>
      <c r="F2" s="43"/>
      <c r="G2" s="43"/>
      <c r="H2" s="43"/>
      <c r="I2" s="43"/>
      <c r="J2" s="43"/>
      <c r="K2" s="43"/>
      <c r="L2" s="43"/>
      <c r="M2" s="43"/>
      <c r="N2" s="43"/>
      <c r="O2" s="44" t="s">
        <v>1119</v>
      </c>
      <c r="P2" s="45"/>
      <c r="Q2" s="45"/>
      <c r="R2" s="45"/>
      <c r="S2" s="45"/>
      <c r="T2" s="45"/>
      <c r="U2" s="45"/>
      <c r="V2" s="45"/>
      <c r="W2" s="45"/>
      <c r="X2" s="45"/>
      <c r="Y2" s="45"/>
      <c r="Z2" s="40"/>
      <c r="AA2" s="43"/>
      <c r="AB2" s="44" t="s">
        <v>1120</v>
      </c>
      <c r="AC2" s="45"/>
      <c r="AD2" s="45"/>
      <c r="AE2" s="45"/>
      <c r="AF2" s="45"/>
      <c r="AG2" s="45"/>
      <c r="AH2" s="45"/>
      <c r="AI2" s="45"/>
      <c r="AJ2" s="45"/>
      <c r="AK2" s="45"/>
      <c r="AL2" s="45"/>
      <c r="AM2" s="40"/>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544" t="s">
        <v>21</v>
      </c>
      <c r="B3" s="37" t="s">
        <v>22</v>
      </c>
      <c r="C3" s="38" t="s">
        <v>46</v>
      </c>
      <c r="D3" s="38" t="s">
        <v>25</v>
      </c>
      <c r="E3" s="38" t="s">
        <v>26</v>
      </c>
      <c r="F3" s="38" t="s">
        <v>27</v>
      </c>
      <c r="G3" s="38" t="s">
        <v>28</v>
      </c>
      <c r="H3" s="38" t="s">
        <v>29</v>
      </c>
      <c r="I3" s="38" t="s">
        <v>30</v>
      </c>
      <c r="J3" s="38" t="s">
        <v>31</v>
      </c>
      <c r="K3" s="38" t="s">
        <v>24</v>
      </c>
      <c r="L3" s="38" t="s">
        <v>23</v>
      </c>
      <c r="M3" s="38" t="s">
        <v>32</v>
      </c>
      <c r="N3" s="38" t="s">
        <v>1121</v>
      </c>
      <c r="O3" s="38" t="s">
        <v>33</v>
      </c>
      <c r="P3" s="38" t="s">
        <v>34</v>
      </c>
      <c r="Q3" s="38" t="s">
        <v>35</v>
      </c>
      <c r="R3" s="38" t="s">
        <v>36</v>
      </c>
      <c r="S3" s="38" t="s">
        <v>37</v>
      </c>
      <c r="T3" s="38" t="s">
        <v>38</v>
      </c>
      <c r="U3" s="38" t="s">
        <v>39</v>
      </c>
      <c r="V3" s="38" t="s">
        <v>40</v>
      </c>
      <c r="W3" s="38" t="s">
        <v>41</v>
      </c>
      <c r="X3" s="38" t="s">
        <v>42</v>
      </c>
      <c r="Y3" s="38" t="s">
        <v>43</v>
      </c>
      <c r="Z3" s="38" t="s">
        <v>44</v>
      </c>
      <c r="AA3" s="38"/>
      <c r="AB3" s="38" t="s">
        <v>33</v>
      </c>
      <c r="AC3" s="38" t="s">
        <v>34</v>
      </c>
      <c r="AD3" s="38" t="s">
        <v>35</v>
      </c>
      <c r="AE3" s="38" t="s">
        <v>36</v>
      </c>
      <c r="AF3" s="38" t="s">
        <v>37</v>
      </c>
      <c r="AG3" s="38" t="s">
        <v>38</v>
      </c>
      <c r="AH3" s="38" t="s">
        <v>39</v>
      </c>
      <c r="AI3" s="38" t="s">
        <v>40</v>
      </c>
      <c r="AJ3" s="38" t="s">
        <v>41</v>
      </c>
      <c r="AK3" s="38" t="s">
        <v>42</v>
      </c>
      <c r="AL3" s="38" t="s">
        <v>43</v>
      </c>
      <c r="AM3" s="38"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794</v>
      </c>
      <c r="B4" s="9"/>
      <c r="C4" s="41">
        <v>42.910133077431247</v>
      </c>
      <c r="D4" s="41">
        <v>0</v>
      </c>
      <c r="E4" s="41">
        <v>0</v>
      </c>
      <c r="F4" s="41">
        <v>0</v>
      </c>
      <c r="G4" s="41">
        <v>0</v>
      </c>
      <c r="H4" s="41">
        <v>26.762895759788577</v>
      </c>
      <c r="I4" s="41">
        <v>0</v>
      </c>
      <c r="J4" s="41">
        <v>-8.9100081856585778</v>
      </c>
      <c r="K4" s="41">
        <v>-8.9100081856585778</v>
      </c>
      <c r="L4" s="39">
        <v>9999</v>
      </c>
      <c r="M4" s="41">
        <v>0.40765414208319989</v>
      </c>
      <c r="N4" s="41">
        <v>6.7339705814560636E-3</v>
      </c>
      <c r="O4" s="41">
        <v>1.248841487453902</v>
      </c>
      <c r="P4" s="41">
        <v>1.1074997156117752</v>
      </c>
      <c r="Q4" s="41">
        <v>1.9676886869005692</v>
      </c>
      <c r="R4" s="41">
        <v>2.4817313406299237</v>
      </c>
      <c r="S4" s="41">
        <v>2.6413879760918486</v>
      </c>
      <c r="T4" s="41">
        <v>2.3143741725899498</v>
      </c>
      <c r="U4" s="41">
        <v>2.3248331479556512</v>
      </c>
      <c r="V4" s="41">
        <v>2.317097978671983</v>
      </c>
      <c r="W4" s="41">
        <v>2.1434373846780539</v>
      </c>
      <c r="X4" s="41">
        <v>2.2774562081790668</v>
      </c>
      <c r="Y4" s="41">
        <v>2.2740270856434055</v>
      </c>
      <c r="Z4" s="41">
        <v>2.534534862760097</v>
      </c>
      <c r="AA4" s="41"/>
      <c r="AB4" s="41">
        <v>0.95293642818706803</v>
      </c>
      <c r="AC4" s="41">
        <v>0.79875601435294175</v>
      </c>
      <c r="AD4" s="41">
        <v>1.1350121859184539</v>
      </c>
      <c r="AE4" s="41">
        <v>1.7321388062956955</v>
      </c>
      <c r="AF4" s="41">
        <v>1.8805046877615126</v>
      </c>
      <c r="AG4" s="41">
        <v>1.5086785618672223</v>
      </c>
      <c r="AH4" s="41">
        <v>1.7745882538779192</v>
      </c>
      <c r="AI4" s="41">
        <v>1.2596947191295036</v>
      </c>
      <c r="AJ4" s="41">
        <v>1.5212356878531683</v>
      </c>
      <c r="AK4" s="41">
        <v>1.3048665072087162</v>
      </c>
      <c r="AL4" s="41">
        <v>1.6401365576097882</v>
      </c>
      <c r="AM4" s="36">
        <v>1.7686746202030288</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795</v>
      </c>
      <c r="B5" s="9"/>
      <c r="C5" s="41">
        <v>268.66551402974153</v>
      </c>
      <c r="D5" s="41">
        <v>64.97999999999999</v>
      </c>
      <c r="E5" s="41">
        <v>12.995999999999999</v>
      </c>
      <c r="F5" s="41">
        <v>77.975999999999985</v>
      </c>
      <c r="G5" s="41">
        <v>214.84621767595516</v>
      </c>
      <c r="H5" s="41">
        <v>182.97339987861497</v>
      </c>
      <c r="I5" s="41">
        <v>2542.4541831013839</v>
      </c>
      <c r="J5" s="41">
        <v>3.1262768556726508</v>
      </c>
      <c r="K5" s="41">
        <v>46.658919133400126</v>
      </c>
      <c r="L5" s="532">
        <v>0.85164822475295876</v>
      </c>
      <c r="M5" s="41">
        <v>2.5523382684832088</v>
      </c>
      <c r="N5" s="41">
        <v>5.7649420572911621E-2</v>
      </c>
      <c r="O5" s="41">
        <v>17.831318380953835</v>
      </c>
      <c r="P5" s="41">
        <v>14.992781313023245</v>
      </c>
      <c r="Q5" s="41">
        <v>17.616631632279553</v>
      </c>
      <c r="R5" s="41">
        <v>12.956035877768267</v>
      </c>
      <c r="S5" s="41">
        <v>13.829550633491598</v>
      </c>
      <c r="T5" s="41">
        <v>14.683416912373106</v>
      </c>
      <c r="U5" s="41">
        <v>13.14410859909767</v>
      </c>
      <c r="V5" s="41">
        <v>15.656132376931934</v>
      </c>
      <c r="W5" s="41">
        <v>13.354466994339782</v>
      </c>
      <c r="X5" s="41">
        <v>16.218575944482986</v>
      </c>
      <c r="Y5" s="41">
        <v>14.8573999262311</v>
      </c>
      <c r="Z5" s="41">
        <v>15.627978305676624</v>
      </c>
      <c r="AA5" s="41"/>
      <c r="AB5" s="41">
        <v>9.1131544498705921</v>
      </c>
      <c r="AC5" s="41">
        <v>7.4889716255511036</v>
      </c>
      <c r="AD5" s="41">
        <v>7.1806362404258843</v>
      </c>
      <c r="AE5" s="41">
        <v>6.9973436727584879</v>
      </c>
      <c r="AF5" s="41">
        <v>7.5976700872860086</v>
      </c>
      <c r="AG5" s="41">
        <v>6.7891720968089286</v>
      </c>
      <c r="AH5" s="41">
        <v>7.9022041122260784</v>
      </c>
      <c r="AI5" s="41">
        <v>6.1687103867513944</v>
      </c>
      <c r="AJ5" s="41">
        <v>6.6841732375273581</v>
      </c>
      <c r="AK5" s="41">
        <v>6.0820848947009694</v>
      </c>
      <c r="AL5" s="41">
        <v>7.6693586132916893</v>
      </c>
      <c r="AM5" s="36">
        <v>8.2236377158933571</v>
      </c>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793</v>
      </c>
      <c r="B6" s="9"/>
      <c r="C6" s="41">
        <v>32.182599808073434</v>
      </c>
      <c r="D6" s="41">
        <v>32.481666666666662</v>
      </c>
      <c r="E6" s="41">
        <v>6.4963333333333324</v>
      </c>
      <c r="F6" s="41">
        <v>38.977999999999994</v>
      </c>
      <c r="G6" s="41">
        <v>107.39555597329152</v>
      </c>
      <c r="H6" s="41">
        <v>20.072171819841429</v>
      </c>
      <c r="I6" s="41">
        <v>10609.68604265288</v>
      </c>
      <c r="J6" s="41">
        <v>54.975229605574036</v>
      </c>
      <c r="K6" s="41">
        <v>236.63736937731289</v>
      </c>
      <c r="L6" s="532">
        <v>0.18689946374348329</v>
      </c>
      <c r="M6" s="41">
        <v>0.30574060656240026</v>
      </c>
      <c r="N6" s="41">
        <v>5.0504779360920479E-3</v>
      </c>
      <c r="O6" s="41">
        <v>0.93663111559042656</v>
      </c>
      <c r="P6" s="41">
        <v>0.83062478670883133</v>
      </c>
      <c r="Q6" s="41">
        <v>1.4757665151754269</v>
      </c>
      <c r="R6" s="41">
        <v>1.8612985054724429</v>
      </c>
      <c r="S6" s="41">
        <v>1.9810409820688863</v>
      </c>
      <c r="T6" s="41">
        <v>1.7357806294424625</v>
      </c>
      <c r="U6" s="41">
        <v>1.7436248609667384</v>
      </c>
      <c r="V6" s="41">
        <v>1.737823484003987</v>
      </c>
      <c r="W6" s="41">
        <v>1.6075780385085403</v>
      </c>
      <c r="X6" s="41">
        <v>1.7080921561343001</v>
      </c>
      <c r="Y6" s="41">
        <v>1.7055203142325539</v>
      </c>
      <c r="Z6" s="41">
        <v>1.900901147070073</v>
      </c>
      <c r="AA6" s="41"/>
      <c r="AB6" s="41">
        <v>0.71470232114030108</v>
      </c>
      <c r="AC6" s="41">
        <v>0.59906701076470636</v>
      </c>
      <c r="AD6" s="41">
        <v>0.85125913943884035</v>
      </c>
      <c r="AE6" s="41">
        <v>1.2991041047217715</v>
      </c>
      <c r="AF6" s="41">
        <v>1.4103785158211344</v>
      </c>
      <c r="AG6" s="41">
        <v>1.1315089214004166</v>
      </c>
      <c r="AH6" s="41">
        <v>1.3309411904084394</v>
      </c>
      <c r="AI6" s="41">
        <v>0.94477103934712769</v>
      </c>
      <c r="AJ6" s="41">
        <v>1.1409267658898763</v>
      </c>
      <c r="AK6" s="41">
        <v>0.97864988040653711</v>
      </c>
      <c r="AL6" s="41">
        <v>1.2301024182073412</v>
      </c>
      <c r="AM6" s="36">
        <v>1.3265059651522715</v>
      </c>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c r="B7" s="9"/>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A88"/>
  <sheetViews>
    <sheetView workbookViewId="0">
      <selection activeCell="A13" sqref="A13:EA88"/>
    </sheetView>
  </sheetViews>
  <sheetFormatPr defaultRowHeight="12.75"/>
  <cols>
    <col min="1" max="1" width="71.42578125" bestFit="1" customWidth="1"/>
    <col min="2" max="2" width="18.7109375" customWidth="1"/>
    <col min="3" max="3" width="18" customWidth="1"/>
    <col min="7" max="7" width="11.7109375"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577" t="s">
        <v>4</v>
      </c>
      <c r="J6" s="578"/>
      <c r="K6" s="578"/>
      <c r="L6" s="578"/>
      <c r="M6" s="578"/>
      <c r="N6" s="579"/>
      <c r="O6" s="580" t="s">
        <v>5</v>
      </c>
      <c r="P6" s="581"/>
      <c r="Q6" s="505" t="s">
        <v>892</v>
      </c>
      <c r="R6" s="582" t="s">
        <v>893</v>
      </c>
      <c r="S6" s="582"/>
      <c r="T6" s="582"/>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506" t="s">
        <v>894</v>
      </c>
      <c r="R7" s="507" t="s">
        <v>895</v>
      </c>
      <c r="S7" s="507" t="s">
        <v>896</v>
      </c>
      <c r="T7" s="507" t="s">
        <v>897</v>
      </c>
    </row>
    <row r="8" spans="1:131">
      <c r="A8" t="str">
        <f>Composite!B22</f>
        <v>Load sensing advanced power strip</v>
      </c>
      <c r="B8" t="str">
        <f>Composite!C22</f>
        <v>Load sensing advanced power strip</v>
      </c>
      <c r="C8">
        <f>Composite!D22</f>
        <v>30</v>
      </c>
      <c r="D8">
        <f>Composite!E22</f>
        <v>5</v>
      </c>
      <c r="E8">
        <f>Composite!F22</f>
        <v>32.481666666666662</v>
      </c>
      <c r="F8">
        <f>Composite!G22</f>
        <v>0</v>
      </c>
      <c r="G8" t="s">
        <v>905</v>
      </c>
      <c r="H8">
        <f>Composite!I22</f>
        <v>0</v>
      </c>
      <c r="I8">
        <f>Composite!J22</f>
        <v>0</v>
      </c>
      <c r="J8">
        <f>Composite!K22</f>
        <v>0</v>
      </c>
      <c r="K8">
        <f>Composite!L22</f>
        <v>0</v>
      </c>
      <c r="L8">
        <f>Composite!M22</f>
        <v>0</v>
      </c>
      <c r="M8">
        <f>Composite!N22</f>
        <v>0</v>
      </c>
      <c r="N8">
        <f>Composite!O22</f>
        <v>0</v>
      </c>
      <c r="O8">
        <f>Composite!P22</f>
        <v>0</v>
      </c>
      <c r="Q8" t="s">
        <v>898</v>
      </c>
    </row>
    <row r="9" spans="1:131">
      <c r="A9" t="str">
        <f>Composite!B23</f>
        <v>Occupancy sensing advanced power strip</v>
      </c>
      <c r="B9" t="str">
        <f>Composite!C23</f>
        <v>Occupancy sensing advanced power strip</v>
      </c>
      <c r="C9">
        <f>Composite!D23</f>
        <v>40</v>
      </c>
      <c r="D9">
        <f>Composite!E23</f>
        <v>5</v>
      </c>
      <c r="E9">
        <f>Composite!F23</f>
        <v>0</v>
      </c>
      <c r="F9">
        <f>Composite!G23</f>
        <v>0</v>
      </c>
      <c r="G9" t="s">
        <v>905</v>
      </c>
      <c r="H9">
        <f>Composite!I23</f>
        <v>0</v>
      </c>
      <c r="I9">
        <f>Composite!J23</f>
        <v>0</v>
      </c>
      <c r="J9">
        <f>Composite!K23</f>
        <v>0</v>
      </c>
      <c r="K9">
        <f>Composite!L23</f>
        <v>0</v>
      </c>
      <c r="L9">
        <f>Composite!M23</f>
        <v>0</v>
      </c>
      <c r="M9">
        <f>Composite!N23</f>
        <v>0</v>
      </c>
      <c r="N9">
        <f>Composite!O23</f>
        <v>0</v>
      </c>
      <c r="O9">
        <f>Composite!P23</f>
        <v>0</v>
      </c>
      <c r="Q9" t="s">
        <v>898</v>
      </c>
    </row>
    <row r="10" spans="1:131">
      <c r="A10" t="str">
        <f>Composite!B24</f>
        <v>Infrared sensing advanced power strip</v>
      </c>
      <c r="B10" t="str">
        <f>Composite!C24</f>
        <v>Infrared sensing advanced power strip</v>
      </c>
      <c r="C10" s="475">
        <f>Composite!D24</f>
        <v>250</v>
      </c>
      <c r="D10">
        <f>Composite!E24</f>
        <v>5</v>
      </c>
      <c r="E10">
        <f>Composite!F24</f>
        <v>64.97999999999999</v>
      </c>
      <c r="F10">
        <f>Composite!G24</f>
        <v>0</v>
      </c>
      <c r="G10" t="s">
        <v>906</v>
      </c>
      <c r="H10">
        <f>Composite!I24</f>
        <v>0</v>
      </c>
      <c r="I10">
        <f>Composite!J24</f>
        <v>0</v>
      </c>
      <c r="J10">
        <f>Composite!K24</f>
        <v>0</v>
      </c>
      <c r="K10">
        <f>Composite!L24</f>
        <v>0</v>
      </c>
      <c r="L10">
        <f>Composite!M24</f>
        <v>0</v>
      </c>
      <c r="M10">
        <f>Composite!N24</f>
        <v>0</v>
      </c>
      <c r="N10">
        <f>Composite!O24</f>
        <v>0</v>
      </c>
      <c r="O10">
        <f>Composite!P24</f>
        <v>0</v>
      </c>
      <c r="Q10" t="s">
        <v>898</v>
      </c>
    </row>
    <row r="13" spans="1:13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row>
    <row r="14" spans="1:131">
      <c r="A14" s="513" t="s">
        <v>907</v>
      </c>
      <c r="B14" s="51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row>
    <row r="15" spans="1:131">
      <c r="A15" s="9" t="s">
        <v>908</v>
      </c>
      <c r="B15" s="9" t="s">
        <v>909</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s="9" t="s">
        <v>910</v>
      </c>
      <c r="B16" s="9" t="s">
        <v>1158</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ht="13.5" thickBot="1">
      <c r="A18" s="34" t="s">
        <v>911</v>
      </c>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35"/>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516" t="s">
        <v>912</v>
      </c>
      <c r="C19" s="517"/>
      <c r="D19" s="517" t="s">
        <v>912</v>
      </c>
      <c r="E19" s="518"/>
      <c r="F19" s="9"/>
      <c r="G19" s="516" t="s">
        <v>913</v>
      </c>
      <c r="H19" s="517"/>
      <c r="I19" s="517"/>
      <c r="J19" s="517"/>
      <c r="K19" s="517"/>
      <c r="L19" s="517"/>
      <c r="M19" s="517"/>
      <c r="N19" s="517"/>
      <c r="O19" s="518"/>
      <c r="P19" s="9"/>
      <c r="Q19" s="516" t="s">
        <v>914</v>
      </c>
      <c r="R19" s="517"/>
      <c r="S19" s="517"/>
      <c r="T19" s="517"/>
      <c r="U19" s="518"/>
      <c r="V19" s="9"/>
      <c r="W19" s="516" t="s">
        <v>915</v>
      </c>
      <c r="X19" s="518"/>
      <c r="Y19" s="9"/>
      <c r="Z19" s="516" t="s">
        <v>916</v>
      </c>
      <c r="AA19" s="517"/>
      <c r="AB19" s="518"/>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c r="A20" s="9"/>
      <c r="B20" s="519" t="s">
        <v>917</v>
      </c>
      <c r="C20" s="520" t="s">
        <v>918</v>
      </c>
      <c r="D20" s="520" t="s">
        <v>917</v>
      </c>
      <c r="E20" s="521" t="s">
        <v>918</v>
      </c>
      <c r="F20" s="9"/>
      <c r="G20" s="519" t="s">
        <v>919</v>
      </c>
      <c r="H20" s="520" t="s">
        <v>1116</v>
      </c>
      <c r="I20" s="520"/>
      <c r="J20" s="520"/>
      <c r="K20" s="520" t="s">
        <v>920</v>
      </c>
      <c r="L20" s="520"/>
      <c r="M20" s="520"/>
      <c r="N20" s="520"/>
      <c r="O20" s="521"/>
      <c r="P20" s="9"/>
      <c r="Q20" s="519"/>
      <c r="R20" s="520" t="s">
        <v>921</v>
      </c>
      <c r="S20" s="520" t="s">
        <v>922</v>
      </c>
      <c r="T20" s="520" t="s">
        <v>923</v>
      </c>
      <c r="U20" s="521" t="s">
        <v>924</v>
      </c>
      <c r="V20" s="9"/>
      <c r="W20" s="519" t="s">
        <v>925</v>
      </c>
      <c r="X20" s="521">
        <v>20</v>
      </c>
      <c r="Y20" s="9"/>
      <c r="Z20" s="519"/>
      <c r="AA20" s="520" t="s">
        <v>918</v>
      </c>
      <c r="AB20" s="521" t="s">
        <v>926</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c r="A21" s="9"/>
      <c r="B21" s="519" t="s">
        <v>927</v>
      </c>
      <c r="C21" s="520" t="s">
        <v>303</v>
      </c>
      <c r="D21" s="520" t="s">
        <v>927</v>
      </c>
      <c r="E21" s="521" t="s">
        <v>303</v>
      </c>
      <c r="F21" s="9"/>
      <c r="G21" s="519" t="s">
        <v>928</v>
      </c>
      <c r="H21" s="520" t="s">
        <v>929</v>
      </c>
      <c r="I21" s="520"/>
      <c r="J21" s="520"/>
      <c r="K21" s="520" t="s">
        <v>930</v>
      </c>
      <c r="L21" s="520"/>
      <c r="M21" s="520"/>
      <c r="N21" s="520"/>
      <c r="O21" s="521"/>
      <c r="P21" s="9"/>
      <c r="Q21" s="519" t="s">
        <v>931</v>
      </c>
      <c r="R21" s="520">
        <v>4.3096045197740109E-2</v>
      </c>
      <c r="S21" s="520">
        <v>4.387844424080023E-2</v>
      </c>
      <c r="T21" s="520">
        <v>5.3289007766645871E-2</v>
      </c>
      <c r="U21" s="521">
        <v>5.447903102274565E-2</v>
      </c>
      <c r="V21" s="9"/>
      <c r="W21" s="519" t="s">
        <v>932</v>
      </c>
      <c r="X21" s="521">
        <v>2016</v>
      </c>
      <c r="Y21" s="9"/>
      <c r="Z21" s="519" t="s">
        <v>933</v>
      </c>
      <c r="AA21" s="520">
        <v>4.03890184699085E-3</v>
      </c>
      <c r="AB21" s="521">
        <v>0.01</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519" t="s">
        <v>934</v>
      </c>
      <c r="C22" s="520" t="s">
        <v>667</v>
      </c>
      <c r="D22" s="520" t="s">
        <v>934</v>
      </c>
      <c r="E22" s="521" t="s">
        <v>667</v>
      </c>
      <c r="F22" s="9"/>
      <c r="G22" s="519" t="s">
        <v>935</v>
      </c>
      <c r="H22" s="520" t="s">
        <v>936</v>
      </c>
      <c r="I22" s="520"/>
      <c r="J22" s="520"/>
      <c r="K22" s="520" t="s">
        <v>937</v>
      </c>
      <c r="L22" s="520"/>
      <c r="M22" s="520"/>
      <c r="N22" s="520"/>
      <c r="O22" s="521"/>
      <c r="P22" s="9"/>
      <c r="Q22" s="519" t="s">
        <v>938</v>
      </c>
      <c r="R22" s="520">
        <v>12</v>
      </c>
      <c r="S22" s="520">
        <v>12</v>
      </c>
      <c r="T22" s="520">
        <v>1</v>
      </c>
      <c r="U22" s="521">
        <v>1</v>
      </c>
      <c r="V22" s="9"/>
      <c r="W22" s="519" t="s">
        <v>939</v>
      </c>
      <c r="X22" s="521">
        <v>2016</v>
      </c>
      <c r="Y22" s="9"/>
      <c r="Z22" s="519" t="s">
        <v>940</v>
      </c>
      <c r="AA22" s="520">
        <v>26</v>
      </c>
      <c r="AB22" s="521">
        <v>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ht="13.5" thickBot="1">
      <c r="A23" s="9"/>
      <c r="B23" s="522" t="s">
        <v>941</v>
      </c>
      <c r="C23" s="523" t="s">
        <v>667</v>
      </c>
      <c r="D23" s="523" t="s">
        <v>941</v>
      </c>
      <c r="E23" s="524" t="s">
        <v>667</v>
      </c>
      <c r="F23" s="9"/>
      <c r="G23" s="519" t="s">
        <v>942</v>
      </c>
      <c r="H23" s="520" t="s">
        <v>943</v>
      </c>
      <c r="I23" s="520"/>
      <c r="J23" s="520"/>
      <c r="K23" s="520" t="s">
        <v>930</v>
      </c>
      <c r="L23" s="520"/>
      <c r="M23" s="520"/>
      <c r="N23" s="520"/>
      <c r="O23" s="521"/>
      <c r="P23" s="9"/>
      <c r="Q23" s="519"/>
      <c r="R23" s="520" t="s">
        <v>921</v>
      </c>
      <c r="S23" s="520" t="s">
        <v>922</v>
      </c>
      <c r="T23" s="520" t="s">
        <v>923</v>
      </c>
      <c r="U23" s="521" t="s">
        <v>924</v>
      </c>
      <c r="V23" s="9"/>
      <c r="W23" s="519" t="s">
        <v>944</v>
      </c>
      <c r="X23" s="521">
        <v>2012</v>
      </c>
      <c r="Y23" s="9"/>
      <c r="Z23" s="519" t="s">
        <v>945</v>
      </c>
      <c r="AA23" s="520">
        <v>0.9</v>
      </c>
      <c r="AB23" s="521" t="s">
        <v>946</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9"/>
      <c r="C24" s="9"/>
      <c r="D24" s="9"/>
      <c r="E24" s="9"/>
      <c r="F24" s="9"/>
      <c r="G24" s="519" t="s">
        <v>947</v>
      </c>
      <c r="H24" s="520" t="s">
        <v>936</v>
      </c>
      <c r="I24" s="520"/>
      <c r="J24" s="520"/>
      <c r="K24" s="520"/>
      <c r="L24" s="520"/>
      <c r="M24" s="520"/>
      <c r="N24" s="520"/>
      <c r="O24" s="521"/>
      <c r="P24" s="9"/>
      <c r="Q24" s="519" t="s">
        <v>948</v>
      </c>
      <c r="R24" s="520">
        <v>0.35</v>
      </c>
      <c r="S24" s="520">
        <v>0.19500000000000001</v>
      </c>
      <c r="T24" s="520">
        <v>0.45499999999999996</v>
      </c>
      <c r="U24" s="521">
        <v>0</v>
      </c>
      <c r="V24" s="9"/>
      <c r="W24" s="519" t="s">
        <v>949</v>
      </c>
      <c r="X24" s="521">
        <v>0.04</v>
      </c>
      <c r="Y24" s="9"/>
      <c r="Z24" s="519" t="s">
        <v>950</v>
      </c>
      <c r="AA24" s="520">
        <v>4.7399348199455904E-2</v>
      </c>
      <c r="AB24" s="521">
        <v>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c r="A25" s="9"/>
      <c r="B25" s="9" t="s">
        <v>951</v>
      </c>
      <c r="C25" s="9" t="s">
        <v>918</v>
      </c>
      <c r="D25" s="9"/>
      <c r="E25" s="9"/>
      <c r="F25" s="9"/>
      <c r="G25" s="519" t="s">
        <v>952</v>
      </c>
      <c r="H25" s="520" t="s">
        <v>953</v>
      </c>
      <c r="I25" s="520"/>
      <c r="J25" s="520"/>
      <c r="K25" s="520" t="s">
        <v>954</v>
      </c>
      <c r="L25" s="520"/>
      <c r="M25" s="520"/>
      <c r="N25" s="520"/>
      <c r="O25" s="521"/>
      <c r="P25" s="9"/>
      <c r="Q25" s="519" t="s">
        <v>955</v>
      </c>
      <c r="R25" s="520">
        <v>1</v>
      </c>
      <c r="S25" s="520">
        <v>0</v>
      </c>
      <c r="T25" s="520">
        <v>0</v>
      </c>
      <c r="U25" s="521">
        <v>0</v>
      </c>
      <c r="V25" s="9"/>
      <c r="W25" s="519" t="s">
        <v>956</v>
      </c>
      <c r="X25" s="521">
        <v>0</v>
      </c>
      <c r="Y25" s="9"/>
      <c r="Z25" s="519" t="s">
        <v>957</v>
      </c>
      <c r="AA25" s="520">
        <v>31</v>
      </c>
      <c r="AB25" s="521">
        <v>0</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t="s">
        <v>958</v>
      </c>
      <c r="C26" s="9" t="s">
        <v>959</v>
      </c>
      <c r="D26" s="9"/>
      <c r="E26" s="9"/>
      <c r="F26" s="9"/>
      <c r="G26" s="519" t="s">
        <v>960</v>
      </c>
      <c r="H26" s="520" t="s">
        <v>954</v>
      </c>
      <c r="I26" s="520"/>
      <c r="J26" s="520"/>
      <c r="K26" s="520" t="s">
        <v>961</v>
      </c>
      <c r="L26" s="520"/>
      <c r="M26" s="520"/>
      <c r="N26" s="520"/>
      <c r="O26" s="521"/>
      <c r="P26" s="9"/>
      <c r="Q26" s="519" t="s">
        <v>962</v>
      </c>
      <c r="R26" s="520">
        <v>1</v>
      </c>
      <c r="S26" s="520">
        <v>0</v>
      </c>
      <c r="T26" s="520">
        <v>0</v>
      </c>
      <c r="U26" s="521">
        <v>0</v>
      </c>
      <c r="V26" s="9"/>
      <c r="W26" s="519" t="s">
        <v>963</v>
      </c>
      <c r="X26" s="521">
        <v>0.2</v>
      </c>
      <c r="Y26" s="9"/>
      <c r="Z26" s="519" t="s">
        <v>964</v>
      </c>
      <c r="AA26" s="520">
        <v>0.7</v>
      </c>
      <c r="AB26" s="521" t="s">
        <v>946</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t="s">
        <v>965</v>
      </c>
      <c r="C27" s="9" t="s">
        <v>966</v>
      </c>
      <c r="D27" s="9"/>
      <c r="E27" s="9"/>
      <c r="F27" s="9"/>
      <c r="G27" s="519" t="s">
        <v>967</v>
      </c>
      <c r="H27" s="520" t="s">
        <v>961</v>
      </c>
      <c r="I27" s="520"/>
      <c r="J27" s="520"/>
      <c r="K27" s="520" t="s">
        <v>968</v>
      </c>
      <c r="L27" s="520"/>
      <c r="M27" s="520"/>
      <c r="N27" s="520"/>
      <c r="O27" s="521"/>
      <c r="P27" s="9"/>
      <c r="Q27" s="519" t="s">
        <v>969</v>
      </c>
      <c r="R27" s="520"/>
      <c r="S27" s="520">
        <v>0.3</v>
      </c>
      <c r="T27" s="520">
        <v>0.7</v>
      </c>
      <c r="U27" s="521">
        <v>0</v>
      </c>
      <c r="V27" s="9"/>
      <c r="W27" s="519" t="s">
        <v>970</v>
      </c>
      <c r="X27" s="521">
        <v>0</v>
      </c>
      <c r="Y27" s="9"/>
      <c r="Z27" s="519" t="s">
        <v>971</v>
      </c>
      <c r="AA27" s="520">
        <v>0</v>
      </c>
      <c r="AB27" s="521">
        <v>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ht="13.5" thickBot="1">
      <c r="A28" s="9"/>
      <c r="B28" s="9" t="s">
        <v>972</v>
      </c>
      <c r="C28" s="9" t="s">
        <v>973</v>
      </c>
      <c r="D28" s="9"/>
      <c r="E28" s="9"/>
      <c r="F28" s="9"/>
      <c r="G28" s="522" t="s">
        <v>974</v>
      </c>
      <c r="H28" s="523" t="s">
        <v>968</v>
      </c>
      <c r="I28" s="523"/>
      <c r="J28" s="523"/>
      <c r="K28" s="523"/>
      <c r="L28" s="523"/>
      <c r="M28" s="523"/>
      <c r="N28" s="523"/>
      <c r="O28" s="524"/>
      <c r="P28" s="9"/>
      <c r="Q28" s="522" t="s">
        <v>975</v>
      </c>
      <c r="R28" s="523"/>
      <c r="S28" s="523">
        <v>20</v>
      </c>
      <c r="T28" s="523"/>
      <c r="U28" s="524"/>
      <c r="V28" s="9"/>
      <c r="W28" s="522" t="s">
        <v>976</v>
      </c>
      <c r="X28" s="524">
        <v>2018</v>
      </c>
      <c r="Y28" s="9"/>
      <c r="Z28" s="522" t="s">
        <v>977</v>
      </c>
      <c r="AA28" s="523">
        <v>0</v>
      </c>
      <c r="AB28" s="524">
        <v>0</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ht="13.5" thickBot="1">
      <c r="A36" s="34" t="s">
        <v>978</v>
      </c>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ht="26.25" thickBot="1">
      <c r="A37" s="525" t="s">
        <v>979</v>
      </c>
      <c r="B37" s="526"/>
      <c r="C37" s="527" t="s">
        <v>980</v>
      </c>
      <c r="D37" s="528"/>
      <c r="E37" s="528"/>
      <c r="F37" s="528"/>
      <c r="G37" s="528"/>
      <c r="H37" s="528"/>
      <c r="I37" s="528"/>
      <c r="J37" s="528"/>
      <c r="K37" s="529"/>
      <c r="L37" s="527" t="s">
        <v>236</v>
      </c>
      <c r="M37" s="528"/>
      <c r="N37" s="528"/>
      <c r="O37" s="528"/>
      <c r="P37" s="528"/>
      <c r="Q37" s="529"/>
      <c r="R37" s="527" t="s">
        <v>981</v>
      </c>
      <c r="S37" s="528"/>
      <c r="T37" s="528"/>
      <c r="U37" s="529"/>
      <c r="V37" s="527" t="s">
        <v>982</v>
      </c>
      <c r="W37" s="528"/>
      <c r="X37" s="528"/>
      <c r="Y37" s="529"/>
      <c r="Z37" s="527" t="s">
        <v>983</v>
      </c>
      <c r="AA37" s="528"/>
      <c r="AB37" s="528"/>
      <c r="AC37" s="529"/>
      <c r="AD37" s="527" t="s">
        <v>984</v>
      </c>
      <c r="AE37" s="528"/>
      <c r="AF37" s="528"/>
      <c r="AG37" s="529"/>
      <c r="AH37" s="527" t="s">
        <v>985</v>
      </c>
      <c r="AI37" s="528"/>
      <c r="AJ37" s="528"/>
      <c r="AK37" s="528"/>
      <c r="AL37" s="529"/>
      <c r="AM37" s="527" t="s">
        <v>986</v>
      </c>
      <c r="AN37" s="528"/>
      <c r="AO37" s="528"/>
      <c r="AP37" s="528"/>
      <c r="AQ37" s="528"/>
      <c r="AR37" s="528"/>
      <c r="AS37" s="529"/>
      <c r="AT37" s="527" t="s">
        <v>987</v>
      </c>
      <c r="AU37" s="528"/>
      <c r="AV37" s="528"/>
      <c r="AW37" s="528"/>
      <c r="AX37" s="528"/>
      <c r="AY37" s="528"/>
      <c r="AZ37" s="529"/>
      <c r="BA37" s="527" t="s">
        <v>988</v>
      </c>
      <c r="BB37" s="528"/>
      <c r="BC37" s="528"/>
      <c r="BD37" s="528"/>
      <c r="BE37" s="528"/>
      <c r="BF37" s="529"/>
      <c r="BG37" s="527" t="s">
        <v>989</v>
      </c>
      <c r="BH37" s="529"/>
      <c r="BI37" s="527" t="s">
        <v>990</v>
      </c>
      <c r="BJ37" s="528"/>
      <c r="BK37" s="528"/>
      <c r="BL37" s="528"/>
      <c r="BM37" s="529"/>
      <c r="BN37" s="527" t="s">
        <v>991</v>
      </c>
      <c r="BO37" s="528"/>
      <c r="BP37" s="528"/>
      <c r="BQ37" s="528"/>
      <c r="BR37" s="528"/>
      <c r="BS37" s="528"/>
      <c r="BT37" s="528"/>
      <c r="BU37" s="528"/>
      <c r="BV37" s="528"/>
      <c r="BW37" s="528"/>
      <c r="BX37" s="528"/>
      <c r="BY37" s="528"/>
      <c r="BZ37" s="528"/>
      <c r="CA37" s="528"/>
      <c r="CB37" s="528"/>
      <c r="CC37" s="529"/>
      <c r="CD37" s="527" t="s">
        <v>992</v>
      </c>
      <c r="CE37" s="529"/>
      <c r="CF37" s="527" t="s">
        <v>993</v>
      </c>
      <c r="CG37" s="528"/>
      <c r="CH37" s="528"/>
      <c r="CI37" s="528"/>
      <c r="CJ37" s="528"/>
      <c r="CK37" s="529"/>
      <c r="CL37" s="530"/>
      <c r="CM37" s="527" t="s">
        <v>5</v>
      </c>
      <c r="CN37" s="528"/>
      <c r="CO37" s="528"/>
      <c r="CP37" s="529"/>
      <c r="CQ37" s="527" t="s">
        <v>994</v>
      </c>
      <c r="CR37" s="528"/>
      <c r="CS37" s="528"/>
      <c r="CT37" s="528"/>
      <c r="CU37" s="529"/>
      <c r="CV37" s="527" t="s">
        <v>995</v>
      </c>
      <c r="CW37" s="52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204">
      <c r="A38" s="544" t="s">
        <v>21</v>
      </c>
      <c r="B38" s="37" t="s">
        <v>22</v>
      </c>
      <c r="C38" s="38" t="s">
        <v>808</v>
      </c>
      <c r="D38" s="38" t="s">
        <v>996</v>
      </c>
      <c r="E38" s="38" t="s">
        <v>997</v>
      </c>
      <c r="F38" s="38" t="s">
        <v>998</v>
      </c>
      <c r="G38" s="38" t="s">
        <v>999</v>
      </c>
      <c r="H38" s="38" t="s">
        <v>1000</v>
      </c>
      <c r="I38" s="38" t="s">
        <v>1001</v>
      </c>
      <c r="J38" s="38" t="s">
        <v>1002</v>
      </c>
      <c r="K38" s="38" t="s">
        <v>1003</v>
      </c>
      <c r="L38" s="38" t="s">
        <v>1004</v>
      </c>
      <c r="M38" s="38" t="s">
        <v>1005</v>
      </c>
      <c r="N38" s="38" t="s">
        <v>1006</v>
      </c>
      <c r="O38" s="38" t="s">
        <v>1007</v>
      </c>
      <c r="P38" s="38" t="s">
        <v>1008</v>
      </c>
      <c r="Q38" s="38" t="s">
        <v>1009</v>
      </c>
      <c r="R38" s="38" t="s">
        <v>1010</v>
      </c>
      <c r="S38" s="38" t="s">
        <v>1011</v>
      </c>
      <c r="T38" s="38" t="s">
        <v>1012</v>
      </c>
      <c r="U38" s="38" t="s">
        <v>921</v>
      </c>
      <c r="V38" s="38" t="s">
        <v>1010</v>
      </c>
      <c r="W38" s="38" t="s">
        <v>1011</v>
      </c>
      <c r="X38" s="38" t="s">
        <v>1012</v>
      </c>
      <c r="Y38" s="38" t="s">
        <v>921</v>
      </c>
      <c r="Z38" s="38" t="s">
        <v>1010</v>
      </c>
      <c r="AA38" s="38" t="s">
        <v>1011</v>
      </c>
      <c r="AB38" s="38" t="s">
        <v>1012</v>
      </c>
      <c r="AC38" s="38" t="s">
        <v>921</v>
      </c>
      <c r="AD38" s="38" t="s">
        <v>1010</v>
      </c>
      <c r="AE38" s="38" t="s">
        <v>1011</v>
      </c>
      <c r="AF38" s="38" t="s">
        <v>1012</v>
      </c>
      <c r="AG38" s="38" t="s">
        <v>921</v>
      </c>
      <c r="AH38" s="38" t="s">
        <v>1010</v>
      </c>
      <c r="AI38" s="38" t="s">
        <v>1011</v>
      </c>
      <c r="AJ38" s="38" t="s">
        <v>1012</v>
      </c>
      <c r="AK38" s="38" t="s">
        <v>921</v>
      </c>
      <c r="AL38" s="38" t="s">
        <v>358</v>
      </c>
      <c r="AM38" s="38" t="s">
        <v>1013</v>
      </c>
      <c r="AN38" s="38" t="s">
        <v>1014</v>
      </c>
      <c r="AO38" s="38" t="s">
        <v>1015</v>
      </c>
      <c r="AP38" s="38" t="s">
        <v>1016</v>
      </c>
      <c r="AQ38" s="38" t="s">
        <v>1017</v>
      </c>
      <c r="AR38" s="38" t="s">
        <v>1018</v>
      </c>
      <c r="AS38" s="38" t="s">
        <v>1019</v>
      </c>
      <c r="AT38" s="38" t="s">
        <v>1020</v>
      </c>
      <c r="AU38" s="38" t="s">
        <v>1021</v>
      </c>
      <c r="AV38" s="38" t="s">
        <v>1022</v>
      </c>
      <c r="AW38" s="38" t="s">
        <v>1023</v>
      </c>
      <c r="AX38" s="38" t="s">
        <v>1024</v>
      </c>
      <c r="AY38" s="38" t="s">
        <v>1025</v>
      </c>
      <c r="AZ38" s="38" t="s">
        <v>1026</v>
      </c>
      <c r="BA38" s="38" t="s">
        <v>1027</v>
      </c>
      <c r="BB38" s="38" t="s">
        <v>1028</v>
      </c>
      <c r="BC38" s="38" t="s">
        <v>1029</v>
      </c>
      <c r="BD38" s="38" t="s">
        <v>1030</v>
      </c>
      <c r="BE38" s="38" t="s">
        <v>1031</v>
      </c>
      <c r="BF38" s="38" t="s">
        <v>1032</v>
      </c>
      <c r="BG38" s="38" t="s">
        <v>1033</v>
      </c>
      <c r="BH38" s="38" t="s">
        <v>1034</v>
      </c>
      <c r="BI38" s="38" t="s">
        <v>1035</v>
      </c>
      <c r="BJ38" s="38" t="s">
        <v>1036</v>
      </c>
      <c r="BK38" s="38" t="s">
        <v>1037</v>
      </c>
      <c r="BL38" s="38" t="s">
        <v>1038</v>
      </c>
      <c r="BM38" s="38" t="s">
        <v>1039</v>
      </c>
      <c r="BN38" s="38" t="s">
        <v>1040</v>
      </c>
      <c r="BO38" s="38" t="s">
        <v>1041</v>
      </c>
      <c r="BP38" s="38" t="s">
        <v>1042</v>
      </c>
      <c r="BQ38" s="38" t="s">
        <v>1043</v>
      </c>
      <c r="BR38" s="38" t="s">
        <v>1044</v>
      </c>
      <c r="BS38" s="38" t="s">
        <v>1045</v>
      </c>
      <c r="BT38" s="38" t="s">
        <v>1046</v>
      </c>
      <c r="BU38" s="38" t="s">
        <v>1047</v>
      </c>
      <c r="BV38" s="38" t="s">
        <v>1048</v>
      </c>
      <c r="BW38" s="38" t="s">
        <v>1049</v>
      </c>
      <c r="BX38" s="38" t="s">
        <v>1050</v>
      </c>
      <c r="BY38" s="38" t="s">
        <v>1051</v>
      </c>
      <c r="BZ38" s="38" t="s">
        <v>1052</v>
      </c>
      <c r="CA38" s="38" t="s">
        <v>1053</v>
      </c>
      <c r="CB38" s="38" t="s">
        <v>1054</v>
      </c>
      <c r="CC38" s="38" t="s">
        <v>1055</v>
      </c>
      <c r="CD38" s="38" t="s">
        <v>23</v>
      </c>
      <c r="CE38" s="38" t="s">
        <v>24</v>
      </c>
      <c r="CF38" s="38" t="s">
        <v>1056</v>
      </c>
      <c r="CG38" s="38" t="s">
        <v>1057</v>
      </c>
      <c r="CH38" s="38" t="s">
        <v>1058</v>
      </c>
      <c r="CI38" s="38" t="s">
        <v>1059</v>
      </c>
      <c r="CJ38" s="38" t="s">
        <v>1060</v>
      </c>
      <c r="CK38" s="38" t="s">
        <v>1061</v>
      </c>
      <c r="CL38" s="38"/>
      <c r="CM38" s="38" t="s">
        <v>1062</v>
      </c>
      <c r="CN38" s="38" t="s">
        <v>1063</v>
      </c>
      <c r="CO38" s="38" t="s">
        <v>1064</v>
      </c>
      <c r="CP38" s="38" t="s">
        <v>1065</v>
      </c>
      <c r="CQ38" s="38" t="s">
        <v>1066</v>
      </c>
      <c r="CR38" s="38" t="s">
        <v>1067</v>
      </c>
      <c r="CS38" s="38" t="s">
        <v>1068</v>
      </c>
      <c r="CT38" s="38" t="s">
        <v>1069</v>
      </c>
      <c r="CU38" s="38" t="s">
        <v>1070</v>
      </c>
      <c r="CV38" s="38" t="s">
        <v>1071</v>
      </c>
      <c r="CW38" s="531" t="s">
        <v>1072</v>
      </c>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t="s">
        <v>793</v>
      </c>
      <c r="B39" s="9" t="s">
        <v>793</v>
      </c>
      <c r="C39" s="36">
        <v>5</v>
      </c>
      <c r="D39" s="36">
        <v>30</v>
      </c>
      <c r="E39" s="36">
        <v>0</v>
      </c>
      <c r="F39" s="36">
        <v>32.481666666666662</v>
      </c>
      <c r="G39" s="36">
        <v>0</v>
      </c>
      <c r="H39" s="36">
        <v>0</v>
      </c>
      <c r="I39" s="36" t="s">
        <v>905</v>
      </c>
      <c r="J39" s="36"/>
      <c r="K39" s="36"/>
      <c r="L39" s="36">
        <v>32.182599808073434</v>
      </c>
      <c r="M39" s="36">
        <v>5.0504779360920479E-3</v>
      </c>
      <c r="N39" s="36">
        <v>5.0140258512037308E-3</v>
      </c>
      <c r="O39" s="36">
        <v>0</v>
      </c>
      <c r="P39" s="36">
        <v>0</v>
      </c>
      <c r="Q39" s="36">
        <v>0</v>
      </c>
      <c r="R39" s="36">
        <v>6.4772782397480571</v>
      </c>
      <c r="S39" s="36">
        <v>14.968004823598868</v>
      </c>
      <c r="T39" s="36">
        <v>0</v>
      </c>
      <c r="U39" s="36">
        <v>79.453939576611262</v>
      </c>
      <c r="V39" s="36" t="s">
        <v>1073</v>
      </c>
      <c r="W39" s="36" t="s">
        <v>1073</v>
      </c>
      <c r="X39" s="36" t="s">
        <v>1073</v>
      </c>
      <c r="Y39" s="36" t="s">
        <v>1073</v>
      </c>
      <c r="Z39" s="36">
        <v>0</v>
      </c>
      <c r="AA39" s="36">
        <v>0</v>
      </c>
      <c r="AB39" s="36">
        <v>0</v>
      </c>
      <c r="AC39" s="36">
        <v>0</v>
      </c>
      <c r="AD39" s="36">
        <v>0</v>
      </c>
      <c r="AE39" s="36">
        <v>0</v>
      </c>
      <c r="AF39" s="36">
        <v>0</v>
      </c>
      <c r="AG39" s="36">
        <v>0</v>
      </c>
      <c r="AH39" s="36">
        <v>6.4772782397480571</v>
      </c>
      <c r="AI39" s="36">
        <v>14.968004823598868</v>
      </c>
      <c r="AJ39" s="36">
        <v>0</v>
      </c>
      <c r="AK39" s="36">
        <v>79.453939576611262</v>
      </c>
      <c r="AL39" s="36">
        <v>100.89922263995818</v>
      </c>
      <c r="AM39" s="36">
        <v>16.175183416534278</v>
      </c>
      <c r="AN39" s="36">
        <v>1.7845787270882938</v>
      </c>
      <c r="AO39" s="36">
        <v>0</v>
      </c>
      <c r="AP39" s="36">
        <v>0</v>
      </c>
      <c r="AQ39" s="36">
        <v>17.959762143622573</v>
      </c>
      <c r="AR39" s="36">
        <v>6.4772782397480571</v>
      </c>
      <c r="AS39" s="39">
        <v>2.7727328484071951</v>
      </c>
      <c r="AT39" s="36">
        <v>16.175183416534278</v>
      </c>
      <c r="AU39" s="36">
        <v>2.1124096762188556</v>
      </c>
      <c r="AV39" s="36">
        <v>0</v>
      </c>
      <c r="AW39" s="36">
        <v>0</v>
      </c>
      <c r="AX39" s="36">
        <v>18.287593092753134</v>
      </c>
      <c r="AY39" s="36">
        <v>14.968004823598868</v>
      </c>
      <c r="AZ39" s="39">
        <v>1.2217789417010698</v>
      </c>
      <c r="BA39" s="36">
        <v>16.175183416534278</v>
      </c>
      <c r="BB39" s="36">
        <v>3.8969884033071494</v>
      </c>
      <c r="BC39" s="36">
        <v>0</v>
      </c>
      <c r="BD39" s="36">
        <v>0</v>
      </c>
      <c r="BE39" s="36">
        <v>20.072171819841429</v>
      </c>
      <c r="BF39" s="36">
        <v>21.445283063346924</v>
      </c>
      <c r="BG39" s="36">
        <v>40.122123261288984</v>
      </c>
      <c r="BH39" s="532">
        <v>0.93597140968251713</v>
      </c>
      <c r="BI39" s="36">
        <v>14.80953910151902</v>
      </c>
      <c r="BJ39" s="36">
        <v>34.222592345428545</v>
      </c>
      <c r="BK39" s="36">
        <v>0</v>
      </c>
      <c r="BL39" s="36">
        <v>181.66213977173885</v>
      </c>
      <c r="BM39" s="36">
        <v>230.69427121868642</v>
      </c>
      <c r="BN39" s="36">
        <v>16.175183416534278</v>
      </c>
      <c r="BO39" s="36">
        <v>0</v>
      </c>
      <c r="BP39" s="36">
        <v>3.8969884033071494</v>
      </c>
      <c r="BQ39" s="36">
        <v>0</v>
      </c>
      <c r="BR39" s="36">
        <v>0</v>
      </c>
      <c r="BS39" s="36">
        <v>0</v>
      </c>
      <c r="BT39" s="36">
        <v>0</v>
      </c>
      <c r="BU39" s="36">
        <v>0</v>
      </c>
      <c r="BV39" s="36">
        <v>0</v>
      </c>
      <c r="BW39" s="36">
        <v>0</v>
      </c>
      <c r="BX39" s="36">
        <v>100.89922263995818</v>
      </c>
      <c r="BY39" s="36"/>
      <c r="BZ39" s="36">
        <v>0</v>
      </c>
      <c r="CA39" s="36">
        <v>0</v>
      </c>
      <c r="CB39" s="36">
        <v>20.072171819841429</v>
      </c>
      <c r="CC39" s="36">
        <v>100.89922263995818</v>
      </c>
      <c r="CD39" s="532">
        <v>0.19893286880381211</v>
      </c>
      <c r="CE39" s="36">
        <v>221.78426303302783</v>
      </c>
      <c r="CF39" s="36">
        <v>0.30574060656240026</v>
      </c>
      <c r="CG39" s="36">
        <v>0</v>
      </c>
      <c r="CH39" s="36">
        <v>0.30574060656240026</v>
      </c>
      <c r="CI39" s="36">
        <v>1.528673490883488E-2</v>
      </c>
      <c r="CJ39" s="36">
        <v>0</v>
      </c>
      <c r="CK39" s="36">
        <v>1.528673490883488E-2</v>
      </c>
      <c r="CL39" s="36"/>
      <c r="CM39" s="36">
        <v>0</v>
      </c>
      <c r="CN39" s="36"/>
      <c r="CO39" s="36">
        <v>0</v>
      </c>
      <c r="CP39" s="36">
        <v>0</v>
      </c>
      <c r="CQ39" s="36">
        <v>0</v>
      </c>
      <c r="CR39" s="36">
        <v>0</v>
      </c>
      <c r="CS39" s="36">
        <v>0</v>
      </c>
      <c r="CT39" s="36">
        <v>0</v>
      </c>
      <c r="CU39" s="36">
        <v>0</v>
      </c>
      <c r="CV39" s="36">
        <v>9999</v>
      </c>
      <c r="CW39" s="39">
        <v>9999</v>
      </c>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c r="A40" s="9" t="s">
        <v>794</v>
      </c>
      <c r="B40" s="9" t="s">
        <v>794</v>
      </c>
      <c r="C40" s="36">
        <v>5</v>
      </c>
      <c r="D40" s="36">
        <v>40</v>
      </c>
      <c r="E40" s="36">
        <v>0</v>
      </c>
      <c r="F40" s="36">
        <v>0</v>
      </c>
      <c r="G40" s="36">
        <v>0</v>
      </c>
      <c r="H40" s="36">
        <v>0</v>
      </c>
      <c r="I40" s="36" t="s">
        <v>905</v>
      </c>
      <c r="J40" s="36"/>
      <c r="K40" s="36"/>
      <c r="L40" s="36">
        <v>42.910133077431247</v>
      </c>
      <c r="M40" s="36">
        <v>6.7339705814560636E-3</v>
      </c>
      <c r="N40" s="36">
        <v>6.6853678016049745E-3</v>
      </c>
      <c r="O40" s="36">
        <v>0</v>
      </c>
      <c r="P40" s="36">
        <v>0</v>
      </c>
      <c r="Q40" s="36">
        <v>0</v>
      </c>
      <c r="R40" s="36">
        <v>0</v>
      </c>
      <c r="S40" s="36">
        <v>0</v>
      </c>
      <c r="T40" s="36">
        <v>0</v>
      </c>
      <c r="U40" s="36">
        <v>0</v>
      </c>
      <c r="V40" s="36" t="s">
        <v>1073</v>
      </c>
      <c r="W40" s="36" t="s">
        <v>1073</v>
      </c>
      <c r="X40" s="36" t="s">
        <v>1073</v>
      </c>
      <c r="Y40" s="36" t="s">
        <v>1073</v>
      </c>
      <c r="Z40" s="36">
        <v>0</v>
      </c>
      <c r="AA40" s="36">
        <v>0</v>
      </c>
      <c r="AB40" s="36">
        <v>0</v>
      </c>
      <c r="AC40" s="36">
        <v>0</v>
      </c>
      <c r="AD40" s="36">
        <v>0</v>
      </c>
      <c r="AE40" s="36">
        <v>0</v>
      </c>
      <c r="AF40" s="36">
        <v>0</v>
      </c>
      <c r="AG40" s="36">
        <v>0</v>
      </c>
      <c r="AH40" s="36">
        <v>0</v>
      </c>
      <c r="AI40" s="36">
        <v>0</v>
      </c>
      <c r="AJ40" s="36">
        <v>0</v>
      </c>
      <c r="AK40" s="36">
        <v>0</v>
      </c>
      <c r="AL40" s="36">
        <v>0</v>
      </c>
      <c r="AM40" s="36">
        <v>21.566911222045714</v>
      </c>
      <c r="AN40" s="36">
        <v>2.3794383027843917</v>
      </c>
      <c r="AO40" s="36">
        <v>0</v>
      </c>
      <c r="AP40" s="36">
        <v>0</v>
      </c>
      <c r="AQ40" s="36">
        <v>23.946349524830104</v>
      </c>
      <c r="AR40" s="36">
        <v>0</v>
      </c>
      <c r="AS40" s="39">
        <v>9999</v>
      </c>
      <c r="AT40" s="36">
        <v>21.566911222045714</v>
      </c>
      <c r="AU40" s="36">
        <v>2.8165462349584738</v>
      </c>
      <c r="AV40" s="36">
        <v>0</v>
      </c>
      <c r="AW40" s="36">
        <v>0</v>
      </c>
      <c r="AX40" s="36">
        <v>24.383457457004187</v>
      </c>
      <c r="AY40" s="36">
        <v>0</v>
      </c>
      <c r="AZ40" s="39">
        <v>9999</v>
      </c>
      <c r="BA40" s="36">
        <v>21.566911222045714</v>
      </c>
      <c r="BB40" s="36">
        <v>5.1959845377428655</v>
      </c>
      <c r="BC40" s="36">
        <v>0</v>
      </c>
      <c r="BD40" s="36">
        <v>0</v>
      </c>
      <c r="BE40" s="36">
        <v>26.762895759788577</v>
      </c>
      <c r="BF40" s="36">
        <v>0</v>
      </c>
      <c r="BG40" s="36">
        <v>-8.9100081856585778</v>
      </c>
      <c r="BH40" s="39">
        <v>9999</v>
      </c>
      <c r="BI40" s="36">
        <v>0</v>
      </c>
      <c r="BJ40" s="36">
        <v>0</v>
      </c>
      <c r="BK40" s="36">
        <v>0</v>
      </c>
      <c r="BL40" s="36">
        <v>0</v>
      </c>
      <c r="BM40" s="36">
        <v>0</v>
      </c>
      <c r="BN40" s="36">
        <v>21.566911222045714</v>
      </c>
      <c r="BO40" s="36">
        <v>0</v>
      </c>
      <c r="BP40" s="36">
        <v>5.1959845377428655</v>
      </c>
      <c r="BQ40" s="36">
        <v>0</v>
      </c>
      <c r="BR40" s="36">
        <v>0</v>
      </c>
      <c r="BS40" s="36">
        <v>0</v>
      </c>
      <c r="BT40" s="36">
        <v>0</v>
      </c>
      <c r="BU40" s="36">
        <v>0</v>
      </c>
      <c r="BV40" s="36">
        <v>0</v>
      </c>
      <c r="BW40" s="36">
        <v>0</v>
      </c>
      <c r="BX40" s="36">
        <v>0</v>
      </c>
      <c r="BY40" s="36"/>
      <c r="BZ40" s="36">
        <v>0</v>
      </c>
      <c r="CA40" s="36">
        <v>0</v>
      </c>
      <c r="CB40" s="36">
        <v>26.762895759788577</v>
      </c>
      <c r="CC40" s="36">
        <v>0</v>
      </c>
      <c r="CD40" s="39">
        <v>9999</v>
      </c>
      <c r="CE40" s="36">
        <v>-8.9100081856585778</v>
      </c>
      <c r="CF40" s="36">
        <v>0.40765414208319989</v>
      </c>
      <c r="CG40" s="36">
        <v>0</v>
      </c>
      <c r="CH40" s="36">
        <v>0.40765414208319989</v>
      </c>
      <c r="CI40" s="36">
        <v>2.0382313211779843E-2</v>
      </c>
      <c r="CJ40" s="36">
        <v>0</v>
      </c>
      <c r="CK40" s="36">
        <v>2.0382313211779843E-2</v>
      </c>
      <c r="CL40" s="36"/>
      <c r="CM40" s="36">
        <v>0</v>
      </c>
      <c r="CN40" s="36"/>
      <c r="CO40" s="36">
        <v>0</v>
      </c>
      <c r="CP40" s="36">
        <v>0</v>
      </c>
      <c r="CQ40" s="36">
        <v>0</v>
      </c>
      <c r="CR40" s="36">
        <v>0</v>
      </c>
      <c r="CS40" s="36">
        <v>0</v>
      </c>
      <c r="CT40" s="36">
        <v>0</v>
      </c>
      <c r="CU40" s="36">
        <v>0</v>
      </c>
      <c r="CV40" s="36">
        <v>9999</v>
      </c>
      <c r="CW40" s="39">
        <v>9999</v>
      </c>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t="s">
        <v>795</v>
      </c>
      <c r="B41" s="9" t="s">
        <v>795</v>
      </c>
      <c r="C41" s="36">
        <v>5</v>
      </c>
      <c r="D41" s="36">
        <v>250</v>
      </c>
      <c r="E41" s="36">
        <v>0</v>
      </c>
      <c r="F41" s="36">
        <v>64.97999999999999</v>
      </c>
      <c r="G41" s="36">
        <v>0</v>
      </c>
      <c r="H41" s="36">
        <v>0</v>
      </c>
      <c r="I41" s="36" t="s">
        <v>906</v>
      </c>
      <c r="J41" s="36"/>
      <c r="K41" s="36"/>
      <c r="L41" s="36">
        <v>268.66551402974153</v>
      </c>
      <c r="M41" s="36">
        <v>5.7649420572911621E-2</v>
      </c>
      <c r="N41" s="36">
        <v>5.7233332907728786E-2</v>
      </c>
      <c r="O41" s="36">
        <v>0</v>
      </c>
      <c r="P41" s="36">
        <v>0</v>
      </c>
      <c r="Q41" s="36">
        <v>0</v>
      </c>
      <c r="R41" s="36">
        <v>12.957880035471149</v>
      </c>
      <c r="S41" s="36">
        <v>29.943689879546032</v>
      </c>
      <c r="T41" s="36">
        <v>0</v>
      </c>
      <c r="U41" s="36">
        <v>158.94864776093797</v>
      </c>
      <c r="V41" s="36" t="s">
        <v>1073</v>
      </c>
      <c r="W41" s="36" t="s">
        <v>1073</v>
      </c>
      <c r="X41" s="36" t="s">
        <v>1073</v>
      </c>
      <c r="Y41" s="36" t="s">
        <v>1073</v>
      </c>
      <c r="Z41" s="36">
        <v>0</v>
      </c>
      <c r="AA41" s="36">
        <v>0</v>
      </c>
      <c r="AB41" s="36">
        <v>0</v>
      </c>
      <c r="AC41" s="36">
        <v>0</v>
      </c>
      <c r="AD41" s="36">
        <v>0</v>
      </c>
      <c r="AE41" s="36">
        <v>0</v>
      </c>
      <c r="AF41" s="36">
        <v>0</v>
      </c>
      <c r="AG41" s="36">
        <v>0</v>
      </c>
      <c r="AH41" s="36">
        <v>12.957880035471149</v>
      </c>
      <c r="AI41" s="36">
        <v>29.943689879546032</v>
      </c>
      <c r="AJ41" s="36">
        <v>0</v>
      </c>
      <c r="AK41" s="36">
        <v>158.94864776093797</v>
      </c>
      <c r="AL41" s="36">
        <v>201.85021767595515</v>
      </c>
      <c r="AM41" s="36">
        <v>138.49065462701418</v>
      </c>
      <c r="AN41" s="36">
        <v>20.37033541878823</v>
      </c>
      <c r="AO41" s="36">
        <v>0</v>
      </c>
      <c r="AP41" s="36">
        <v>0</v>
      </c>
      <c r="AQ41" s="36">
        <v>158.8609900458024</v>
      </c>
      <c r="AR41" s="36">
        <v>12.957880035471149</v>
      </c>
      <c r="AS41" s="39">
        <v>12.259797869013548</v>
      </c>
      <c r="AT41" s="36">
        <v>138.49065462701418</v>
      </c>
      <c r="AU41" s="36">
        <v>24.112409832812585</v>
      </c>
      <c r="AV41" s="36">
        <v>0</v>
      </c>
      <c r="AW41" s="36">
        <v>0</v>
      </c>
      <c r="AX41" s="36">
        <v>162.60306445982675</v>
      </c>
      <c r="AY41" s="36">
        <v>29.943689879546032</v>
      </c>
      <c r="AZ41" s="39">
        <v>5.4302948338674133</v>
      </c>
      <c r="BA41" s="36">
        <v>138.49065462701418</v>
      </c>
      <c r="BB41" s="36">
        <v>44.482745251600818</v>
      </c>
      <c r="BC41" s="36">
        <v>0</v>
      </c>
      <c r="BD41" s="36">
        <v>0</v>
      </c>
      <c r="BE41" s="36">
        <v>182.973399878615</v>
      </c>
      <c r="BF41" s="36">
        <v>42.901569915017177</v>
      </c>
      <c r="BG41" s="36">
        <v>-0.433050178629936</v>
      </c>
      <c r="BH41" s="39">
        <v>4.2649581411837181</v>
      </c>
      <c r="BI41" s="36">
        <v>3.5488867895892771</v>
      </c>
      <c r="BJ41" s="36">
        <v>8.2009375881071875</v>
      </c>
      <c r="BK41" s="36">
        <v>0</v>
      </c>
      <c r="BL41" s="36">
        <v>43.532642277727469</v>
      </c>
      <c r="BM41" s="36">
        <v>55.282466655423931</v>
      </c>
      <c r="BN41" s="36">
        <v>138.49065462701418</v>
      </c>
      <c r="BO41" s="36">
        <v>0</v>
      </c>
      <c r="BP41" s="36">
        <v>44.482745251600818</v>
      </c>
      <c r="BQ41" s="36">
        <v>0</v>
      </c>
      <c r="BR41" s="36">
        <v>0</v>
      </c>
      <c r="BS41" s="36">
        <v>0</v>
      </c>
      <c r="BT41" s="36">
        <v>0</v>
      </c>
      <c r="BU41" s="36">
        <v>0</v>
      </c>
      <c r="BV41" s="36">
        <v>0</v>
      </c>
      <c r="BW41" s="36">
        <v>0</v>
      </c>
      <c r="BX41" s="36">
        <v>201.85021767595515</v>
      </c>
      <c r="BY41" s="36"/>
      <c r="BZ41" s="36">
        <v>0</v>
      </c>
      <c r="CA41" s="36">
        <v>0</v>
      </c>
      <c r="CB41" s="36">
        <v>182.97339987861497</v>
      </c>
      <c r="CC41" s="36">
        <v>201.85021767595515</v>
      </c>
      <c r="CD41" s="532">
        <v>0.90648106296499265</v>
      </c>
      <c r="CE41" s="36">
        <v>43.099592099097542</v>
      </c>
      <c r="CF41" s="36">
        <v>2.5523382684832088</v>
      </c>
      <c r="CG41" s="36">
        <v>0</v>
      </c>
      <c r="CH41" s="36">
        <v>2.5523382684832088</v>
      </c>
      <c r="CI41" s="36">
        <v>0.12761611916412724</v>
      </c>
      <c r="CJ41" s="36">
        <v>0</v>
      </c>
      <c r="CK41" s="36">
        <v>0.12761611916412724</v>
      </c>
      <c r="CL41" s="36"/>
      <c r="CM41" s="36">
        <v>0</v>
      </c>
      <c r="CN41" s="36"/>
      <c r="CO41" s="36">
        <v>0</v>
      </c>
      <c r="CP41" s="36">
        <v>0</v>
      </c>
      <c r="CQ41" s="36">
        <v>0</v>
      </c>
      <c r="CR41" s="36">
        <v>0</v>
      </c>
      <c r="CS41" s="36">
        <v>0</v>
      </c>
      <c r="CT41" s="36">
        <v>0</v>
      </c>
      <c r="CU41" s="36">
        <v>0</v>
      </c>
      <c r="CV41" s="36">
        <v>9999</v>
      </c>
      <c r="CW41" s="39">
        <v>9999</v>
      </c>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c r="B42" s="9"/>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c r="B43" s="9"/>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ht="13.5" thickBot="1">
      <c r="A44" s="34" t="s">
        <v>1074</v>
      </c>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ht="26.25" thickBot="1">
      <c r="A45" s="525" t="s">
        <v>979</v>
      </c>
      <c r="B45" s="526"/>
      <c r="C45" s="527" t="s">
        <v>980</v>
      </c>
      <c r="D45" s="528"/>
      <c r="E45" s="528"/>
      <c r="F45" s="528"/>
      <c r="G45" s="528"/>
      <c r="H45" s="528"/>
      <c r="I45" s="528"/>
      <c r="J45" s="528"/>
      <c r="K45" s="529"/>
      <c r="L45" s="527" t="s">
        <v>236</v>
      </c>
      <c r="M45" s="528"/>
      <c r="N45" s="528"/>
      <c r="O45" s="528"/>
      <c r="P45" s="528"/>
      <c r="Q45" s="529"/>
      <c r="R45" s="527" t="s">
        <v>981</v>
      </c>
      <c r="S45" s="528"/>
      <c r="T45" s="528"/>
      <c r="U45" s="529"/>
      <c r="V45" s="527" t="s">
        <v>982</v>
      </c>
      <c r="W45" s="528"/>
      <c r="X45" s="528"/>
      <c r="Y45" s="529"/>
      <c r="Z45" s="527" t="s">
        <v>983</v>
      </c>
      <c r="AA45" s="528"/>
      <c r="AB45" s="528"/>
      <c r="AC45" s="529"/>
      <c r="AD45" s="527" t="s">
        <v>984</v>
      </c>
      <c r="AE45" s="528"/>
      <c r="AF45" s="528"/>
      <c r="AG45" s="529"/>
      <c r="AH45" s="527" t="s">
        <v>985</v>
      </c>
      <c r="AI45" s="528"/>
      <c r="AJ45" s="528"/>
      <c r="AK45" s="528"/>
      <c r="AL45" s="529"/>
      <c r="AM45" s="527" t="s">
        <v>986</v>
      </c>
      <c r="AN45" s="528"/>
      <c r="AO45" s="528"/>
      <c r="AP45" s="528"/>
      <c r="AQ45" s="528"/>
      <c r="AR45" s="528"/>
      <c r="AS45" s="529"/>
      <c r="AT45" s="527" t="s">
        <v>987</v>
      </c>
      <c r="AU45" s="528"/>
      <c r="AV45" s="528"/>
      <c r="AW45" s="528"/>
      <c r="AX45" s="528"/>
      <c r="AY45" s="528"/>
      <c r="AZ45" s="529"/>
      <c r="BA45" s="527" t="s">
        <v>988</v>
      </c>
      <c r="BB45" s="528"/>
      <c r="BC45" s="528"/>
      <c r="BD45" s="528"/>
      <c r="BE45" s="528"/>
      <c r="BF45" s="529"/>
      <c r="BG45" s="527" t="s">
        <v>989</v>
      </c>
      <c r="BH45" s="529"/>
      <c r="BI45" s="527" t="s">
        <v>990</v>
      </c>
      <c r="BJ45" s="528"/>
      <c r="BK45" s="528"/>
      <c r="BL45" s="528"/>
      <c r="BM45" s="529"/>
      <c r="BN45" s="527" t="s">
        <v>991</v>
      </c>
      <c r="BO45" s="528"/>
      <c r="BP45" s="528"/>
      <c r="BQ45" s="528"/>
      <c r="BR45" s="528"/>
      <c r="BS45" s="528"/>
      <c r="BT45" s="528"/>
      <c r="BU45" s="528"/>
      <c r="BV45" s="528"/>
      <c r="BW45" s="528"/>
      <c r="BX45" s="528"/>
      <c r="BY45" s="528"/>
      <c r="BZ45" s="528"/>
      <c r="CA45" s="528"/>
      <c r="CB45" s="528"/>
      <c r="CC45" s="529"/>
      <c r="CD45" s="527" t="s">
        <v>992</v>
      </c>
      <c r="CE45" s="529"/>
      <c r="CF45" s="527" t="s">
        <v>993</v>
      </c>
      <c r="CG45" s="528"/>
      <c r="CH45" s="528"/>
      <c r="CI45" s="528"/>
      <c r="CJ45" s="528"/>
      <c r="CK45" s="529"/>
      <c r="CL45" s="530"/>
      <c r="CM45" s="527" t="s">
        <v>5</v>
      </c>
      <c r="CN45" s="528"/>
      <c r="CO45" s="528"/>
      <c r="CP45" s="529"/>
      <c r="CQ45" s="527" t="s">
        <v>994</v>
      </c>
      <c r="CR45" s="528"/>
      <c r="CS45" s="528"/>
      <c r="CT45" s="528"/>
      <c r="CU45" s="529"/>
      <c r="CV45" s="527" t="s">
        <v>995</v>
      </c>
      <c r="CW45" s="52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ht="204">
      <c r="A46" s="544" t="s">
        <v>21</v>
      </c>
      <c r="B46" s="37" t="s">
        <v>22</v>
      </c>
      <c r="C46" s="38" t="s">
        <v>808</v>
      </c>
      <c r="D46" s="38" t="s">
        <v>996</v>
      </c>
      <c r="E46" s="38" t="s">
        <v>997</v>
      </c>
      <c r="F46" s="38" t="s">
        <v>998</v>
      </c>
      <c r="G46" s="38" t="s">
        <v>999</v>
      </c>
      <c r="H46" s="38" t="s">
        <v>1000</v>
      </c>
      <c r="I46" s="38" t="s">
        <v>1001</v>
      </c>
      <c r="J46" s="38" t="s">
        <v>1002</v>
      </c>
      <c r="K46" s="38" t="s">
        <v>1003</v>
      </c>
      <c r="L46" s="38" t="s">
        <v>1004</v>
      </c>
      <c r="M46" s="38" t="s">
        <v>1005</v>
      </c>
      <c r="N46" s="38" t="s">
        <v>1006</v>
      </c>
      <c r="O46" s="38" t="s">
        <v>1007</v>
      </c>
      <c r="P46" s="38" t="s">
        <v>1008</v>
      </c>
      <c r="Q46" s="38" t="s">
        <v>1009</v>
      </c>
      <c r="R46" s="38" t="s">
        <v>1010</v>
      </c>
      <c r="S46" s="38" t="s">
        <v>1011</v>
      </c>
      <c r="T46" s="38" t="s">
        <v>1012</v>
      </c>
      <c r="U46" s="38" t="s">
        <v>921</v>
      </c>
      <c r="V46" s="38" t="s">
        <v>1010</v>
      </c>
      <c r="W46" s="38" t="s">
        <v>1011</v>
      </c>
      <c r="X46" s="38" t="s">
        <v>1012</v>
      </c>
      <c r="Y46" s="38" t="s">
        <v>921</v>
      </c>
      <c r="Z46" s="38" t="s">
        <v>1010</v>
      </c>
      <c r="AA46" s="38" t="s">
        <v>1011</v>
      </c>
      <c r="AB46" s="38" t="s">
        <v>1012</v>
      </c>
      <c r="AC46" s="38" t="s">
        <v>921</v>
      </c>
      <c r="AD46" s="38" t="s">
        <v>1010</v>
      </c>
      <c r="AE46" s="38" t="s">
        <v>1011</v>
      </c>
      <c r="AF46" s="38" t="s">
        <v>1012</v>
      </c>
      <c r="AG46" s="38" t="s">
        <v>921</v>
      </c>
      <c r="AH46" s="38" t="s">
        <v>1010</v>
      </c>
      <c r="AI46" s="38" t="s">
        <v>1011</v>
      </c>
      <c r="AJ46" s="38" t="s">
        <v>1012</v>
      </c>
      <c r="AK46" s="38" t="s">
        <v>921</v>
      </c>
      <c r="AL46" s="38" t="s">
        <v>358</v>
      </c>
      <c r="AM46" s="38" t="s">
        <v>1013</v>
      </c>
      <c r="AN46" s="38" t="s">
        <v>1014</v>
      </c>
      <c r="AO46" s="38" t="s">
        <v>1015</v>
      </c>
      <c r="AP46" s="38" t="s">
        <v>1016</v>
      </c>
      <c r="AQ46" s="38" t="s">
        <v>1017</v>
      </c>
      <c r="AR46" s="38" t="s">
        <v>1018</v>
      </c>
      <c r="AS46" s="38" t="s">
        <v>1019</v>
      </c>
      <c r="AT46" s="38" t="s">
        <v>1020</v>
      </c>
      <c r="AU46" s="38" t="s">
        <v>1021</v>
      </c>
      <c r="AV46" s="38" t="s">
        <v>1022</v>
      </c>
      <c r="AW46" s="38" t="s">
        <v>1023</v>
      </c>
      <c r="AX46" s="38" t="s">
        <v>1024</v>
      </c>
      <c r="AY46" s="38" t="s">
        <v>1025</v>
      </c>
      <c r="AZ46" s="38" t="s">
        <v>1026</v>
      </c>
      <c r="BA46" s="38" t="s">
        <v>1027</v>
      </c>
      <c r="BB46" s="38" t="s">
        <v>1028</v>
      </c>
      <c r="BC46" s="38" t="s">
        <v>1029</v>
      </c>
      <c r="BD46" s="38" t="s">
        <v>1030</v>
      </c>
      <c r="BE46" s="38" t="s">
        <v>1031</v>
      </c>
      <c r="BF46" s="38" t="s">
        <v>1032</v>
      </c>
      <c r="BG46" s="38" t="s">
        <v>1033</v>
      </c>
      <c r="BH46" s="38" t="s">
        <v>1034</v>
      </c>
      <c r="BI46" s="38" t="s">
        <v>1035</v>
      </c>
      <c r="BJ46" s="38" t="s">
        <v>1036</v>
      </c>
      <c r="BK46" s="38" t="s">
        <v>1037</v>
      </c>
      <c r="BL46" s="38" t="s">
        <v>1038</v>
      </c>
      <c r="BM46" s="38" t="s">
        <v>1039</v>
      </c>
      <c r="BN46" s="38" t="s">
        <v>1040</v>
      </c>
      <c r="BO46" s="38" t="s">
        <v>1041</v>
      </c>
      <c r="BP46" s="38" t="s">
        <v>1042</v>
      </c>
      <c r="BQ46" s="38" t="s">
        <v>1043</v>
      </c>
      <c r="BR46" s="38" t="s">
        <v>1044</v>
      </c>
      <c r="BS46" s="38" t="s">
        <v>1045</v>
      </c>
      <c r="BT46" s="38" t="s">
        <v>1046</v>
      </c>
      <c r="BU46" s="38" t="s">
        <v>1047</v>
      </c>
      <c r="BV46" s="38" t="s">
        <v>1048</v>
      </c>
      <c r="BW46" s="38" t="s">
        <v>1049</v>
      </c>
      <c r="BX46" s="38" t="s">
        <v>1050</v>
      </c>
      <c r="BY46" s="38" t="s">
        <v>1051</v>
      </c>
      <c r="BZ46" s="38" t="s">
        <v>1052</v>
      </c>
      <c r="CA46" s="38" t="s">
        <v>1053</v>
      </c>
      <c r="CB46" s="38" t="s">
        <v>1054</v>
      </c>
      <c r="CC46" s="38" t="s">
        <v>1055</v>
      </c>
      <c r="CD46" s="38" t="s">
        <v>23</v>
      </c>
      <c r="CE46" s="38" t="s">
        <v>24</v>
      </c>
      <c r="CF46" s="38" t="s">
        <v>1056</v>
      </c>
      <c r="CG46" s="38" t="s">
        <v>1057</v>
      </c>
      <c r="CH46" s="38" t="s">
        <v>1058</v>
      </c>
      <c r="CI46" s="38" t="s">
        <v>1059</v>
      </c>
      <c r="CJ46" s="38" t="s">
        <v>1060</v>
      </c>
      <c r="CK46" s="38" t="s">
        <v>1061</v>
      </c>
      <c r="CL46" s="38"/>
      <c r="CM46" s="38" t="s">
        <v>1062</v>
      </c>
      <c r="CN46" s="38" t="s">
        <v>1063</v>
      </c>
      <c r="CO46" s="38" t="s">
        <v>1064</v>
      </c>
      <c r="CP46" s="38" t="s">
        <v>1065</v>
      </c>
      <c r="CQ46" s="38" t="s">
        <v>1066</v>
      </c>
      <c r="CR46" s="38" t="s">
        <v>1067</v>
      </c>
      <c r="CS46" s="38" t="s">
        <v>1068</v>
      </c>
      <c r="CT46" s="38" t="s">
        <v>1069</v>
      </c>
      <c r="CU46" s="38" t="s">
        <v>1070</v>
      </c>
      <c r="CV46" s="38" t="s">
        <v>1071</v>
      </c>
      <c r="CW46" s="38" t="s">
        <v>1072</v>
      </c>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t="s">
        <v>794</v>
      </c>
      <c r="B47" s="9"/>
      <c r="C47" s="36">
        <v>5</v>
      </c>
      <c r="D47" s="36">
        <v>40</v>
      </c>
      <c r="E47" s="36">
        <v>0</v>
      </c>
      <c r="F47" s="36">
        <v>0</v>
      </c>
      <c r="G47" s="36">
        <v>0</v>
      </c>
      <c r="H47" s="36">
        <v>0</v>
      </c>
      <c r="I47" s="36"/>
      <c r="J47" s="36"/>
      <c r="K47" s="36"/>
      <c r="L47" s="36">
        <v>42.910133077431247</v>
      </c>
      <c r="M47" s="36">
        <v>6.7339705814560636E-3</v>
      </c>
      <c r="N47" s="36">
        <v>6.6853678016049745E-3</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36">
        <v>0</v>
      </c>
      <c r="AM47" s="36">
        <v>21.566911222045714</v>
      </c>
      <c r="AN47" s="36">
        <v>2.3794383027843917</v>
      </c>
      <c r="AO47" s="36">
        <v>0</v>
      </c>
      <c r="AP47" s="36">
        <v>0</v>
      </c>
      <c r="AQ47" s="36">
        <v>23.946349524830104</v>
      </c>
      <c r="AR47" s="36">
        <v>0</v>
      </c>
      <c r="AS47" s="39">
        <v>9999</v>
      </c>
      <c r="AT47" s="36">
        <v>21.566911222045714</v>
      </c>
      <c r="AU47" s="36">
        <v>2.8165462349584738</v>
      </c>
      <c r="AV47" s="36">
        <v>0</v>
      </c>
      <c r="AW47" s="36">
        <v>0</v>
      </c>
      <c r="AX47" s="36">
        <v>24.383457457004187</v>
      </c>
      <c r="AY47" s="36">
        <v>0</v>
      </c>
      <c r="AZ47" s="39">
        <v>9999</v>
      </c>
      <c r="BA47" s="36">
        <v>21.566911222045714</v>
      </c>
      <c r="BB47" s="36">
        <v>5.1959845377428655</v>
      </c>
      <c r="BC47" s="36">
        <v>0</v>
      </c>
      <c r="BD47" s="36">
        <v>0</v>
      </c>
      <c r="BE47" s="36">
        <v>26.762895759788577</v>
      </c>
      <c r="BF47" s="36">
        <v>0</v>
      </c>
      <c r="BG47" s="36">
        <v>-8.9100081856585778</v>
      </c>
      <c r="BH47" s="39">
        <v>9999</v>
      </c>
      <c r="BI47" s="36">
        <v>0</v>
      </c>
      <c r="BJ47" s="36">
        <v>0</v>
      </c>
      <c r="BK47" s="36">
        <v>0</v>
      </c>
      <c r="BL47" s="36">
        <v>0</v>
      </c>
      <c r="BM47" s="36">
        <v>0</v>
      </c>
      <c r="BN47" s="36">
        <v>21.566911222045714</v>
      </c>
      <c r="BO47" s="36">
        <v>0</v>
      </c>
      <c r="BP47" s="36">
        <v>5.1959845377428655</v>
      </c>
      <c r="BQ47" s="36">
        <v>0</v>
      </c>
      <c r="BR47" s="36">
        <v>0</v>
      </c>
      <c r="BS47" s="36">
        <v>0</v>
      </c>
      <c r="BT47" s="36">
        <v>0</v>
      </c>
      <c r="BU47" s="36">
        <v>0</v>
      </c>
      <c r="BV47" s="36">
        <v>0</v>
      </c>
      <c r="BW47" s="36">
        <v>0</v>
      </c>
      <c r="BX47" s="36">
        <v>0</v>
      </c>
      <c r="BY47" s="36">
        <v>0</v>
      </c>
      <c r="BZ47" s="36">
        <v>0</v>
      </c>
      <c r="CA47" s="36">
        <v>0</v>
      </c>
      <c r="CB47" s="36">
        <v>26.762895759788577</v>
      </c>
      <c r="CC47" s="36">
        <v>0</v>
      </c>
      <c r="CD47" s="39">
        <v>9999</v>
      </c>
      <c r="CE47" s="36">
        <v>-8.9100081856585778</v>
      </c>
      <c r="CF47" s="36">
        <v>0.40765414208319989</v>
      </c>
      <c r="CG47" s="36">
        <v>0</v>
      </c>
      <c r="CH47" s="36">
        <v>0.40765414208319989</v>
      </c>
      <c r="CI47" s="36">
        <v>2.0382313211779843E-2</v>
      </c>
      <c r="CJ47" s="36">
        <v>0</v>
      </c>
      <c r="CK47" s="36">
        <v>2.0382313211779843E-2</v>
      </c>
      <c r="CL47" s="36"/>
      <c r="CM47" s="36">
        <v>0</v>
      </c>
      <c r="CN47" s="36"/>
      <c r="CO47" s="36">
        <v>0</v>
      </c>
      <c r="CP47" s="36">
        <v>0</v>
      </c>
      <c r="CQ47" s="36">
        <v>0</v>
      </c>
      <c r="CR47" s="36">
        <v>0</v>
      </c>
      <c r="CS47" s="36">
        <v>0</v>
      </c>
      <c r="CT47" s="36">
        <v>0</v>
      </c>
      <c r="CU47" s="36">
        <v>0</v>
      </c>
      <c r="CV47" s="36">
        <v>9999</v>
      </c>
      <c r="CW47" s="39">
        <v>9999</v>
      </c>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c r="A48" s="9" t="s">
        <v>795</v>
      </c>
      <c r="B48" s="9"/>
      <c r="C48" s="36">
        <v>5</v>
      </c>
      <c r="D48" s="36">
        <v>250</v>
      </c>
      <c r="E48" s="36">
        <v>0</v>
      </c>
      <c r="F48" s="36">
        <v>64.97999999999999</v>
      </c>
      <c r="G48" s="36">
        <v>0</v>
      </c>
      <c r="H48" s="36">
        <v>0</v>
      </c>
      <c r="I48" s="36"/>
      <c r="J48" s="36"/>
      <c r="K48" s="36"/>
      <c r="L48" s="36">
        <v>268.66551402974153</v>
      </c>
      <c r="M48" s="36">
        <v>5.7649420572911621E-2</v>
      </c>
      <c r="N48" s="36">
        <v>5.7233332907728786E-2</v>
      </c>
      <c r="O48" s="36">
        <v>0</v>
      </c>
      <c r="P48" s="36">
        <v>0</v>
      </c>
      <c r="Q48" s="36">
        <v>0</v>
      </c>
      <c r="R48" s="36">
        <v>12.957880035471149</v>
      </c>
      <c r="S48" s="36">
        <v>29.943689879546032</v>
      </c>
      <c r="T48" s="36">
        <v>0</v>
      </c>
      <c r="U48" s="36">
        <v>158.94864776093797</v>
      </c>
      <c r="V48" s="36">
        <v>3.8987999999999996</v>
      </c>
      <c r="W48" s="36">
        <v>9.0971999999999991</v>
      </c>
      <c r="X48" s="36">
        <v>0</v>
      </c>
      <c r="Y48" s="36">
        <v>0</v>
      </c>
      <c r="Z48" s="36">
        <v>0</v>
      </c>
      <c r="AA48" s="36">
        <v>0</v>
      </c>
      <c r="AB48" s="36">
        <v>0</v>
      </c>
      <c r="AC48" s="36">
        <v>0</v>
      </c>
      <c r="AD48" s="36">
        <v>0</v>
      </c>
      <c r="AE48" s="36">
        <v>0</v>
      </c>
      <c r="AF48" s="36">
        <v>0</v>
      </c>
      <c r="AG48" s="36">
        <v>0</v>
      </c>
      <c r="AH48" s="36">
        <v>16.85668003547115</v>
      </c>
      <c r="AI48" s="36">
        <v>39.040889879546029</v>
      </c>
      <c r="AJ48" s="36">
        <v>0</v>
      </c>
      <c r="AK48" s="36">
        <v>158.94864776093797</v>
      </c>
      <c r="AL48" s="36">
        <v>214.84621767595516</v>
      </c>
      <c r="AM48" s="36">
        <v>138.49065462701418</v>
      </c>
      <c r="AN48" s="36">
        <v>20.37033541878823</v>
      </c>
      <c r="AO48" s="36">
        <v>0</v>
      </c>
      <c r="AP48" s="36">
        <v>0</v>
      </c>
      <c r="AQ48" s="36">
        <v>158.8609900458024</v>
      </c>
      <c r="AR48" s="36">
        <v>16.85668003547115</v>
      </c>
      <c r="AS48" s="39">
        <v>9.4242157833876323</v>
      </c>
      <c r="AT48" s="36">
        <v>138.49065462701418</v>
      </c>
      <c r="AU48" s="36">
        <v>24.112409832812585</v>
      </c>
      <c r="AV48" s="36">
        <v>0</v>
      </c>
      <c r="AW48" s="36">
        <v>0</v>
      </c>
      <c r="AX48" s="36">
        <v>162.60306445982675</v>
      </c>
      <c r="AY48" s="36">
        <v>39.040889879546029</v>
      </c>
      <c r="AZ48" s="39">
        <v>4.1649425758867338</v>
      </c>
      <c r="BA48" s="36">
        <v>138.49065462701418</v>
      </c>
      <c r="BB48" s="36">
        <v>44.482745251600818</v>
      </c>
      <c r="BC48" s="36">
        <v>0</v>
      </c>
      <c r="BD48" s="36">
        <v>0</v>
      </c>
      <c r="BE48" s="36">
        <v>182.973399878615</v>
      </c>
      <c r="BF48" s="36">
        <v>55.897569915017172</v>
      </c>
      <c r="BG48" s="36">
        <v>3.1262768556726508</v>
      </c>
      <c r="BH48" s="39">
        <v>3.2733694891709102</v>
      </c>
      <c r="BI48" s="36">
        <v>4.6166848998800534</v>
      </c>
      <c r="BJ48" s="36">
        <v>10.692466512118997</v>
      </c>
      <c r="BK48" s="36">
        <v>0</v>
      </c>
      <c r="BL48" s="36">
        <v>43.532642277727469</v>
      </c>
      <c r="BM48" s="36">
        <v>58.841793689726515</v>
      </c>
      <c r="BN48" s="36">
        <v>138.49065462701418</v>
      </c>
      <c r="BO48" s="36">
        <v>0</v>
      </c>
      <c r="BP48" s="36">
        <v>44.482745251600818</v>
      </c>
      <c r="BQ48" s="36">
        <v>0</v>
      </c>
      <c r="BR48" s="36">
        <v>0</v>
      </c>
      <c r="BS48" s="36">
        <v>0</v>
      </c>
      <c r="BT48" s="36">
        <v>0</v>
      </c>
      <c r="BU48" s="36">
        <v>0</v>
      </c>
      <c r="BV48" s="36">
        <v>0</v>
      </c>
      <c r="BW48" s="36">
        <v>0</v>
      </c>
      <c r="BX48" s="36">
        <v>201.85021767595515</v>
      </c>
      <c r="BY48" s="36">
        <v>12.995999999999999</v>
      </c>
      <c r="BZ48" s="36">
        <v>0</v>
      </c>
      <c r="CA48" s="36">
        <v>0</v>
      </c>
      <c r="CB48" s="36">
        <v>182.97339987861497</v>
      </c>
      <c r="CC48" s="36">
        <v>214.84621767595516</v>
      </c>
      <c r="CD48" s="532">
        <v>0.85164822475295876</v>
      </c>
      <c r="CE48" s="36">
        <v>46.658919133400126</v>
      </c>
      <c r="CF48" s="36">
        <v>2.5523382684832088</v>
      </c>
      <c r="CG48" s="36">
        <v>0</v>
      </c>
      <c r="CH48" s="36">
        <v>2.5523382684832088</v>
      </c>
      <c r="CI48" s="36">
        <v>0.12761611916412724</v>
      </c>
      <c r="CJ48" s="36">
        <v>0</v>
      </c>
      <c r="CK48" s="36">
        <v>0.12761611916412724</v>
      </c>
      <c r="CL48" s="36"/>
      <c r="CM48" s="36">
        <v>0</v>
      </c>
      <c r="CN48" s="36"/>
      <c r="CO48" s="36">
        <v>0</v>
      </c>
      <c r="CP48" s="36">
        <v>0</v>
      </c>
      <c r="CQ48" s="36">
        <v>0</v>
      </c>
      <c r="CR48" s="36">
        <v>0</v>
      </c>
      <c r="CS48" s="36">
        <v>0</v>
      </c>
      <c r="CT48" s="36">
        <v>0</v>
      </c>
      <c r="CU48" s="36">
        <v>0</v>
      </c>
      <c r="CV48" s="36">
        <v>9999</v>
      </c>
      <c r="CW48" s="39">
        <v>9999</v>
      </c>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t="s">
        <v>793</v>
      </c>
      <c r="B49" s="9"/>
      <c r="C49" s="36">
        <v>5</v>
      </c>
      <c r="D49" s="36">
        <v>30</v>
      </c>
      <c r="E49" s="36">
        <v>0</v>
      </c>
      <c r="F49" s="36">
        <v>32.481666666666662</v>
      </c>
      <c r="G49" s="36">
        <v>0</v>
      </c>
      <c r="H49" s="36">
        <v>0</v>
      </c>
      <c r="I49" s="36"/>
      <c r="J49" s="36"/>
      <c r="K49" s="36"/>
      <c r="L49" s="36">
        <v>32.182599808073434</v>
      </c>
      <c r="M49" s="36">
        <v>5.0504779360920479E-3</v>
      </c>
      <c r="N49" s="36">
        <v>5.0140258512037308E-3</v>
      </c>
      <c r="O49" s="36">
        <v>0</v>
      </c>
      <c r="P49" s="36">
        <v>0</v>
      </c>
      <c r="Q49" s="36">
        <v>0</v>
      </c>
      <c r="R49" s="36">
        <v>6.4772782397480571</v>
      </c>
      <c r="S49" s="36">
        <v>14.968004823598868</v>
      </c>
      <c r="T49" s="36">
        <v>0</v>
      </c>
      <c r="U49" s="36">
        <v>79.453939576611262</v>
      </c>
      <c r="V49" s="36">
        <v>1.9488999999999999</v>
      </c>
      <c r="W49" s="36">
        <v>4.5474333333333323</v>
      </c>
      <c r="X49" s="36">
        <v>0</v>
      </c>
      <c r="Y49" s="36">
        <v>0</v>
      </c>
      <c r="Z49" s="36">
        <v>0</v>
      </c>
      <c r="AA49" s="36">
        <v>0</v>
      </c>
      <c r="AB49" s="36">
        <v>0</v>
      </c>
      <c r="AC49" s="36">
        <v>0</v>
      </c>
      <c r="AD49" s="36">
        <v>0</v>
      </c>
      <c r="AE49" s="36">
        <v>0</v>
      </c>
      <c r="AF49" s="36">
        <v>0</v>
      </c>
      <c r="AG49" s="36">
        <v>0</v>
      </c>
      <c r="AH49" s="36">
        <v>8.4261782397480562</v>
      </c>
      <c r="AI49" s="36">
        <v>19.515438156932198</v>
      </c>
      <c r="AJ49" s="36">
        <v>0</v>
      </c>
      <c r="AK49" s="36">
        <v>79.453939576611262</v>
      </c>
      <c r="AL49" s="36">
        <v>107.39555597329152</v>
      </c>
      <c r="AM49" s="36">
        <v>16.175183416534278</v>
      </c>
      <c r="AN49" s="36">
        <v>1.7845787270882938</v>
      </c>
      <c r="AO49" s="36">
        <v>0</v>
      </c>
      <c r="AP49" s="36">
        <v>0</v>
      </c>
      <c r="AQ49" s="36">
        <v>17.959762143622573</v>
      </c>
      <c r="AR49" s="36">
        <v>8.4261782397480562</v>
      </c>
      <c r="AS49" s="39">
        <v>2.1314244290374247</v>
      </c>
      <c r="AT49" s="36">
        <v>16.175183416534278</v>
      </c>
      <c r="AU49" s="36">
        <v>2.1124096762188556</v>
      </c>
      <c r="AV49" s="36">
        <v>0</v>
      </c>
      <c r="AW49" s="36">
        <v>0</v>
      </c>
      <c r="AX49" s="36">
        <v>18.287593092753134</v>
      </c>
      <c r="AY49" s="36">
        <v>19.515438156932198</v>
      </c>
      <c r="AZ49" s="532">
        <v>0.93708339754888292</v>
      </c>
      <c r="BA49" s="36">
        <v>16.175183416534278</v>
      </c>
      <c r="BB49" s="36">
        <v>3.8969884033071494</v>
      </c>
      <c r="BC49" s="36">
        <v>0</v>
      </c>
      <c r="BD49" s="36">
        <v>0</v>
      </c>
      <c r="BE49" s="36">
        <v>20.072171819841429</v>
      </c>
      <c r="BF49" s="36">
        <v>27.941616396680256</v>
      </c>
      <c r="BG49" s="36">
        <v>54.975229605574036</v>
      </c>
      <c r="BH49" s="532">
        <v>0.71836115473356099</v>
      </c>
      <c r="BI49" s="36">
        <v>19.265471004804535</v>
      </c>
      <c r="BJ49" s="36">
        <v>44.61976678642808</v>
      </c>
      <c r="BK49" s="36">
        <v>0</v>
      </c>
      <c r="BL49" s="36">
        <v>181.66213977173885</v>
      </c>
      <c r="BM49" s="36">
        <v>245.54737756297149</v>
      </c>
      <c r="BN49" s="36">
        <v>16.175183416534278</v>
      </c>
      <c r="BO49" s="36">
        <v>0</v>
      </c>
      <c r="BP49" s="36">
        <v>3.8969884033071494</v>
      </c>
      <c r="BQ49" s="36">
        <v>0</v>
      </c>
      <c r="BR49" s="36">
        <v>0</v>
      </c>
      <c r="BS49" s="36">
        <v>0</v>
      </c>
      <c r="BT49" s="36">
        <v>0</v>
      </c>
      <c r="BU49" s="36">
        <v>0</v>
      </c>
      <c r="BV49" s="36">
        <v>0</v>
      </c>
      <c r="BW49" s="36">
        <v>0</v>
      </c>
      <c r="BX49" s="36">
        <v>100.89922263995818</v>
      </c>
      <c r="BY49" s="36">
        <v>6.4963333333333324</v>
      </c>
      <c r="BZ49" s="36">
        <v>0</v>
      </c>
      <c r="CA49" s="36">
        <v>0</v>
      </c>
      <c r="CB49" s="36">
        <v>20.072171819841429</v>
      </c>
      <c r="CC49" s="36">
        <v>107.39555597329152</v>
      </c>
      <c r="CD49" s="532">
        <v>0.18689946374348329</v>
      </c>
      <c r="CE49" s="36">
        <v>236.63736937731289</v>
      </c>
      <c r="CF49" s="36">
        <v>0.30574060656240026</v>
      </c>
      <c r="CG49" s="36">
        <v>0</v>
      </c>
      <c r="CH49" s="36">
        <v>0.30574060656240026</v>
      </c>
      <c r="CI49" s="36">
        <v>1.528673490883488E-2</v>
      </c>
      <c r="CJ49" s="36">
        <v>0</v>
      </c>
      <c r="CK49" s="36">
        <v>1.528673490883488E-2</v>
      </c>
      <c r="CL49" s="36"/>
      <c r="CM49" s="36">
        <v>0</v>
      </c>
      <c r="CN49" s="36"/>
      <c r="CO49" s="36">
        <v>0</v>
      </c>
      <c r="CP49" s="36">
        <v>0</v>
      </c>
      <c r="CQ49" s="36">
        <v>0</v>
      </c>
      <c r="CR49" s="36">
        <v>0</v>
      </c>
      <c r="CS49" s="36">
        <v>0</v>
      </c>
      <c r="CT49" s="36">
        <v>0</v>
      </c>
      <c r="CU49" s="36">
        <v>0</v>
      </c>
      <c r="CV49" s="36">
        <v>9999</v>
      </c>
      <c r="CW49" s="39">
        <v>9999</v>
      </c>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c r="B50" s="9"/>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c r="B51" s="9"/>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ht="13.5" thickBot="1">
      <c r="A52" s="34" t="s">
        <v>1075</v>
      </c>
      <c r="B52" s="35"/>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ht="13.5" thickBot="1">
      <c r="A53" s="533" t="s">
        <v>1076</v>
      </c>
      <c r="B53" s="534"/>
      <c r="C53" s="535"/>
      <c r="D53" s="535"/>
      <c r="E53" s="535"/>
      <c r="F53" s="535"/>
      <c r="G53" s="535"/>
      <c r="H53" s="535"/>
      <c r="I53" s="535"/>
      <c r="J53" s="535"/>
      <c r="K53" s="535"/>
      <c r="L53" s="40"/>
      <c r="M53" s="536"/>
      <c r="N53" s="537" t="s">
        <v>1117</v>
      </c>
      <c r="O53" s="535"/>
      <c r="P53" s="535"/>
      <c r="Q53" s="535"/>
      <c r="R53" s="535"/>
      <c r="S53" s="535"/>
      <c r="T53" s="535"/>
      <c r="U53" s="535"/>
      <c r="V53" s="535"/>
      <c r="W53" s="535"/>
      <c r="X53" s="535"/>
      <c r="Y53" s="40"/>
      <c r="Z53" s="536"/>
      <c r="AA53" s="537" t="s">
        <v>1118</v>
      </c>
      <c r="AB53" s="535"/>
      <c r="AC53" s="535"/>
      <c r="AD53" s="535"/>
      <c r="AE53" s="535"/>
      <c r="AF53" s="535"/>
      <c r="AG53" s="535"/>
      <c r="AH53" s="535"/>
      <c r="AI53" s="535"/>
      <c r="AJ53" s="535"/>
      <c r="AK53" s="535"/>
      <c r="AL53" s="40"/>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ht="191.25">
      <c r="A54" s="544"/>
      <c r="B54" s="37" t="s">
        <v>1077</v>
      </c>
      <c r="C54" s="38" t="s">
        <v>1078</v>
      </c>
      <c r="D54" s="38" t="s">
        <v>25</v>
      </c>
      <c r="E54" s="38" t="s">
        <v>26</v>
      </c>
      <c r="F54" s="38" t="s">
        <v>27</v>
      </c>
      <c r="G54" s="38" t="s">
        <v>28</v>
      </c>
      <c r="H54" s="38" t="s">
        <v>29</v>
      </c>
      <c r="I54" s="38" t="s">
        <v>30</v>
      </c>
      <c r="J54" s="38" t="s">
        <v>31</v>
      </c>
      <c r="K54" s="38" t="s">
        <v>24</v>
      </c>
      <c r="L54" s="38" t="s">
        <v>23</v>
      </c>
      <c r="M54" s="38" t="s">
        <v>32</v>
      </c>
      <c r="N54" s="38" t="s">
        <v>33</v>
      </c>
      <c r="O54" s="38" t="s">
        <v>34</v>
      </c>
      <c r="P54" s="38" t="s">
        <v>35</v>
      </c>
      <c r="Q54" s="38" t="s">
        <v>36</v>
      </c>
      <c r="R54" s="38" t="s">
        <v>37</v>
      </c>
      <c r="S54" s="38" t="s">
        <v>38</v>
      </c>
      <c r="T54" s="38" t="s">
        <v>39</v>
      </c>
      <c r="U54" s="38" t="s">
        <v>40</v>
      </c>
      <c r="V54" s="38" t="s">
        <v>41</v>
      </c>
      <c r="W54" s="38" t="s">
        <v>42</v>
      </c>
      <c r="X54" s="38" t="s">
        <v>43</v>
      </c>
      <c r="Y54" s="38" t="s">
        <v>44</v>
      </c>
      <c r="Z54" s="38"/>
      <c r="AA54" s="38" t="s">
        <v>33</v>
      </c>
      <c r="AB54" s="38" t="s">
        <v>34</v>
      </c>
      <c r="AC54" s="38" t="s">
        <v>35</v>
      </c>
      <c r="AD54" s="38" t="s">
        <v>36</v>
      </c>
      <c r="AE54" s="38" t="s">
        <v>37</v>
      </c>
      <c r="AF54" s="38" t="s">
        <v>38</v>
      </c>
      <c r="AG54" s="38" t="s">
        <v>39</v>
      </c>
      <c r="AH54" s="38" t="s">
        <v>40</v>
      </c>
      <c r="AI54" s="38" t="s">
        <v>41</v>
      </c>
      <c r="AJ54" s="38" t="s">
        <v>42</v>
      </c>
      <c r="AK54" s="38" t="s">
        <v>43</v>
      </c>
      <c r="AL54" s="38" t="s">
        <v>44</v>
      </c>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c r="B55" s="49" t="s">
        <v>1079</v>
      </c>
      <c r="C55" s="538">
        <v>42.910133077431247</v>
      </c>
      <c r="D55" s="538">
        <v>0</v>
      </c>
      <c r="E55" s="538">
        <v>0</v>
      </c>
      <c r="F55" s="538">
        <v>0</v>
      </c>
      <c r="G55" s="538">
        <v>0</v>
      </c>
      <c r="H55" s="538">
        <v>26.762895759788577</v>
      </c>
      <c r="I55" s="538">
        <v>0</v>
      </c>
      <c r="J55" s="538">
        <v>-8.9100081856585778</v>
      </c>
      <c r="K55" s="538">
        <v>-8.9100081856585778</v>
      </c>
      <c r="L55" s="39">
        <v>9999</v>
      </c>
      <c r="M55" s="36">
        <v>0.40765414208319989</v>
      </c>
      <c r="N55" s="41">
        <v>1.248841487453902</v>
      </c>
      <c r="O55" s="41">
        <v>1.1074997156117752</v>
      </c>
      <c r="P55" s="41">
        <v>1.9676886869005692</v>
      </c>
      <c r="Q55" s="41">
        <v>2.4817313406299237</v>
      </c>
      <c r="R55" s="41">
        <v>2.6413879760918486</v>
      </c>
      <c r="S55" s="41">
        <v>2.3143741725899498</v>
      </c>
      <c r="T55" s="41">
        <v>2.3248331479556512</v>
      </c>
      <c r="U55" s="41">
        <v>2.317097978671983</v>
      </c>
      <c r="V55" s="41">
        <v>2.1434373846780539</v>
      </c>
      <c r="W55" s="41">
        <v>2.2774562081790668</v>
      </c>
      <c r="X55" s="41">
        <v>2.2740270856434055</v>
      </c>
      <c r="Y55" s="41">
        <v>2.534534862760097</v>
      </c>
      <c r="Z55" s="41"/>
      <c r="AA55" s="41">
        <v>0.95293642818706803</v>
      </c>
      <c r="AB55" s="41">
        <v>0.79875601435294175</v>
      </c>
      <c r="AC55" s="41">
        <v>1.1350121859184539</v>
      </c>
      <c r="AD55" s="41">
        <v>1.7321388062956955</v>
      </c>
      <c r="AE55" s="41">
        <v>1.8805046877615126</v>
      </c>
      <c r="AF55" s="41">
        <v>1.5086785618672223</v>
      </c>
      <c r="AG55" s="41">
        <v>1.7745882538779192</v>
      </c>
      <c r="AH55" s="41">
        <v>1.2596947191295036</v>
      </c>
      <c r="AI55" s="41">
        <v>1.5212356878531683</v>
      </c>
      <c r="AJ55" s="41">
        <v>1.3048665072087162</v>
      </c>
      <c r="AK55" s="41">
        <v>1.6401365576097882</v>
      </c>
      <c r="AL55" s="41">
        <v>1.7686746202030288</v>
      </c>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49" t="s">
        <v>1080</v>
      </c>
      <c r="C56" s="538">
        <v>42.910133077431247</v>
      </c>
      <c r="D56" s="538">
        <v>0</v>
      </c>
      <c r="E56" s="538">
        <v>0</v>
      </c>
      <c r="F56" s="538">
        <v>0</v>
      </c>
      <c r="G56" s="538">
        <v>0</v>
      </c>
      <c r="H56" s="538">
        <v>26.762895759788577</v>
      </c>
      <c r="I56" s="538">
        <v>0</v>
      </c>
      <c r="J56" s="538">
        <v>-8.9100081856585778</v>
      </c>
      <c r="K56" s="538">
        <v>-8.9100081856585778</v>
      </c>
      <c r="L56" s="39">
        <v>9999</v>
      </c>
      <c r="M56" s="36">
        <v>0.40765414208319989</v>
      </c>
      <c r="N56" s="41">
        <v>2.497682974907804</v>
      </c>
      <c r="O56" s="41">
        <v>2.2149994312235504</v>
      </c>
      <c r="P56" s="41">
        <v>3.9353773738011384</v>
      </c>
      <c r="Q56" s="41">
        <v>4.9634626812598475</v>
      </c>
      <c r="R56" s="41">
        <v>5.2827759521836972</v>
      </c>
      <c r="S56" s="41">
        <v>4.6287483451798996</v>
      </c>
      <c r="T56" s="41">
        <v>4.6496662959113024</v>
      </c>
      <c r="U56" s="41">
        <v>4.6341959573439659</v>
      </c>
      <c r="V56" s="41">
        <v>4.2868747693561078</v>
      </c>
      <c r="W56" s="41">
        <v>4.5549124163581336</v>
      </c>
      <c r="X56" s="41">
        <v>4.548054171286811</v>
      </c>
      <c r="Y56" s="41">
        <v>5.069069725520194</v>
      </c>
      <c r="Z56" s="41"/>
      <c r="AA56" s="41">
        <v>1.9058728563741361</v>
      </c>
      <c r="AB56" s="41">
        <v>1.5975120287058835</v>
      </c>
      <c r="AC56" s="41">
        <v>2.2700243718369078</v>
      </c>
      <c r="AD56" s="41">
        <v>3.464277612591391</v>
      </c>
      <c r="AE56" s="41">
        <v>3.7610093755230252</v>
      </c>
      <c r="AF56" s="41">
        <v>3.0173571237344445</v>
      </c>
      <c r="AG56" s="41">
        <v>3.5491765077558384</v>
      </c>
      <c r="AH56" s="41">
        <v>2.5193894382590072</v>
      </c>
      <c r="AI56" s="41">
        <v>3.0424713757063366</v>
      </c>
      <c r="AJ56" s="41">
        <v>2.6097330144174324</v>
      </c>
      <c r="AK56" s="41">
        <v>3.2802731152195763</v>
      </c>
      <c r="AL56" s="41">
        <v>3.5373492404060576</v>
      </c>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49" t="s">
        <v>1081</v>
      </c>
      <c r="C57" s="539"/>
      <c r="D57" s="539"/>
      <c r="E57" s="539"/>
      <c r="F57" s="539"/>
      <c r="G57" s="539"/>
      <c r="H57" s="539"/>
      <c r="I57" s="539"/>
      <c r="J57" s="539"/>
      <c r="K57" s="539"/>
      <c r="L57" s="532"/>
      <c r="M57" s="540"/>
      <c r="N57" s="540"/>
      <c r="O57" s="540"/>
      <c r="P57" s="540"/>
      <c r="Q57" s="540"/>
      <c r="R57" s="540"/>
      <c r="S57" s="540"/>
      <c r="T57" s="540"/>
      <c r="U57" s="540"/>
      <c r="V57" s="540"/>
      <c r="W57" s="540"/>
      <c r="X57" s="540"/>
      <c r="Y57" s="540"/>
      <c r="Z57" s="540"/>
      <c r="AA57" s="540"/>
      <c r="AB57" s="540"/>
      <c r="AC57" s="540"/>
      <c r="AD57" s="540"/>
      <c r="AE57" s="540"/>
      <c r="AF57" s="540"/>
      <c r="AG57" s="540"/>
      <c r="AH57" s="540"/>
      <c r="AI57" s="540"/>
      <c r="AJ57" s="540"/>
      <c r="AK57" s="540"/>
      <c r="AL57" s="540"/>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c r="B58" s="9" t="s">
        <v>70</v>
      </c>
      <c r="C58" s="36">
        <v>42.910133077431247</v>
      </c>
      <c r="D58" s="36">
        <v>0</v>
      </c>
      <c r="E58" s="36">
        <v>0</v>
      </c>
      <c r="F58" s="36">
        <v>0</v>
      </c>
      <c r="G58" s="36">
        <v>0</v>
      </c>
      <c r="H58" s="36">
        <v>26.762895759788577</v>
      </c>
      <c r="I58" s="36">
        <v>0</v>
      </c>
      <c r="J58" s="36">
        <v>-8.9100081856585778</v>
      </c>
      <c r="K58" s="36">
        <v>-8.9100081856585778</v>
      </c>
      <c r="L58" s="39">
        <v>9999</v>
      </c>
      <c r="M58" s="36">
        <v>0.40765414208319989</v>
      </c>
      <c r="N58" s="41">
        <v>1.248841487453902</v>
      </c>
      <c r="O58" s="41">
        <v>1.1074997156117752</v>
      </c>
      <c r="P58" s="41">
        <v>1.9676886869005692</v>
      </c>
      <c r="Q58" s="41">
        <v>2.4817313406299237</v>
      </c>
      <c r="R58" s="41">
        <v>2.6413879760918486</v>
      </c>
      <c r="S58" s="41">
        <v>2.3143741725899498</v>
      </c>
      <c r="T58" s="41">
        <v>2.3248331479556512</v>
      </c>
      <c r="U58" s="41">
        <v>2.317097978671983</v>
      </c>
      <c r="V58" s="41">
        <v>2.1434373846780539</v>
      </c>
      <c r="W58" s="41">
        <v>2.2774562081790668</v>
      </c>
      <c r="X58" s="41">
        <v>2.2740270856434055</v>
      </c>
      <c r="Y58" s="41">
        <v>2.534534862760097</v>
      </c>
      <c r="Z58" s="41"/>
      <c r="AA58" s="41">
        <v>0.95293642818706803</v>
      </c>
      <c r="AB58" s="41">
        <v>0.79875601435294175</v>
      </c>
      <c r="AC58" s="41">
        <v>1.1350121859184539</v>
      </c>
      <c r="AD58" s="41">
        <v>1.7321388062956955</v>
      </c>
      <c r="AE58" s="41">
        <v>1.8805046877615126</v>
      </c>
      <c r="AF58" s="41">
        <v>1.5086785618672223</v>
      </c>
      <c r="AG58" s="41">
        <v>1.7745882538779192</v>
      </c>
      <c r="AH58" s="41">
        <v>1.2596947191295036</v>
      </c>
      <c r="AI58" s="41">
        <v>1.5212356878531683</v>
      </c>
      <c r="AJ58" s="41">
        <v>1.3048665072087162</v>
      </c>
      <c r="AK58" s="41">
        <v>1.6401365576097882</v>
      </c>
      <c r="AL58" s="41">
        <v>1.7686746202030288</v>
      </c>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c r="B59" s="9" t="s">
        <v>73</v>
      </c>
      <c r="C59" s="540">
        <v>0</v>
      </c>
      <c r="D59" s="540">
        <v>0</v>
      </c>
      <c r="E59" s="540">
        <v>0</v>
      </c>
      <c r="F59" s="540">
        <v>0</v>
      </c>
      <c r="G59" s="540">
        <v>0</v>
      </c>
      <c r="H59" s="540">
        <v>0</v>
      </c>
      <c r="I59" s="540">
        <v>0</v>
      </c>
      <c r="J59" s="540">
        <v>0</v>
      </c>
      <c r="K59" s="540">
        <v>0</v>
      </c>
      <c r="L59" s="541">
        <v>0</v>
      </c>
      <c r="M59" s="540">
        <v>0</v>
      </c>
      <c r="N59" s="540">
        <v>0</v>
      </c>
      <c r="O59" s="540">
        <v>0</v>
      </c>
      <c r="P59" s="540">
        <v>0</v>
      </c>
      <c r="Q59" s="540">
        <v>0</v>
      </c>
      <c r="R59" s="540">
        <v>0</v>
      </c>
      <c r="S59" s="540">
        <v>0</v>
      </c>
      <c r="T59" s="540">
        <v>0</v>
      </c>
      <c r="U59" s="540">
        <v>0</v>
      </c>
      <c r="V59" s="540">
        <v>0</v>
      </c>
      <c r="W59" s="540">
        <v>0</v>
      </c>
      <c r="X59" s="540">
        <v>0</v>
      </c>
      <c r="Y59" s="540">
        <v>0</v>
      </c>
      <c r="Z59" s="540"/>
      <c r="AA59" s="540">
        <v>0</v>
      </c>
      <c r="AB59" s="540">
        <v>0</v>
      </c>
      <c r="AC59" s="540">
        <v>0</v>
      </c>
      <c r="AD59" s="540">
        <v>0</v>
      </c>
      <c r="AE59" s="540">
        <v>0</v>
      </c>
      <c r="AF59" s="540">
        <v>0</v>
      </c>
      <c r="AG59" s="540">
        <v>0</v>
      </c>
      <c r="AH59" s="540">
        <v>0</v>
      </c>
      <c r="AI59" s="540">
        <v>0</v>
      </c>
      <c r="AJ59" s="540">
        <v>0</v>
      </c>
      <c r="AK59" s="540">
        <v>0</v>
      </c>
      <c r="AL59" s="540">
        <v>0</v>
      </c>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c r="B60" s="9" t="s">
        <v>76</v>
      </c>
      <c r="C60" s="540">
        <v>0</v>
      </c>
      <c r="D60" s="540">
        <v>0</v>
      </c>
      <c r="E60" s="540">
        <v>0</v>
      </c>
      <c r="F60" s="540">
        <v>0</v>
      </c>
      <c r="G60" s="540">
        <v>0</v>
      </c>
      <c r="H60" s="540">
        <v>0</v>
      </c>
      <c r="I60" s="540">
        <v>0</v>
      </c>
      <c r="J60" s="540">
        <v>0</v>
      </c>
      <c r="K60" s="540">
        <v>0</v>
      </c>
      <c r="L60" s="541">
        <v>0</v>
      </c>
      <c r="M60" s="540">
        <v>0</v>
      </c>
      <c r="N60" s="540">
        <v>0</v>
      </c>
      <c r="O60" s="540">
        <v>0</v>
      </c>
      <c r="P60" s="540">
        <v>0</v>
      </c>
      <c r="Q60" s="540">
        <v>0</v>
      </c>
      <c r="R60" s="540">
        <v>0</v>
      </c>
      <c r="S60" s="540">
        <v>0</v>
      </c>
      <c r="T60" s="540">
        <v>0</v>
      </c>
      <c r="U60" s="540">
        <v>0</v>
      </c>
      <c r="V60" s="540">
        <v>0</v>
      </c>
      <c r="W60" s="540">
        <v>0</v>
      </c>
      <c r="X60" s="540">
        <v>0</v>
      </c>
      <c r="Y60" s="540">
        <v>0</v>
      </c>
      <c r="Z60" s="540"/>
      <c r="AA60" s="540">
        <v>0</v>
      </c>
      <c r="AB60" s="540">
        <v>0</v>
      </c>
      <c r="AC60" s="540">
        <v>0</v>
      </c>
      <c r="AD60" s="540">
        <v>0</v>
      </c>
      <c r="AE60" s="540">
        <v>0</v>
      </c>
      <c r="AF60" s="540">
        <v>0</v>
      </c>
      <c r="AG60" s="540">
        <v>0</v>
      </c>
      <c r="AH60" s="540">
        <v>0</v>
      </c>
      <c r="AI60" s="540">
        <v>0</v>
      </c>
      <c r="AJ60" s="540">
        <v>0</v>
      </c>
      <c r="AK60" s="540">
        <v>0</v>
      </c>
      <c r="AL60" s="540">
        <v>0</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9" t="s">
        <v>79</v>
      </c>
      <c r="C61" s="540">
        <v>0</v>
      </c>
      <c r="D61" s="540">
        <v>0</v>
      </c>
      <c r="E61" s="540">
        <v>0</v>
      </c>
      <c r="F61" s="540">
        <v>0</v>
      </c>
      <c r="G61" s="540">
        <v>0</v>
      </c>
      <c r="H61" s="540">
        <v>0</v>
      </c>
      <c r="I61" s="540">
        <v>0</v>
      </c>
      <c r="J61" s="540">
        <v>0</v>
      </c>
      <c r="K61" s="540">
        <v>0</v>
      </c>
      <c r="L61" s="541">
        <v>0</v>
      </c>
      <c r="M61" s="540">
        <v>0</v>
      </c>
      <c r="N61" s="540">
        <v>0</v>
      </c>
      <c r="O61" s="540">
        <v>0</v>
      </c>
      <c r="P61" s="540">
        <v>0</v>
      </c>
      <c r="Q61" s="540">
        <v>0</v>
      </c>
      <c r="R61" s="540">
        <v>0</v>
      </c>
      <c r="S61" s="540">
        <v>0</v>
      </c>
      <c r="T61" s="540">
        <v>0</v>
      </c>
      <c r="U61" s="540">
        <v>0</v>
      </c>
      <c r="V61" s="540">
        <v>0</v>
      </c>
      <c r="W61" s="540">
        <v>0</v>
      </c>
      <c r="X61" s="540">
        <v>0</v>
      </c>
      <c r="Y61" s="540">
        <v>0</v>
      </c>
      <c r="Z61" s="540"/>
      <c r="AA61" s="540">
        <v>0</v>
      </c>
      <c r="AB61" s="540">
        <v>0</v>
      </c>
      <c r="AC61" s="540">
        <v>0</v>
      </c>
      <c r="AD61" s="540">
        <v>0</v>
      </c>
      <c r="AE61" s="540">
        <v>0</v>
      </c>
      <c r="AF61" s="540">
        <v>0</v>
      </c>
      <c r="AG61" s="540">
        <v>0</v>
      </c>
      <c r="AH61" s="540">
        <v>0</v>
      </c>
      <c r="AI61" s="540">
        <v>0</v>
      </c>
      <c r="AJ61" s="540">
        <v>0</v>
      </c>
      <c r="AK61" s="540">
        <v>0</v>
      </c>
      <c r="AL61" s="540">
        <v>0</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9" t="s">
        <v>82</v>
      </c>
      <c r="C62" s="540">
        <v>0</v>
      </c>
      <c r="D62" s="540">
        <v>0</v>
      </c>
      <c r="E62" s="540">
        <v>0</v>
      </c>
      <c r="F62" s="540">
        <v>0</v>
      </c>
      <c r="G62" s="540">
        <v>0</v>
      </c>
      <c r="H62" s="540">
        <v>0</v>
      </c>
      <c r="I62" s="540">
        <v>0</v>
      </c>
      <c r="J62" s="540">
        <v>0</v>
      </c>
      <c r="K62" s="540">
        <v>0</v>
      </c>
      <c r="L62" s="541">
        <v>0</v>
      </c>
      <c r="M62" s="540">
        <v>0</v>
      </c>
      <c r="N62" s="540">
        <v>0</v>
      </c>
      <c r="O62" s="540">
        <v>0</v>
      </c>
      <c r="P62" s="540">
        <v>0</v>
      </c>
      <c r="Q62" s="540">
        <v>0</v>
      </c>
      <c r="R62" s="540">
        <v>0</v>
      </c>
      <c r="S62" s="540">
        <v>0</v>
      </c>
      <c r="T62" s="540">
        <v>0</v>
      </c>
      <c r="U62" s="540">
        <v>0</v>
      </c>
      <c r="V62" s="540">
        <v>0</v>
      </c>
      <c r="W62" s="540">
        <v>0</v>
      </c>
      <c r="X62" s="540">
        <v>0</v>
      </c>
      <c r="Y62" s="540">
        <v>0</v>
      </c>
      <c r="Z62" s="540"/>
      <c r="AA62" s="540">
        <v>0</v>
      </c>
      <c r="AB62" s="540">
        <v>0</v>
      </c>
      <c r="AC62" s="540">
        <v>0</v>
      </c>
      <c r="AD62" s="540">
        <v>0</v>
      </c>
      <c r="AE62" s="540">
        <v>0</v>
      </c>
      <c r="AF62" s="540">
        <v>0</v>
      </c>
      <c r="AG62" s="540">
        <v>0</v>
      </c>
      <c r="AH62" s="540">
        <v>0</v>
      </c>
      <c r="AI62" s="540">
        <v>0</v>
      </c>
      <c r="AJ62" s="540">
        <v>0</v>
      </c>
      <c r="AK62" s="540">
        <v>0</v>
      </c>
      <c r="AL62" s="540">
        <v>0</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9" t="s">
        <v>85</v>
      </c>
      <c r="C63" s="36">
        <v>268.66551402974153</v>
      </c>
      <c r="D63" s="36">
        <v>64.97999999999999</v>
      </c>
      <c r="E63" s="36">
        <v>12.995999999999999</v>
      </c>
      <c r="F63" s="36">
        <v>77.975999999999985</v>
      </c>
      <c r="G63" s="36">
        <v>214.84621767595516</v>
      </c>
      <c r="H63" s="36">
        <v>182.97339987861497</v>
      </c>
      <c r="I63" s="36">
        <v>2542.4541831013839</v>
      </c>
      <c r="J63" s="36">
        <v>3.1262768556726508</v>
      </c>
      <c r="K63" s="36">
        <v>46.658919133400126</v>
      </c>
      <c r="L63" s="532">
        <v>0.85164822475295876</v>
      </c>
      <c r="M63" s="36">
        <v>2.5523382684832088</v>
      </c>
      <c r="N63" s="41">
        <v>17.831318380953835</v>
      </c>
      <c r="O63" s="41">
        <v>14.992781313023245</v>
      </c>
      <c r="P63" s="41">
        <v>17.616631632279553</v>
      </c>
      <c r="Q63" s="41">
        <v>12.956035877768267</v>
      </c>
      <c r="R63" s="41">
        <v>13.829550633491598</v>
      </c>
      <c r="S63" s="41">
        <v>14.683416912373106</v>
      </c>
      <c r="T63" s="41">
        <v>13.14410859909767</v>
      </c>
      <c r="U63" s="41">
        <v>15.656132376931934</v>
      </c>
      <c r="V63" s="41">
        <v>13.354466994339782</v>
      </c>
      <c r="W63" s="41">
        <v>16.218575944482986</v>
      </c>
      <c r="X63" s="41">
        <v>14.8573999262311</v>
      </c>
      <c r="Y63" s="41">
        <v>15.627978305676624</v>
      </c>
      <c r="Z63" s="41"/>
      <c r="AA63" s="41">
        <v>9.1131544498705921</v>
      </c>
      <c r="AB63" s="41">
        <v>7.4889716255511036</v>
      </c>
      <c r="AC63" s="41">
        <v>7.1806362404258843</v>
      </c>
      <c r="AD63" s="41">
        <v>6.9973436727584879</v>
      </c>
      <c r="AE63" s="41">
        <v>7.5976700872860086</v>
      </c>
      <c r="AF63" s="41">
        <v>6.7891720968089286</v>
      </c>
      <c r="AG63" s="41">
        <v>7.9022041122260784</v>
      </c>
      <c r="AH63" s="41">
        <v>6.1687103867513944</v>
      </c>
      <c r="AI63" s="41">
        <v>6.6841732375273581</v>
      </c>
      <c r="AJ63" s="41">
        <v>6.0820848947009694</v>
      </c>
      <c r="AK63" s="41">
        <v>7.6693586132916893</v>
      </c>
      <c r="AL63" s="41">
        <v>8.2236377158933571</v>
      </c>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88</v>
      </c>
      <c r="C64" s="540">
        <v>0</v>
      </c>
      <c r="D64" s="540">
        <v>0</v>
      </c>
      <c r="E64" s="540">
        <v>0</v>
      </c>
      <c r="F64" s="540">
        <v>0</v>
      </c>
      <c r="G64" s="540">
        <v>0</v>
      </c>
      <c r="H64" s="540">
        <v>0</v>
      </c>
      <c r="I64" s="540">
        <v>0</v>
      </c>
      <c r="J64" s="540">
        <v>0</v>
      </c>
      <c r="K64" s="540">
        <v>0</v>
      </c>
      <c r="L64" s="541">
        <v>0</v>
      </c>
      <c r="M64" s="540">
        <v>0</v>
      </c>
      <c r="N64" s="540">
        <v>0</v>
      </c>
      <c r="O64" s="540">
        <v>0</v>
      </c>
      <c r="P64" s="540">
        <v>0</v>
      </c>
      <c r="Q64" s="540">
        <v>0</v>
      </c>
      <c r="R64" s="540">
        <v>0</v>
      </c>
      <c r="S64" s="540">
        <v>0</v>
      </c>
      <c r="T64" s="540">
        <v>0</v>
      </c>
      <c r="U64" s="540">
        <v>0</v>
      </c>
      <c r="V64" s="540">
        <v>0</v>
      </c>
      <c r="W64" s="540">
        <v>0</v>
      </c>
      <c r="X64" s="540">
        <v>0</v>
      </c>
      <c r="Y64" s="540">
        <v>0</v>
      </c>
      <c r="Z64" s="540"/>
      <c r="AA64" s="540">
        <v>0</v>
      </c>
      <c r="AB64" s="540">
        <v>0</v>
      </c>
      <c r="AC64" s="540">
        <v>0</v>
      </c>
      <c r="AD64" s="540">
        <v>0</v>
      </c>
      <c r="AE64" s="540">
        <v>0</v>
      </c>
      <c r="AF64" s="540">
        <v>0</v>
      </c>
      <c r="AG64" s="540">
        <v>0</v>
      </c>
      <c r="AH64" s="540">
        <v>0</v>
      </c>
      <c r="AI64" s="540">
        <v>0</v>
      </c>
      <c r="AJ64" s="540">
        <v>0</v>
      </c>
      <c r="AK64" s="540">
        <v>0</v>
      </c>
      <c r="AL64" s="540">
        <v>0</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91</v>
      </c>
      <c r="C65" s="540">
        <v>0</v>
      </c>
      <c r="D65" s="540">
        <v>0</v>
      </c>
      <c r="E65" s="540">
        <v>0</v>
      </c>
      <c r="F65" s="540">
        <v>0</v>
      </c>
      <c r="G65" s="540">
        <v>0</v>
      </c>
      <c r="H65" s="540">
        <v>0</v>
      </c>
      <c r="I65" s="540">
        <v>0</v>
      </c>
      <c r="J65" s="540">
        <v>0</v>
      </c>
      <c r="K65" s="540">
        <v>0</v>
      </c>
      <c r="L65" s="541">
        <v>0</v>
      </c>
      <c r="M65" s="540">
        <v>0</v>
      </c>
      <c r="N65" s="540">
        <v>0</v>
      </c>
      <c r="O65" s="540">
        <v>0</v>
      </c>
      <c r="P65" s="540">
        <v>0</v>
      </c>
      <c r="Q65" s="540">
        <v>0</v>
      </c>
      <c r="R65" s="540">
        <v>0</v>
      </c>
      <c r="S65" s="540">
        <v>0</v>
      </c>
      <c r="T65" s="540">
        <v>0</v>
      </c>
      <c r="U65" s="540">
        <v>0</v>
      </c>
      <c r="V65" s="540">
        <v>0</v>
      </c>
      <c r="W65" s="540">
        <v>0</v>
      </c>
      <c r="X65" s="540">
        <v>0</v>
      </c>
      <c r="Y65" s="540">
        <v>0</v>
      </c>
      <c r="Z65" s="540"/>
      <c r="AA65" s="540">
        <v>0</v>
      </c>
      <c r="AB65" s="540">
        <v>0</v>
      </c>
      <c r="AC65" s="540">
        <v>0</v>
      </c>
      <c r="AD65" s="540">
        <v>0</v>
      </c>
      <c r="AE65" s="540">
        <v>0</v>
      </c>
      <c r="AF65" s="540">
        <v>0</v>
      </c>
      <c r="AG65" s="540">
        <v>0</v>
      </c>
      <c r="AH65" s="540">
        <v>0</v>
      </c>
      <c r="AI65" s="540">
        <v>0</v>
      </c>
      <c r="AJ65" s="540">
        <v>0</v>
      </c>
      <c r="AK65" s="540">
        <v>0</v>
      </c>
      <c r="AL65" s="540">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94</v>
      </c>
      <c r="C66" s="540">
        <v>0</v>
      </c>
      <c r="D66" s="540">
        <v>0</v>
      </c>
      <c r="E66" s="540">
        <v>0</v>
      </c>
      <c r="F66" s="540">
        <v>0</v>
      </c>
      <c r="G66" s="540">
        <v>0</v>
      </c>
      <c r="H66" s="540">
        <v>0</v>
      </c>
      <c r="I66" s="540">
        <v>0</v>
      </c>
      <c r="J66" s="540">
        <v>0</v>
      </c>
      <c r="K66" s="540">
        <v>0</v>
      </c>
      <c r="L66" s="541">
        <v>0</v>
      </c>
      <c r="M66" s="540">
        <v>0</v>
      </c>
      <c r="N66" s="540">
        <v>0</v>
      </c>
      <c r="O66" s="540">
        <v>0</v>
      </c>
      <c r="P66" s="540">
        <v>0</v>
      </c>
      <c r="Q66" s="540">
        <v>0</v>
      </c>
      <c r="R66" s="540">
        <v>0</v>
      </c>
      <c r="S66" s="540">
        <v>0</v>
      </c>
      <c r="T66" s="540">
        <v>0</v>
      </c>
      <c r="U66" s="540">
        <v>0</v>
      </c>
      <c r="V66" s="540">
        <v>0</v>
      </c>
      <c r="W66" s="540">
        <v>0</v>
      </c>
      <c r="X66" s="540">
        <v>0</v>
      </c>
      <c r="Y66" s="540">
        <v>0</v>
      </c>
      <c r="Z66" s="540"/>
      <c r="AA66" s="540">
        <v>0</v>
      </c>
      <c r="AB66" s="540">
        <v>0</v>
      </c>
      <c r="AC66" s="540">
        <v>0</v>
      </c>
      <c r="AD66" s="540">
        <v>0</v>
      </c>
      <c r="AE66" s="540">
        <v>0</v>
      </c>
      <c r="AF66" s="540">
        <v>0</v>
      </c>
      <c r="AG66" s="540">
        <v>0</v>
      </c>
      <c r="AH66" s="540">
        <v>0</v>
      </c>
      <c r="AI66" s="540">
        <v>0</v>
      </c>
      <c r="AJ66" s="540">
        <v>0</v>
      </c>
      <c r="AK66" s="540">
        <v>0</v>
      </c>
      <c r="AL66" s="540">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97</v>
      </c>
      <c r="C67" s="540">
        <v>0</v>
      </c>
      <c r="D67" s="540">
        <v>0</v>
      </c>
      <c r="E67" s="540">
        <v>0</v>
      </c>
      <c r="F67" s="540">
        <v>0</v>
      </c>
      <c r="G67" s="540">
        <v>0</v>
      </c>
      <c r="H67" s="540">
        <v>0</v>
      </c>
      <c r="I67" s="540">
        <v>0</v>
      </c>
      <c r="J67" s="540">
        <v>0</v>
      </c>
      <c r="K67" s="540">
        <v>0</v>
      </c>
      <c r="L67" s="541">
        <v>0</v>
      </c>
      <c r="M67" s="540">
        <v>0</v>
      </c>
      <c r="N67" s="540">
        <v>0</v>
      </c>
      <c r="O67" s="540">
        <v>0</v>
      </c>
      <c r="P67" s="540">
        <v>0</v>
      </c>
      <c r="Q67" s="540">
        <v>0</v>
      </c>
      <c r="R67" s="540">
        <v>0</v>
      </c>
      <c r="S67" s="540">
        <v>0</v>
      </c>
      <c r="T67" s="540">
        <v>0</v>
      </c>
      <c r="U67" s="540">
        <v>0</v>
      </c>
      <c r="V67" s="540">
        <v>0</v>
      </c>
      <c r="W67" s="540">
        <v>0</v>
      </c>
      <c r="X67" s="540">
        <v>0</v>
      </c>
      <c r="Y67" s="540">
        <v>0</v>
      </c>
      <c r="Z67" s="540"/>
      <c r="AA67" s="540">
        <v>0</v>
      </c>
      <c r="AB67" s="540">
        <v>0</v>
      </c>
      <c r="AC67" s="540">
        <v>0</v>
      </c>
      <c r="AD67" s="540">
        <v>0</v>
      </c>
      <c r="AE67" s="540">
        <v>0</v>
      </c>
      <c r="AF67" s="540">
        <v>0</v>
      </c>
      <c r="AG67" s="540">
        <v>0</v>
      </c>
      <c r="AH67" s="540">
        <v>0</v>
      </c>
      <c r="AI67" s="540">
        <v>0</v>
      </c>
      <c r="AJ67" s="540">
        <v>0</v>
      </c>
      <c r="AK67" s="540">
        <v>0</v>
      </c>
      <c r="AL67" s="540">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100</v>
      </c>
      <c r="C68" s="540">
        <v>0</v>
      </c>
      <c r="D68" s="540">
        <v>0</v>
      </c>
      <c r="E68" s="540">
        <v>0</v>
      </c>
      <c r="F68" s="540">
        <v>0</v>
      </c>
      <c r="G68" s="540">
        <v>0</v>
      </c>
      <c r="H68" s="540">
        <v>0</v>
      </c>
      <c r="I68" s="540">
        <v>0</v>
      </c>
      <c r="J68" s="540">
        <v>0</v>
      </c>
      <c r="K68" s="540">
        <v>0</v>
      </c>
      <c r="L68" s="541">
        <v>0</v>
      </c>
      <c r="M68" s="540">
        <v>0</v>
      </c>
      <c r="N68" s="540">
        <v>0</v>
      </c>
      <c r="O68" s="540">
        <v>0</v>
      </c>
      <c r="P68" s="540">
        <v>0</v>
      </c>
      <c r="Q68" s="540">
        <v>0</v>
      </c>
      <c r="R68" s="540">
        <v>0</v>
      </c>
      <c r="S68" s="540">
        <v>0</v>
      </c>
      <c r="T68" s="540">
        <v>0</v>
      </c>
      <c r="U68" s="540">
        <v>0</v>
      </c>
      <c r="V68" s="540">
        <v>0</v>
      </c>
      <c r="W68" s="540">
        <v>0</v>
      </c>
      <c r="X68" s="540">
        <v>0</v>
      </c>
      <c r="Y68" s="540">
        <v>0</v>
      </c>
      <c r="Z68" s="540"/>
      <c r="AA68" s="540">
        <v>0</v>
      </c>
      <c r="AB68" s="540">
        <v>0</v>
      </c>
      <c r="AC68" s="540">
        <v>0</v>
      </c>
      <c r="AD68" s="540">
        <v>0</v>
      </c>
      <c r="AE68" s="540">
        <v>0</v>
      </c>
      <c r="AF68" s="540">
        <v>0</v>
      </c>
      <c r="AG68" s="540">
        <v>0</v>
      </c>
      <c r="AH68" s="540">
        <v>0</v>
      </c>
      <c r="AI68" s="540">
        <v>0</v>
      </c>
      <c r="AJ68" s="540">
        <v>0</v>
      </c>
      <c r="AK68" s="540">
        <v>0</v>
      </c>
      <c r="AL68" s="540">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103</v>
      </c>
      <c r="C69" s="540">
        <v>0</v>
      </c>
      <c r="D69" s="540">
        <v>0</v>
      </c>
      <c r="E69" s="540">
        <v>0</v>
      </c>
      <c r="F69" s="540">
        <v>0</v>
      </c>
      <c r="G69" s="540">
        <v>0</v>
      </c>
      <c r="H69" s="540">
        <v>0</v>
      </c>
      <c r="I69" s="540">
        <v>0</v>
      </c>
      <c r="J69" s="540">
        <v>0</v>
      </c>
      <c r="K69" s="540">
        <v>0</v>
      </c>
      <c r="L69" s="541">
        <v>0</v>
      </c>
      <c r="M69" s="540">
        <v>0</v>
      </c>
      <c r="N69" s="540">
        <v>0</v>
      </c>
      <c r="O69" s="540">
        <v>0</v>
      </c>
      <c r="P69" s="540">
        <v>0</v>
      </c>
      <c r="Q69" s="540">
        <v>0</v>
      </c>
      <c r="R69" s="540">
        <v>0</v>
      </c>
      <c r="S69" s="540">
        <v>0</v>
      </c>
      <c r="T69" s="540">
        <v>0</v>
      </c>
      <c r="U69" s="540">
        <v>0</v>
      </c>
      <c r="V69" s="540">
        <v>0</v>
      </c>
      <c r="W69" s="540">
        <v>0</v>
      </c>
      <c r="X69" s="540">
        <v>0</v>
      </c>
      <c r="Y69" s="540">
        <v>0</v>
      </c>
      <c r="Z69" s="540"/>
      <c r="AA69" s="540">
        <v>0</v>
      </c>
      <c r="AB69" s="540">
        <v>0</v>
      </c>
      <c r="AC69" s="540">
        <v>0</v>
      </c>
      <c r="AD69" s="540">
        <v>0</v>
      </c>
      <c r="AE69" s="540">
        <v>0</v>
      </c>
      <c r="AF69" s="540">
        <v>0</v>
      </c>
      <c r="AG69" s="540">
        <v>0</v>
      </c>
      <c r="AH69" s="540">
        <v>0</v>
      </c>
      <c r="AI69" s="540">
        <v>0</v>
      </c>
      <c r="AJ69" s="540">
        <v>0</v>
      </c>
      <c r="AK69" s="540">
        <v>0</v>
      </c>
      <c r="AL69" s="540">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106</v>
      </c>
      <c r="C70" s="540">
        <v>0</v>
      </c>
      <c r="D70" s="540">
        <v>0</v>
      </c>
      <c r="E70" s="540">
        <v>0</v>
      </c>
      <c r="F70" s="540">
        <v>0</v>
      </c>
      <c r="G70" s="540">
        <v>0</v>
      </c>
      <c r="H70" s="540">
        <v>0</v>
      </c>
      <c r="I70" s="540">
        <v>0</v>
      </c>
      <c r="J70" s="540">
        <v>0</v>
      </c>
      <c r="K70" s="540">
        <v>0</v>
      </c>
      <c r="L70" s="541">
        <v>0</v>
      </c>
      <c r="M70" s="540">
        <v>0</v>
      </c>
      <c r="N70" s="540">
        <v>0</v>
      </c>
      <c r="O70" s="540">
        <v>0</v>
      </c>
      <c r="P70" s="540">
        <v>0</v>
      </c>
      <c r="Q70" s="540">
        <v>0</v>
      </c>
      <c r="R70" s="540">
        <v>0</v>
      </c>
      <c r="S70" s="540">
        <v>0</v>
      </c>
      <c r="T70" s="540">
        <v>0</v>
      </c>
      <c r="U70" s="540">
        <v>0</v>
      </c>
      <c r="V70" s="540">
        <v>0</v>
      </c>
      <c r="W70" s="540">
        <v>0</v>
      </c>
      <c r="X70" s="540">
        <v>0</v>
      </c>
      <c r="Y70" s="540">
        <v>0</v>
      </c>
      <c r="Z70" s="540"/>
      <c r="AA70" s="540">
        <v>0</v>
      </c>
      <c r="AB70" s="540">
        <v>0</v>
      </c>
      <c r="AC70" s="540">
        <v>0</v>
      </c>
      <c r="AD70" s="540">
        <v>0</v>
      </c>
      <c r="AE70" s="540">
        <v>0</v>
      </c>
      <c r="AF70" s="540">
        <v>0</v>
      </c>
      <c r="AG70" s="540">
        <v>0</v>
      </c>
      <c r="AH70" s="540">
        <v>0</v>
      </c>
      <c r="AI70" s="540">
        <v>0</v>
      </c>
      <c r="AJ70" s="540">
        <v>0</v>
      </c>
      <c r="AK70" s="540">
        <v>0</v>
      </c>
      <c r="AL70" s="540">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109</v>
      </c>
      <c r="C71" s="540">
        <v>0</v>
      </c>
      <c r="D71" s="540">
        <v>0</v>
      </c>
      <c r="E71" s="540">
        <v>0</v>
      </c>
      <c r="F71" s="540">
        <v>0</v>
      </c>
      <c r="G71" s="540">
        <v>0</v>
      </c>
      <c r="H71" s="540">
        <v>0</v>
      </c>
      <c r="I71" s="540">
        <v>0</v>
      </c>
      <c r="J71" s="540">
        <v>0</v>
      </c>
      <c r="K71" s="540">
        <v>0</v>
      </c>
      <c r="L71" s="541">
        <v>0</v>
      </c>
      <c r="M71" s="540">
        <v>0</v>
      </c>
      <c r="N71" s="540">
        <v>0</v>
      </c>
      <c r="O71" s="540">
        <v>0</v>
      </c>
      <c r="P71" s="540">
        <v>0</v>
      </c>
      <c r="Q71" s="540">
        <v>0</v>
      </c>
      <c r="R71" s="540">
        <v>0</v>
      </c>
      <c r="S71" s="540">
        <v>0</v>
      </c>
      <c r="T71" s="540">
        <v>0</v>
      </c>
      <c r="U71" s="540">
        <v>0</v>
      </c>
      <c r="V71" s="540">
        <v>0</v>
      </c>
      <c r="W71" s="540">
        <v>0</v>
      </c>
      <c r="X71" s="540">
        <v>0</v>
      </c>
      <c r="Y71" s="540">
        <v>0</v>
      </c>
      <c r="Z71" s="540"/>
      <c r="AA71" s="540">
        <v>0</v>
      </c>
      <c r="AB71" s="540">
        <v>0</v>
      </c>
      <c r="AC71" s="540">
        <v>0</v>
      </c>
      <c r="AD71" s="540">
        <v>0</v>
      </c>
      <c r="AE71" s="540">
        <v>0</v>
      </c>
      <c r="AF71" s="540">
        <v>0</v>
      </c>
      <c r="AG71" s="540">
        <v>0</v>
      </c>
      <c r="AH71" s="540">
        <v>0</v>
      </c>
      <c r="AI71" s="540">
        <v>0</v>
      </c>
      <c r="AJ71" s="540">
        <v>0</v>
      </c>
      <c r="AK71" s="540">
        <v>0</v>
      </c>
      <c r="AL71" s="540">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112</v>
      </c>
      <c r="C72" s="540">
        <v>0</v>
      </c>
      <c r="D72" s="540">
        <v>0</v>
      </c>
      <c r="E72" s="540">
        <v>0</v>
      </c>
      <c r="F72" s="540">
        <v>0</v>
      </c>
      <c r="G72" s="540">
        <v>0</v>
      </c>
      <c r="H72" s="540">
        <v>0</v>
      </c>
      <c r="I72" s="540">
        <v>0</v>
      </c>
      <c r="J72" s="540">
        <v>0</v>
      </c>
      <c r="K72" s="540">
        <v>0</v>
      </c>
      <c r="L72" s="541">
        <v>0</v>
      </c>
      <c r="M72" s="540">
        <v>0</v>
      </c>
      <c r="N72" s="540">
        <v>0</v>
      </c>
      <c r="O72" s="540">
        <v>0</v>
      </c>
      <c r="P72" s="540">
        <v>0</v>
      </c>
      <c r="Q72" s="540">
        <v>0</v>
      </c>
      <c r="R72" s="540">
        <v>0</v>
      </c>
      <c r="S72" s="540">
        <v>0</v>
      </c>
      <c r="T72" s="540">
        <v>0</v>
      </c>
      <c r="U72" s="540">
        <v>0</v>
      </c>
      <c r="V72" s="540">
        <v>0</v>
      </c>
      <c r="W72" s="540">
        <v>0</v>
      </c>
      <c r="X72" s="540">
        <v>0</v>
      </c>
      <c r="Y72" s="540">
        <v>0</v>
      </c>
      <c r="Z72" s="540"/>
      <c r="AA72" s="540">
        <v>0</v>
      </c>
      <c r="AB72" s="540">
        <v>0</v>
      </c>
      <c r="AC72" s="540">
        <v>0</v>
      </c>
      <c r="AD72" s="540">
        <v>0</v>
      </c>
      <c r="AE72" s="540">
        <v>0</v>
      </c>
      <c r="AF72" s="540">
        <v>0</v>
      </c>
      <c r="AG72" s="540">
        <v>0</v>
      </c>
      <c r="AH72" s="540">
        <v>0</v>
      </c>
      <c r="AI72" s="540">
        <v>0</v>
      </c>
      <c r="AJ72" s="540">
        <v>0</v>
      </c>
      <c r="AK72" s="540">
        <v>0</v>
      </c>
      <c r="AL72" s="540">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115</v>
      </c>
      <c r="C73" s="540">
        <v>0</v>
      </c>
      <c r="D73" s="540">
        <v>0</v>
      </c>
      <c r="E73" s="540">
        <v>0</v>
      </c>
      <c r="F73" s="540">
        <v>0</v>
      </c>
      <c r="G73" s="540">
        <v>0</v>
      </c>
      <c r="H73" s="540">
        <v>0</v>
      </c>
      <c r="I73" s="540">
        <v>0</v>
      </c>
      <c r="J73" s="540">
        <v>0</v>
      </c>
      <c r="K73" s="540">
        <v>0</v>
      </c>
      <c r="L73" s="541">
        <v>0</v>
      </c>
      <c r="M73" s="540">
        <v>0</v>
      </c>
      <c r="N73" s="540">
        <v>0</v>
      </c>
      <c r="O73" s="540">
        <v>0</v>
      </c>
      <c r="P73" s="540">
        <v>0</v>
      </c>
      <c r="Q73" s="540">
        <v>0</v>
      </c>
      <c r="R73" s="540">
        <v>0</v>
      </c>
      <c r="S73" s="540">
        <v>0</v>
      </c>
      <c r="T73" s="540">
        <v>0</v>
      </c>
      <c r="U73" s="540">
        <v>0</v>
      </c>
      <c r="V73" s="540">
        <v>0</v>
      </c>
      <c r="W73" s="540">
        <v>0</v>
      </c>
      <c r="X73" s="540">
        <v>0</v>
      </c>
      <c r="Y73" s="540">
        <v>0</v>
      </c>
      <c r="Z73" s="540"/>
      <c r="AA73" s="540">
        <v>0</v>
      </c>
      <c r="AB73" s="540">
        <v>0</v>
      </c>
      <c r="AC73" s="540">
        <v>0</v>
      </c>
      <c r="AD73" s="540">
        <v>0</v>
      </c>
      <c r="AE73" s="540">
        <v>0</v>
      </c>
      <c r="AF73" s="540">
        <v>0</v>
      </c>
      <c r="AG73" s="540">
        <v>0</v>
      </c>
      <c r="AH73" s="540">
        <v>0</v>
      </c>
      <c r="AI73" s="540">
        <v>0</v>
      </c>
      <c r="AJ73" s="540">
        <v>0</v>
      </c>
      <c r="AK73" s="540">
        <v>0</v>
      </c>
      <c r="AL73" s="540">
        <v>0</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t="s">
        <v>118</v>
      </c>
      <c r="C74" s="540">
        <v>0</v>
      </c>
      <c r="D74" s="540">
        <v>0</v>
      </c>
      <c r="E74" s="540">
        <v>0</v>
      </c>
      <c r="F74" s="540">
        <v>0</v>
      </c>
      <c r="G74" s="540">
        <v>0</v>
      </c>
      <c r="H74" s="540">
        <v>0</v>
      </c>
      <c r="I74" s="540">
        <v>0</v>
      </c>
      <c r="J74" s="540">
        <v>0</v>
      </c>
      <c r="K74" s="540">
        <v>0</v>
      </c>
      <c r="L74" s="541">
        <v>0</v>
      </c>
      <c r="M74" s="540">
        <v>0</v>
      </c>
      <c r="N74" s="540">
        <v>0</v>
      </c>
      <c r="O74" s="540">
        <v>0</v>
      </c>
      <c r="P74" s="540">
        <v>0</v>
      </c>
      <c r="Q74" s="540">
        <v>0</v>
      </c>
      <c r="R74" s="540">
        <v>0</v>
      </c>
      <c r="S74" s="540">
        <v>0</v>
      </c>
      <c r="T74" s="540">
        <v>0</v>
      </c>
      <c r="U74" s="540">
        <v>0</v>
      </c>
      <c r="V74" s="540">
        <v>0</v>
      </c>
      <c r="W74" s="540">
        <v>0</v>
      </c>
      <c r="X74" s="540">
        <v>0</v>
      </c>
      <c r="Y74" s="540">
        <v>0</v>
      </c>
      <c r="Z74" s="540"/>
      <c r="AA74" s="540">
        <v>0</v>
      </c>
      <c r="AB74" s="540">
        <v>0</v>
      </c>
      <c r="AC74" s="540">
        <v>0</v>
      </c>
      <c r="AD74" s="540">
        <v>0</v>
      </c>
      <c r="AE74" s="540">
        <v>0</v>
      </c>
      <c r="AF74" s="540">
        <v>0</v>
      </c>
      <c r="AG74" s="540">
        <v>0</v>
      </c>
      <c r="AH74" s="540">
        <v>0</v>
      </c>
      <c r="AI74" s="540">
        <v>0</v>
      </c>
      <c r="AJ74" s="540">
        <v>0</v>
      </c>
      <c r="AK74" s="540">
        <v>0</v>
      </c>
      <c r="AL74" s="540">
        <v>0</v>
      </c>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t="s">
        <v>121</v>
      </c>
      <c r="C75" s="540">
        <v>0</v>
      </c>
      <c r="D75" s="540">
        <v>0</v>
      </c>
      <c r="E75" s="540">
        <v>0</v>
      </c>
      <c r="F75" s="540">
        <v>0</v>
      </c>
      <c r="G75" s="540">
        <v>0</v>
      </c>
      <c r="H75" s="540">
        <v>0</v>
      </c>
      <c r="I75" s="540">
        <v>0</v>
      </c>
      <c r="J75" s="540">
        <v>0</v>
      </c>
      <c r="K75" s="540">
        <v>0</v>
      </c>
      <c r="L75" s="541">
        <v>0</v>
      </c>
      <c r="M75" s="540">
        <v>0</v>
      </c>
      <c r="N75" s="540">
        <v>0</v>
      </c>
      <c r="O75" s="540">
        <v>0</v>
      </c>
      <c r="P75" s="540">
        <v>0</v>
      </c>
      <c r="Q75" s="540">
        <v>0</v>
      </c>
      <c r="R75" s="540">
        <v>0</v>
      </c>
      <c r="S75" s="540">
        <v>0</v>
      </c>
      <c r="T75" s="540">
        <v>0</v>
      </c>
      <c r="U75" s="540">
        <v>0</v>
      </c>
      <c r="V75" s="540">
        <v>0</v>
      </c>
      <c r="W75" s="540">
        <v>0</v>
      </c>
      <c r="X75" s="540">
        <v>0</v>
      </c>
      <c r="Y75" s="540">
        <v>0</v>
      </c>
      <c r="Z75" s="540"/>
      <c r="AA75" s="540">
        <v>0</v>
      </c>
      <c r="AB75" s="540">
        <v>0</v>
      </c>
      <c r="AC75" s="540">
        <v>0</v>
      </c>
      <c r="AD75" s="540">
        <v>0</v>
      </c>
      <c r="AE75" s="540">
        <v>0</v>
      </c>
      <c r="AF75" s="540">
        <v>0</v>
      </c>
      <c r="AG75" s="540">
        <v>0</v>
      </c>
      <c r="AH75" s="540">
        <v>0</v>
      </c>
      <c r="AI75" s="540">
        <v>0</v>
      </c>
      <c r="AJ75" s="540">
        <v>0</v>
      </c>
      <c r="AK75" s="540">
        <v>0</v>
      </c>
      <c r="AL75" s="540">
        <v>0</v>
      </c>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9" t="s">
        <v>124</v>
      </c>
      <c r="C76" s="540">
        <v>0</v>
      </c>
      <c r="D76" s="540">
        <v>0</v>
      </c>
      <c r="E76" s="540">
        <v>0</v>
      </c>
      <c r="F76" s="540">
        <v>0</v>
      </c>
      <c r="G76" s="540">
        <v>0</v>
      </c>
      <c r="H76" s="540">
        <v>0</v>
      </c>
      <c r="I76" s="540">
        <v>0</v>
      </c>
      <c r="J76" s="540">
        <v>0</v>
      </c>
      <c r="K76" s="540">
        <v>0</v>
      </c>
      <c r="L76" s="541">
        <v>0</v>
      </c>
      <c r="M76" s="540">
        <v>0</v>
      </c>
      <c r="N76" s="540">
        <v>0</v>
      </c>
      <c r="O76" s="540">
        <v>0</v>
      </c>
      <c r="P76" s="540">
        <v>0</v>
      </c>
      <c r="Q76" s="540">
        <v>0</v>
      </c>
      <c r="R76" s="540">
        <v>0</v>
      </c>
      <c r="S76" s="540">
        <v>0</v>
      </c>
      <c r="T76" s="540">
        <v>0</v>
      </c>
      <c r="U76" s="540">
        <v>0</v>
      </c>
      <c r="V76" s="540">
        <v>0</v>
      </c>
      <c r="W76" s="540">
        <v>0</v>
      </c>
      <c r="X76" s="540">
        <v>0</v>
      </c>
      <c r="Y76" s="540">
        <v>0</v>
      </c>
      <c r="Z76" s="540"/>
      <c r="AA76" s="540">
        <v>0</v>
      </c>
      <c r="AB76" s="540">
        <v>0</v>
      </c>
      <c r="AC76" s="540">
        <v>0</v>
      </c>
      <c r="AD76" s="540">
        <v>0</v>
      </c>
      <c r="AE76" s="540">
        <v>0</v>
      </c>
      <c r="AF76" s="540">
        <v>0</v>
      </c>
      <c r="AG76" s="540">
        <v>0</v>
      </c>
      <c r="AH76" s="540">
        <v>0</v>
      </c>
      <c r="AI76" s="540">
        <v>0</v>
      </c>
      <c r="AJ76" s="540">
        <v>0</v>
      </c>
      <c r="AK76" s="540">
        <v>0</v>
      </c>
      <c r="AL76" s="540">
        <v>0</v>
      </c>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127</v>
      </c>
      <c r="C77" s="540">
        <v>0</v>
      </c>
      <c r="D77" s="540">
        <v>0</v>
      </c>
      <c r="E77" s="540">
        <v>0</v>
      </c>
      <c r="F77" s="540">
        <v>0</v>
      </c>
      <c r="G77" s="540">
        <v>0</v>
      </c>
      <c r="H77" s="540">
        <v>0</v>
      </c>
      <c r="I77" s="540">
        <v>0</v>
      </c>
      <c r="J77" s="540">
        <v>0</v>
      </c>
      <c r="K77" s="540">
        <v>0</v>
      </c>
      <c r="L77" s="541">
        <v>0</v>
      </c>
      <c r="M77" s="540">
        <v>0</v>
      </c>
      <c r="N77" s="540">
        <v>0</v>
      </c>
      <c r="O77" s="540">
        <v>0</v>
      </c>
      <c r="P77" s="540">
        <v>0</v>
      </c>
      <c r="Q77" s="540">
        <v>0</v>
      </c>
      <c r="R77" s="540">
        <v>0</v>
      </c>
      <c r="S77" s="540">
        <v>0</v>
      </c>
      <c r="T77" s="540">
        <v>0</v>
      </c>
      <c r="U77" s="540">
        <v>0</v>
      </c>
      <c r="V77" s="540">
        <v>0</v>
      </c>
      <c r="W77" s="540">
        <v>0</v>
      </c>
      <c r="X77" s="540">
        <v>0</v>
      </c>
      <c r="Y77" s="540">
        <v>0</v>
      </c>
      <c r="Z77" s="540"/>
      <c r="AA77" s="540">
        <v>0</v>
      </c>
      <c r="AB77" s="540">
        <v>0</v>
      </c>
      <c r="AC77" s="540">
        <v>0</v>
      </c>
      <c r="AD77" s="540">
        <v>0</v>
      </c>
      <c r="AE77" s="540">
        <v>0</v>
      </c>
      <c r="AF77" s="540">
        <v>0</v>
      </c>
      <c r="AG77" s="540">
        <v>0</v>
      </c>
      <c r="AH77" s="540">
        <v>0</v>
      </c>
      <c r="AI77" s="540">
        <v>0</v>
      </c>
      <c r="AJ77" s="540">
        <v>0</v>
      </c>
      <c r="AK77" s="540">
        <v>0</v>
      </c>
      <c r="AL77" s="540">
        <v>0</v>
      </c>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130</v>
      </c>
      <c r="C78" s="540">
        <v>0</v>
      </c>
      <c r="D78" s="540">
        <v>0</v>
      </c>
      <c r="E78" s="540">
        <v>0</v>
      </c>
      <c r="F78" s="540">
        <v>0</v>
      </c>
      <c r="G78" s="540">
        <v>0</v>
      </c>
      <c r="H78" s="540">
        <v>0</v>
      </c>
      <c r="I78" s="540">
        <v>0</v>
      </c>
      <c r="J78" s="540">
        <v>0</v>
      </c>
      <c r="K78" s="540">
        <v>0</v>
      </c>
      <c r="L78" s="541">
        <v>0</v>
      </c>
      <c r="M78" s="540">
        <v>0</v>
      </c>
      <c r="N78" s="540">
        <v>0</v>
      </c>
      <c r="O78" s="540">
        <v>0</v>
      </c>
      <c r="P78" s="540">
        <v>0</v>
      </c>
      <c r="Q78" s="540">
        <v>0</v>
      </c>
      <c r="R78" s="540">
        <v>0</v>
      </c>
      <c r="S78" s="540">
        <v>0</v>
      </c>
      <c r="T78" s="540">
        <v>0</v>
      </c>
      <c r="U78" s="540">
        <v>0</v>
      </c>
      <c r="V78" s="540">
        <v>0</v>
      </c>
      <c r="W78" s="540">
        <v>0</v>
      </c>
      <c r="X78" s="540">
        <v>0</v>
      </c>
      <c r="Y78" s="540">
        <v>0</v>
      </c>
      <c r="Z78" s="540"/>
      <c r="AA78" s="540">
        <v>0</v>
      </c>
      <c r="AB78" s="540">
        <v>0</v>
      </c>
      <c r="AC78" s="540">
        <v>0</v>
      </c>
      <c r="AD78" s="540">
        <v>0</v>
      </c>
      <c r="AE78" s="540">
        <v>0</v>
      </c>
      <c r="AF78" s="540">
        <v>0</v>
      </c>
      <c r="AG78" s="540">
        <v>0</v>
      </c>
      <c r="AH78" s="540">
        <v>0</v>
      </c>
      <c r="AI78" s="540">
        <v>0</v>
      </c>
      <c r="AJ78" s="540">
        <v>0</v>
      </c>
      <c r="AK78" s="540">
        <v>0</v>
      </c>
      <c r="AL78" s="540">
        <v>0</v>
      </c>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133</v>
      </c>
      <c r="C79" s="36">
        <v>32.182599808073434</v>
      </c>
      <c r="D79" s="36">
        <v>32.481666666666662</v>
      </c>
      <c r="E79" s="36">
        <v>6.4963333333333324</v>
      </c>
      <c r="F79" s="36">
        <v>38.977999999999994</v>
      </c>
      <c r="G79" s="36">
        <v>107.39555597329152</v>
      </c>
      <c r="H79" s="36">
        <v>20.072171819841429</v>
      </c>
      <c r="I79" s="36">
        <v>10609.68604265288</v>
      </c>
      <c r="J79" s="36">
        <v>54.975229605574036</v>
      </c>
      <c r="K79" s="36">
        <v>236.63736937731289</v>
      </c>
      <c r="L79" s="532">
        <v>0.18689946374348329</v>
      </c>
      <c r="M79" s="36">
        <v>0.30574060656240026</v>
      </c>
      <c r="N79" s="41">
        <v>0.93663111559042656</v>
      </c>
      <c r="O79" s="41">
        <v>0.83062478670883133</v>
      </c>
      <c r="P79" s="41">
        <v>1.4757665151754269</v>
      </c>
      <c r="Q79" s="41">
        <v>1.8612985054724429</v>
      </c>
      <c r="R79" s="41">
        <v>1.9810409820688863</v>
      </c>
      <c r="S79" s="41">
        <v>1.7357806294424625</v>
      </c>
      <c r="T79" s="41">
        <v>1.7436248609667384</v>
      </c>
      <c r="U79" s="41">
        <v>1.737823484003987</v>
      </c>
      <c r="V79" s="41">
        <v>1.6075780385085403</v>
      </c>
      <c r="W79" s="41">
        <v>1.7080921561343001</v>
      </c>
      <c r="X79" s="41">
        <v>1.7055203142325539</v>
      </c>
      <c r="Y79" s="41">
        <v>1.900901147070073</v>
      </c>
      <c r="Z79" s="41"/>
      <c r="AA79" s="41">
        <v>0.71470232114030108</v>
      </c>
      <c r="AB79" s="41">
        <v>0.59906701076470636</v>
      </c>
      <c r="AC79" s="41">
        <v>0.85125913943884035</v>
      </c>
      <c r="AD79" s="41">
        <v>1.2991041047217715</v>
      </c>
      <c r="AE79" s="41">
        <v>1.4103785158211344</v>
      </c>
      <c r="AF79" s="41">
        <v>1.1315089214004166</v>
      </c>
      <c r="AG79" s="41">
        <v>1.3309411904084394</v>
      </c>
      <c r="AH79" s="41">
        <v>0.94477103934712769</v>
      </c>
      <c r="AI79" s="41">
        <v>1.1409267658898763</v>
      </c>
      <c r="AJ79" s="41">
        <v>0.97864988040653711</v>
      </c>
      <c r="AK79" s="41">
        <v>1.2301024182073412</v>
      </c>
      <c r="AL79" s="41">
        <v>1.3265059651522715</v>
      </c>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ht="13.5" thickBot="1">
      <c r="A82" s="34" t="s">
        <v>45</v>
      </c>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ht="13.5" thickBot="1">
      <c r="A83" s="543"/>
      <c r="B83" s="42"/>
      <c r="C83" s="43"/>
      <c r="D83" s="43"/>
      <c r="E83" s="43"/>
      <c r="F83" s="43"/>
      <c r="G83" s="43"/>
      <c r="H83" s="43"/>
      <c r="I83" s="43"/>
      <c r="J83" s="43"/>
      <c r="K83" s="43"/>
      <c r="L83" s="43"/>
      <c r="M83" s="43"/>
      <c r="N83" s="43"/>
      <c r="O83" s="44" t="s">
        <v>1119</v>
      </c>
      <c r="P83" s="45"/>
      <c r="Q83" s="45"/>
      <c r="R83" s="45"/>
      <c r="S83" s="45"/>
      <c r="T83" s="45"/>
      <c r="U83" s="45"/>
      <c r="V83" s="45"/>
      <c r="W83" s="45"/>
      <c r="X83" s="45"/>
      <c r="Y83" s="45"/>
      <c r="Z83" s="40"/>
      <c r="AA83" s="43"/>
      <c r="AB83" s="44" t="s">
        <v>1120</v>
      </c>
      <c r="AC83" s="45"/>
      <c r="AD83" s="45"/>
      <c r="AE83" s="45"/>
      <c r="AF83" s="45"/>
      <c r="AG83" s="45"/>
      <c r="AH83" s="45"/>
      <c r="AI83" s="45"/>
      <c r="AJ83" s="45"/>
      <c r="AK83" s="45"/>
      <c r="AL83" s="45"/>
      <c r="AM83" s="40"/>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ht="191.25">
      <c r="A84" s="544" t="s">
        <v>21</v>
      </c>
      <c r="B84" s="37" t="s">
        <v>22</v>
      </c>
      <c r="C84" s="38" t="s">
        <v>46</v>
      </c>
      <c r="D84" s="38" t="s">
        <v>25</v>
      </c>
      <c r="E84" s="38" t="s">
        <v>26</v>
      </c>
      <c r="F84" s="38" t="s">
        <v>27</v>
      </c>
      <c r="G84" s="38" t="s">
        <v>28</v>
      </c>
      <c r="H84" s="38" t="s">
        <v>29</v>
      </c>
      <c r="I84" s="38" t="s">
        <v>30</v>
      </c>
      <c r="J84" s="38" t="s">
        <v>31</v>
      </c>
      <c r="K84" s="38" t="s">
        <v>24</v>
      </c>
      <c r="L84" s="38" t="s">
        <v>23</v>
      </c>
      <c r="M84" s="38" t="s">
        <v>32</v>
      </c>
      <c r="N84" s="38" t="s">
        <v>1121</v>
      </c>
      <c r="O84" s="38" t="s">
        <v>33</v>
      </c>
      <c r="P84" s="38" t="s">
        <v>34</v>
      </c>
      <c r="Q84" s="38" t="s">
        <v>35</v>
      </c>
      <c r="R84" s="38" t="s">
        <v>36</v>
      </c>
      <c r="S84" s="38" t="s">
        <v>37</v>
      </c>
      <c r="T84" s="38" t="s">
        <v>38</v>
      </c>
      <c r="U84" s="38" t="s">
        <v>39</v>
      </c>
      <c r="V84" s="38" t="s">
        <v>40</v>
      </c>
      <c r="W84" s="38" t="s">
        <v>41</v>
      </c>
      <c r="X84" s="38" t="s">
        <v>42</v>
      </c>
      <c r="Y84" s="38" t="s">
        <v>43</v>
      </c>
      <c r="Z84" s="38" t="s">
        <v>44</v>
      </c>
      <c r="AA84" s="38"/>
      <c r="AB84" s="38" t="s">
        <v>33</v>
      </c>
      <c r="AC84" s="38" t="s">
        <v>34</v>
      </c>
      <c r="AD84" s="38" t="s">
        <v>35</v>
      </c>
      <c r="AE84" s="38" t="s">
        <v>36</v>
      </c>
      <c r="AF84" s="38" t="s">
        <v>37</v>
      </c>
      <c r="AG84" s="38" t="s">
        <v>38</v>
      </c>
      <c r="AH84" s="38" t="s">
        <v>39</v>
      </c>
      <c r="AI84" s="38" t="s">
        <v>40</v>
      </c>
      <c r="AJ84" s="38" t="s">
        <v>41</v>
      </c>
      <c r="AK84" s="38" t="s">
        <v>42</v>
      </c>
      <c r="AL84" s="38" t="s">
        <v>43</v>
      </c>
      <c r="AM84" s="38" t="s">
        <v>44</v>
      </c>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t="s">
        <v>794</v>
      </c>
      <c r="B85" s="9"/>
      <c r="C85" s="41">
        <v>42.910133077431247</v>
      </c>
      <c r="D85" s="41">
        <v>0</v>
      </c>
      <c r="E85" s="41">
        <v>0</v>
      </c>
      <c r="F85" s="41">
        <v>0</v>
      </c>
      <c r="G85" s="41">
        <v>0</v>
      </c>
      <c r="H85" s="41">
        <v>26.762895759788577</v>
      </c>
      <c r="I85" s="41">
        <v>0</v>
      </c>
      <c r="J85" s="41">
        <v>-8.9100081856585778</v>
      </c>
      <c r="K85" s="41">
        <v>-8.9100081856585778</v>
      </c>
      <c r="L85" s="39">
        <v>9999</v>
      </c>
      <c r="M85" s="41">
        <v>0.40765414208319989</v>
      </c>
      <c r="N85" s="41">
        <v>6.7339705814560636E-3</v>
      </c>
      <c r="O85" s="41">
        <v>1.248841487453902</v>
      </c>
      <c r="P85" s="41">
        <v>1.1074997156117752</v>
      </c>
      <c r="Q85" s="41">
        <v>1.9676886869005692</v>
      </c>
      <c r="R85" s="41">
        <v>2.4817313406299237</v>
      </c>
      <c r="S85" s="41">
        <v>2.6413879760918486</v>
      </c>
      <c r="T85" s="41">
        <v>2.3143741725899498</v>
      </c>
      <c r="U85" s="41">
        <v>2.3248331479556512</v>
      </c>
      <c r="V85" s="41">
        <v>2.317097978671983</v>
      </c>
      <c r="W85" s="41">
        <v>2.1434373846780539</v>
      </c>
      <c r="X85" s="41">
        <v>2.2774562081790668</v>
      </c>
      <c r="Y85" s="41">
        <v>2.2740270856434055</v>
      </c>
      <c r="Z85" s="41">
        <v>2.534534862760097</v>
      </c>
      <c r="AA85" s="41"/>
      <c r="AB85" s="41">
        <v>0.95293642818706803</v>
      </c>
      <c r="AC85" s="41">
        <v>0.79875601435294175</v>
      </c>
      <c r="AD85" s="41">
        <v>1.1350121859184539</v>
      </c>
      <c r="AE85" s="41">
        <v>1.7321388062956955</v>
      </c>
      <c r="AF85" s="41">
        <v>1.8805046877615126</v>
      </c>
      <c r="AG85" s="41">
        <v>1.5086785618672223</v>
      </c>
      <c r="AH85" s="41">
        <v>1.7745882538779192</v>
      </c>
      <c r="AI85" s="41">
        <v>1.2596947191295036</v>
      </c>
      <c r="AJ85" s="41">
        <v>1.5212356878531683</v>
      </c>
      <c r="AK85" s="41">
        <v>1.3048665072087162</v>
      </c>
      <c r="AL85" s="41">
        <v>1.6401365576097882</v>
      </c>
      <c r="AM85" s="36">
        <v>1.7686746202030288</v>
      </c>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t="s">
        <v>795</v>
      </c>
      <c r="B86" s="9"/>
      <c r="C86" s="41">
        <v>268.66551402974153</v>
      </c>
      <c r="D86" s="41">
        <v>64.97999999999999</v>
      </c>
      <c r="E86" s="41">
        <v>12.995999999999999</v>
      </c>
      <c r="F86" s="41">
        <v>77.975999999999985</v>
      </c>
      <c r="G86" s="41">
        <v>214.84621767595516</v>
      </c>
      <c r="H86" s="41">
        <v>182.97339987861497</v>
      </c>
      <c r="I86" s="41">
        <v>2542.4541831013839</v>
      </c>
      <c r="J86" s="41">
        <v>3.1262768556726508</v>
      </c>
      <c r="K86" s="41">
        <v>46.658919133400126</v>
      </c>
      <c r="L86" s="532">
        <v>0.85164822475295876</v>
      </c>
      <c r="M86" s="41">
        <v>2.5523382684832088</v>
      </c>
      <c r="N86" s="41">
        <v>5.7649420572911621E-2</v>
      </c>
      <c r="O86" s="41">
        <v>17.831318380953835</v>
      </c>
      <c r="P86" s="41">
        <v>14.992781313023245</v>
      </c>
      <c r="Q86" s="41">
        <v>17.616631632279553</v>
      </c>
      <c r="R86" s="41">
        <v>12.956035877768267</v>
      </c>
      <c r="S86" s="41">
        <v>13.829550633491598</v>
      </c>
      <c r="T86" s="41">
        <v>14.683416912373106</v>
      </c>
      <c r="U86" s="41">
        <v>13.14410859909767</v>
      </c>
      <c r="V86" s="41">
        <v>15.656132376931934</v>
      </c>
      <c r="W86" s="41">
        <v>13.354466994339782</v>
      </c>
      <c r="X86" s="41">
        <v>16.218575944482986</v>
      </c>
      <c r="Y86" s="41">
        <v>14.8573999262311</v>
      </c>
      <c r="Z86" s="41">
        <v>15.627978305676624</v>
      </c>
      <c r="AA86" s="41"/>
      <c r="AB86" s="41">
        <v>9.1131544498705921</v>
      </c>
      <c r="AC86" s="41">
        <v>7.4889716255511036</v>
      </c>
      <c r="AD86" s="41">
        <v>7.1806362404258843</v>
      </c>
      <c r="AE86" s="41">
        <v>6.9973436727584879</v>
      </c>
      <c r="AF86" s="41">
        <v>7.5976700872860086</v>
      </c>
      <c r="AG86" s="41">
        <v>6.7891720968089286</v>
      </c>
      <c r="AH86" s="41">
        <v>7.9022041122260784</v>
      </c>
      <c r="AI86" s="41">
        <v>6.1687103867513944</v>
      </c>
      <c r="AJ86" s="41">
        <v>6.6841732375273581</v>
      </c>
      <c r="AK86" s="41">
        <v>6.0820848947009694</v>
      </c>
      <c r="AL86" s="41">
        <v>7.6693586132916893</v>
      </c>
      <c r="AM86" s="36">
        <v>8.2236377158933571</v>
      </c>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t="s">
        <v>793</v>
      </c>
      <c r="B87" s="9"/>
      <c r="C87" s="41">
        <v>32.182599808073434</v>
      </c>
      <c r="D87" s="41">
        <v>32.481666666666662</v>
      </c>
      <c r="E87" s="41">
        <v>6.4963333333333324</v>
      </c>
      <c r="F87" s="41">
        <v>38.977999999999994</v>
      </c>
      <c r="G87" s="41">
        <v>107.39555597329152</v>
      </c>
      <c r="H87" s="41">
        <v>20.072171819841429</v>
      </c>
      <c r="I87" s="41">
        <v>10609.68604265288</v>
      </c>
      <c r="J87" s="41">
        <v>54.975229605574036</v>
      </c>
      <c r="K87" s="41">
        <v>236.63736937731289</v>
      </c>
      <c r="L87" s="532">
        <v>0.18689946374348329</v>
      </c>
      <c r="M87" s="41">
        <v>0.30574060656240026</v>
      </c>
      <c r="N87" s="41">
        <v>5.0504779360920479E-3</v>
      </c>
      <c r="O87" s="41">
        <v>0.93663111559042656</v>
      </c>
      <c r="P87" s="41">
        <v>0.83062478670883133</v>
      </c>
      <c r="Q87" s="41">
        <v>1.4757665151754269</v>
      </c>
      <c r="R87" s="41">
        <v>1.8612985054724429</v>
      </c>
      <c r="S87" s="41">
        <v>1.9810409820688863</v>
      </c>
      <c r="T87" s="41">
        <v>1.7357806294424625</v>
      </c>
      <c r="U87" s="41">
        <v>1.7436248609667384</v>
      </c>
      <c r="V87" s="41">
        <v>1.737823484003987</v>
      </c>
      <c r="W87" s="41">
        <v>1.6075780385085403</v>
      </c>
      <c r="X87" s="41">
        <v>1.7080921561343001</v>
      </c>
      <c r="Y87" s="41">
        <v>1.7055203142325539</v>
      </c>
      <c r="Z87" s="41">
        <v>1.900901147070073</v>
      </c>
      <c r="AA87" s="41"/>
      <c r="AB87" s="41">
        <v>0.71470232114030108</v>
      </c>
      <c r="AC87" s="41">
        <v>0.59906701076470636</v>
      </c>
      <c r="AD87" s="41">
        <v>0.85125913943884035</v>
      </c>
      <c r="AE87" s="41">
        <v>1.2991041047217715</v>
      </c>
      <c r="AF87" s="41">
        <v>1.4103785158211344</v>
      </c>
      <c r="AG87" s="41">
        <v>1.1315089214004166</v>
      </c>
      <c r="AH87" s="41">
        <v>1.3309411904084394</v>
      </c>
      <c r="AI87" s="41">
        <v>0.94477103934712769</v>
      </c>
      <c r="AJ87" s="41">
        <v>1.1409267658898763</v>
      </c>
      <c r="AK87" s="41">
        <v>0.97864988040653711</v>
      </c>
      <c r="AL87" s="41">
        <v>1.2301024182073412</v>
      </c>
      <c r="AM87" s="36">
        <v>1.3265059651522715</v>
      </c>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c r="A88" s="9"/>
      <c r="B88" s="9"/>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4:DB24"/>
  <sheetViews>
    <sheetView workbookViewId="0">
      <selection activeCell="F20" sqref="F20"/>
    </sheetView>
  </sheetViews>
  <sheetFormatPr defaultRowHeight="12.75"/>
  <cols>
    <col min="1" max="1" width="19.140625" customWidth="1"/>
    <col min="2" max="2" width="63" customWidth="1"/>
    <col min="3" max="3" width="35.5703125" customWidth="1"/>
    <col min="7" max="7" width="12.42578125" bestFit="1" customWidth="1"/>
    <col min="16" max="16" width="11.140625" customWidth="1"/>
  </cols>
  <sheetData>
    <row r="4" spans="1:106">
      <c r="A4" s="47" t="s">
        <v>791</v>
      </c>
    </row>
    <row r="5" spans="1:106" s="9" customFormat="1">
      <c r="B5" s="14" t="s">
        <v>3</v>
      </c>
      <c r="C5" s="15"/>
      <c r="D5" s="15"/>
      <c r="E5" s="15"/>
      <c r="F5" s="15"/>
      <c r="G5" s="15"/>
      <c r="H5" s="16"/>
      <c r="I5" s="17"/>
      <c r="J5" s="577" t="s">
        <v>4</v>
      </c>
      <c r="K5" s="578"/>
      <c r="L5" s="578"/>
      <c r="M5" s="578"/>
      <c r="N5" s="578"/>
      <c r="O5" s="579"/>
      <c r="P5" s="580" t="s">
        <v>5</v>
      </c>
      <c r="Q5" s="581"/>
      <c r="R5" s="18"/>
      <c r="S5" s="19"/>
      <c r="T5" s="19"/>
      <c r="U5" s="19"/>
      <c r="V5" s="19"/>
      <c r="W5" s="19"/>
      <c r="X5" s="19"/>
      <c r="Y5" s="20"/>
      <c r="Z5" s="21"/>
      <c r="AA5" s="19"/>
      <c r="AB5" s="19"/>
      <c r="AC5" s="19"/>
      <c r="AD5" s="19"/>
      <c r="AE5" s="19"/>
      <c r="AF5" s="22"/>
      <c r="AG5" s="22"/>
      <c r="AH5" s="22"/>
      <c r="AI5" s="22"/>
      <c r="AJ5" s="22"/>
      <c r="AK5" s="22"/>
      <c r="AL5" s="22"/>
      <c r="AM5" s="22"/>
      <c r="AN5" s="22"/>
      <c r="AO5" s="22"/>
      <c r="AP5" s="22"/>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9" customFormat="1" ht="25.5">
      <c r="B6" s="23" t="s">
        <v>6</v>
      </c>
      <c r="C6" s="23" t="s">
        <v>7</v>
      </c>
      <c r="D6" s="23" t="s">
        <v>8</v>
      </c>
      <c r="E6" s="23" t="s">
        <v>9</v>
      </c>
      <c r="F6" s="23" t="s">
        <v>10</v>
      </c>
      <c r="G6" s="23" t="s">
        <v>11</v>
      </c>
      <c r="H6" s="23" t="s">
        <v>12</v>
      </c>
      <c r="I6" s="23" t="s">
        <v>13</v>
      </c>
      <c r="J6" s="23" t="s">
        <v>14</v>
      </c>
      <c r="K6" s="23" t="s">
        <v>15</v>
      </c>
      <c r="L6" s="23" t="s">
        <v>16</v>
      </c>
      <c r="M6" s="23" t="s">
        <v>17</v>
      </c>
      <c r="N6" s="23" t="s">
        <v>18</v>
      </c>
      <c r="O6" s="23" t="s">
        <v>19</v>
      </c>
      <c r="P6" s="24" t="s">
        <v>20</v>
      </c>
      <c r="Q6" s="23" t="s">
        <v>12</v>
      </c>
      <c r="R6" s="25"/>
      <c r="S6" s="25"/>
      <c r="T6" s="25"/>
      <c r="U6" s="25"/>
      <c r="V6" s="25"/>
      <c r="W6" s="25"/>
      <c r="X6" s="25"/>
      <c r="Y6" s="25"/>
      <c r="Z6" s="25"/>
      <c r="AA6" s="25"/>
      <c r="AB6" s="25"/>
      <c r="AC6" s="25"/>
      <c r="AD6" s="25"/>
      <c r="AE6" s="25"/>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ht="25.5">
      <c r="B7" s="26" t="str">
        <f>RawRTF!B8</f>
        <v>Load sensing advanced power strip - owner installed</v>
      </c>
      <c r="C7" s="26" t="str">
        <f>RawRTF!C8</f>
        <v>Load sensing advanced power strip - owner installed</v>
      </c>
      <c r="D7" s="26">
        <f>RawRTF!D8</f>
        <v>30</v>
      </c>
      <c r="E7" s="26">
        <f>RawRTF!E8</f>
        <v>5</v>
      </c>
      <c r="F7" s="29">
        <f>RawRTF!F8</f>
        <v>32.481666666666662</v>
      </c>
      <c r="G7" s="26">
        <f>RawRTF!G8</f>
        <v>0</v>
      </c>
      <c r="H7" s="26" t="str">
        <f>RawRTF!H8</f>
        <v>FLAT</v>
      </c>
      <c r="I7" s="26">
        <f>RawRTF!I8</f>
        <v>0</v>
      </c>
      <c r="J7" s="26">
        <f>RawRTF!J8</f>
        <v>0</v>
      </c>
      <c r="K7" s="26">
        <f>RawRTF!K8</f>
        <v>0</v>
      </c>
      <c r="L7" s="26">
        <f>RawRTF!L8</f>
        <v>0</v>
      </c>
      <c r="M7" s="26">
        <f>RawRTF!M8</f>
        <v>0</v>
      </c>
      <c r="N7" s="26">
        <f>RawRTF!N8</f>
        <v>0</v>
      </c>
      <c r="O7" s="26">
        <f>RawRTF!O8</f>
        <v>0</v>
      </c>
      <c r="P7" s="26">
        <f>RawRTF!P8</f>
        <v>0</v>
      </c>
      <c r="Q7" s="26"/>
      <c r="R7" s="46"/>
      <c r="S7" s="46"/>
      <c r="T7" s="46"/>
      <c r="U7" s="46"/>
      <c r="V7" s="46"/>
      <c r="W7" s="46"/>
      <c r="X7" s="46"/>
      <c r="Y7" s="46"/>
      <c r="Z7" s="46"/>
      <c r="AA7" s="46"/>
      <c r="AB7" s="46"/>
      <c r="AC7" s="46"/>
      <c r="AD7" s="46"/>
      <c r="AE7" s="46"/>
      <c r="AF7" s="46"/>
      <c r="AG7" s="46"/>
      <c r="AH7" s="46"/>
      <c r="AI7" s="46"/>
      <c r="AJ7" s="46"/>
      <c r="AK7" s="46"/>
      <c r="AL7" s="46"/>
      <c r="AM7" s="46"/>
    </row>
    <row r="8" spans="1:106" ht="25.5">
      <c r="B8" s="26" t="str">
        <f>RawRTF!B9</f>
        <v>Load sensing advanced power strip - direct-installed - home entertainment</v>
      </c>
      <c r="C8" s="26" t="str">
        <f>RawRTF!C9</f>
        <v>Load sensing advanced power strip - direct-installed - home entertainment</v>
      </c>
      <c r="D8" s="26">
        <f>RawRTF!D9</f>
        <v>40</v>
      </c>
      <c r="E8" s="26">
        <f>RawRTF!E9</f>
        <v>5</v>
      </c>
      <c r="F8" s="26">
        <f>RawRTF!F9</f>
        <v>35.010000000000005</v>
      </c>
      <c r="G8" s="26">
        <f>RawRTF!G9</f>
        <v>0</v>
      </c>
      <c r="H8" s="26" t="str">
        <f>RawRTF!H9</f>
        <v>FLAT</v>
      </c>
      <c r="I8" s="26">
        <f>RawRTF!I9</f>
        <v>0</v>
      </c>
      <c r="J8" s="26">
        <f>RawRTF!J9</f>
        <v>0</v>
      </c>
      <c r="K8" s="26">
        <f>RawRTF!K9</f>
        <v>0</v>
      </c>
      <c r="L8" s="26">
        <f>RawRTF!L9</f>
        <v>0</v>
      </c>
      <c r="M8" s="26">
        <f>RawRTF!M9</f>
        <v>0</v>
      </c>
      <c r="N8" s="26">
        <f>RawRTF!N9</f>
        <v>0</v>
      </c>
      <c r="O8" s="26">
        <f>RawRTF!O9</f>
        <v>0</v>
      </c>
      <c r="P8" s="26">
        <f>RawRTF!P9</f>
        <v>0</v>
      </c>
      <c r="Q8" s="26"/>
      <c r="R8" s="46"/>
      <c r="S8" s="46"/>
      <c r="T8" s="46"/>
      <c r="U8" s="46"/>
      <c r="V8" s="46"/>
      <c r="W8" s="46"/>
      <c r="X8" s="46"/>
      <c r="Y8" s="46"/>
      <c r="Z8" s="46"/>
      <c r="AA8" s="46"/>
      <c r="AB8" s="46"/>
      <c r="AC8" s="46"/>
      <c r="AD8" s="46"/>
      <c r="AE8" s="46"/>
      <c r="AF8" s="46"/>
      <c r="AG8" s="46"/>
      <c r="AH8" s="46"/>
      <c r="AI8" s="46"/>
      <c r="AJ8" s="46"/>
      <c r="AK8" s="46"/>
      <c r="AL8" s="46"/>
      <c r="AM8" s="46"/>
    </row>
    <row r="9" spans="1:106" ht="25.5">
      <c r="B9" s="26" t="str">
        <f>RawRTF!B10</f>
        <v>Load sensing advanced power strip - direct-installed - home office</v>
      </c>
      <c r="C9" s="26" t="str">
        <f>RawRTF!C10</f>
        <v>Load sensing advanced power strip - direct-installed - home office</v>
      </c>
      <c r="D9" s="26">
        <f>RawRTF!D10</f>
        <v>20</v>
      </c>
      <c r="E9" s="26">
        <f>RawRTF!E10</f>
        <v>5</v>
      </c>
      <c r="F9" s="26">
        <f>RawRTF!F10</f>
        <v>35.010000000000005</v>
      </c>
      <c r="G9" s="26">
        <f>RawRTF!G10</f>
        <v>0</v>
      </c>
      <c r="H9" s="26" t="str">
        <f>RawRTF!H10</f>
        <v>FLAT</v>
      </c>
      <c r="I9" s="26">
        <f>RawRTF!I10</f>
        <v>0</v>
      </c>
      <c r="J9" s="26">
        <f>RawRTF!J10</f>
        <v>0</v>
      </c>
      <c r="K9" s="26">
        <f>RawRTF!K10</f>
        <v>0</v>
      </c>
      <c r="L9" s="26">
        <f>RawRTF!L10</f>
        <v>0</v>
      </c>
      <c r="M9" s="26">
        <f>RawRTF!M10</f>
        <v>0</v>
      </c>
      <c r="N9" s="26">
        <f>RawRTF!N10</f>
        <v>0</v>
      </c>
      <c r="O9" s="26">
        <f>RawRTF!O10</f>
        <v>0</v>
      </c>
      <c r="P9" s="26">
        <f>RawRTF!P10</f>
        <v>0</v>
      </c>
      <c r="Q9" s="26"/>
      <c r="R9" s="46"/>
      <c r="S9" s="46"/>
      <c r="T9" s="46"/>
      <c r="U9" s="46"/>
      <c r="V9" s="46"/>
      <c r="W9" s="46"/>
      <c r="X9" s="46"/>
      <c r="Y9" s="46"/>
      <c r="Z9" s="46"/>
      <c r="AA9" s="46"/>
      <c r="AB9" s="46"/>
      <c r="AC9" s="46"/>
      <c r="AD9" s="46"/>
      <c r="AE9" s="46"/>
      <c r="AF9" s="46"/>
      <c r="AG9" s="46"/>
      <c r="AH9" s="46"/>
      <c r="AI9" s="46"/>
      <c r="AJ9" s="46"/>
      <c r="AK9" s="46"/>
      <c r="AL9" s="46"/>
      <c r="AM9" s="46"/>
    </row>
    <row r="10" spans="1:106" ht="25.5">
      <c r="B10" s="26" t="str">
        <f>RawRTF!B11</f>
        <v>Occupancy sensing advanced power strip - owner installed</v>
      </c>
      <c r="C10" s="26" t="str">
        <f>RawRTF!C11</f>
        <v>Occupancy sensing advanced power strip - owner installed</v>
      </c>
      <c r="D10" s="27">
        <f>RawRTF!D11-D7</f>
        <v>40</v>
      </c>
      <c r="E10" s="26">
        <f>RawRTF!E11</f>
        <v>5</v>
      </c>
      <c r="F10" s="27">
        <f>RawRTF!F11-F7</f>
        <v>0</v>
      </c>
      <c r="G10" s="26">
        <f>RawRTF!G11</f>
        <v>0</v>
      </c>
      <c r="H10" s="26" t="str">
        <f>RawRTF!H11</f>
        <v>FLAT</v>
      </c>
      <c r="I10" s="26">
        <f>RawRTF!I11</f>
        <v>0</v>
      </c>
      <c r="J10" s="26">
        <f>RawRTF!J11</f>
        <v>0</v>
      </c>
      <c r="K10" s="26">
        <f>RawRTF!K11</f>
        <v>0</v>
      </c>
      <c r="L10" s="26">
        <f>RawRTF!L11</f>
        <v>0</v>
      </c>
      <c r="M10" s="26">
        <f>RawRTF!M11</f>
        <v>0</v>
      </c>
      <c r="N10" s="26">
        <f>RawRTF!N11</f>
        <v>0</v>
      </c>
      <c r="O10" s="26">
        <f>RawRTF!O11</f>
        <v>0</v>
      </c>
      <c r="P10" s="26">
        <f>RawRTF!P11</f>
        <v>0</v>
      </c>
      <c r="Q10" s="26"/>
      <c r="R10" s="46"/>
      <c r="S10" s="46"/>
      <c r="T10" s="46"/>
      <c r="U10" s="46"/>
      <c r="V10" s="46"/>
      <c r="W10" s="46"/>
      <c r="X10" s="46"/>
      <c r="Y10" s="46"/>
      <c r="Z10" s="46"/>
      <c r="AA10" s="46"/>
      <c r="AB10" s="46"/>
      <c r="AC10" s="46"/>
      <c r="AD10" s="46"/>
      <c r="AE10" s="46"/>
      <c r="AF10" s="46"/>
      <c r="AG10" s="46"/>
      <c r="AH10" s="46"/>
      <c r="AI10" s="46"/>
      <c r="AJ10" s="46"/>
      <c r="AK10" s="46"/>
      <c r="AL10" s="46"/>
      <c r="AM10" s="46"/>
    </row>
    <row r="11" spans="1:106" ht="25.5">
      <c r="B11" s="26" t="str">
        <f>RawRTF!B12</f>
        <v>Occupancy sensing advanced power strip - direct-installed</v>
      </c>
      <c r="C11" s="26" t="str">
        <f>RawRTF!C12</f>
        <v>Occupancy sensing advanced power strip - direct-installed</v>
      </c>
      <c r="D11" s="27">
        <f>RawRTF!D12-D9</f>
        <v>50</v>
      </c>
      <c r="E11" s="26">
        <f>RawRTF!E12</f>
        <v>5</v>
      </c>
      <c r="F11" s="27">
        <f>RawRTF!F12-F9</f>
        <v>0</v>
      </c>
      <c r="G11" s="26">
        <f>RawRTF!G12</f>
        <v>0</v>
      </c>
      <c r="H11" s="26" t="str">
        <f>RawRTF!H12</f>
        <v>FLAT</v>
      </c>
      <c r="I11" s="26">
        <f>RawRTF!I12</f>
        <v>0</v>
      </c>
      <c r="J11" s="26">
        <f>RawRTF!J12</f>
        <v>0</v>
      </c>
      <c r="K11" s="26">
        <f>RawRTF!K12</f>
        <v>0</v>
      </c>
      <c r="L11" s="26">
        <f>RawRTF!L12</f>
        <v>0</v>
      </c>
      <c r="M11" s="26">
        <f>RawRTF!M12</f>
        <v>0</v>
      </c>
      <c r="N11" s="26">
        <f>RawRTF!N12</f>
        <v>0</v>
      </c>
      <c r="O11" s="26">
        <f>RawRTF!O12</f>
        <v>0</v>
      </c>
      <c r="P11" s="26">
        <f>RawRTF!P12</f>
        <v>0</v>
      </c>
      <c r="Q11" s="26"/>
      <c r="R11" s="46"/>
      <c r="S11" s="46"/>
      <c r="T11" s="46"/>
      <c r="U11" s="46"/>
      <c r="V11" s="46"/>
      <c r="W11" s="46"/>
      <c r="X11" s="46"/>
      <c r="Y11" s="46"/>
      <c r="Z11" s="46"/>
      <c r="AA11" s="46"/>
      <c r="AB11" s="46"/>
      <c r="AC11" s="46"/>
      <c r="AD11" s="46"/>
      <c r="AE11" s="46"/>
      <c r="AF11" s="46"/>
      <c r="AG11" s="46"/>
      <c r="AH11" s="46"/>
      <c r="AI11" s="46"/>
      <c r="AJ11" s="46"/>
      <c r="AK11" s="46"/>
      <c r="AL11" s="46"/>
      <c r="AM11" s="46"/>
    </row>
    <row r="12" spans="1:106" ht="25.5">
      <c r="B12" s="26" t="str">
        <f>RawRTF!B13</f>
        <v>Infrared sensing advanced power strip - owner installed</v>
      </c>
      <c r="C12" s="26" t="str">
        <f>RawRTF!C13</f>
        <v>Infrared sensing advanced power strip - owner installed</v>
      </c>
      <c r="D12" s="27">
        <f>RawRTF!D13-D11</f>
        <v>250</v>
      </c>
      <c r="E12" s="26">
        <f>RawRTF!E13</f>
        <v>5</v>
      </c>
      <c r="F12" s="27">
        <f>RawRTF!F13-F9</f>
        <v>64.97999999999999</v>
      </c>
      <c r="G12" s="26">
        <f>RawRTF!G13</f>
        <v>0</v>
      </c>
      <c r="H12" s="26" t="str">
        <f>RawRTF!H13</f>
        <v>FLAT</v>
      </c>
      <c r="I12" s="26">
        <f>RawRTF!I13</f>
        <v>0</v>
      </c>
      <c r="J12" s="26">
        <f>RawRTF!J13</f>
        <v>0</v>
      </c>
      <c r="K12" s="26">
        <f>RawRTF!K13</f>
        <v>0</v>
      </c>
      <c r="L12" s="26">
        <f>RawRTF!L13</f>
        <v>0</v>
      </c>
      <c r="M12" s="26">
        <f>RawRTF!M13</f>
        <v>0</v>
      </c>
      <c r="N12" s="26">
        <f>RawRTF!N13</f>
        <v>0</v>
      </c>
      <c r="O12" s="26">
        <f>RawRTF!O13</f>
        <v>0</v>
      </c>
      <c r="P12" s="26">
        <f>RawRTF!P13</f>
        <v>0</v>
      </c>
      <c r="Q12" s="26"/>
      <c r="R12" s="46"/>
      <c r="S12" s="46"/>
      <c r="T12" s="46"/>
      <c r="U12" s="46"/>
      <c r="V12" s="46"/>
      <c r="W12" s="46"/>
      <c r="X12" s="46"/>
      <c r="Y12" s="46"/>
      <c r="Z12" s="46"/>
      <c r="AA12" s="46"/>
      <c r="AB12" s="46"/>
      <c r="AC12" s="46"/>
      <c r="AD12" s="46"/>
      <c r="AE12" s="46"/>
      <c r="AF12" s="46"/>
      <c r="AG12" s="46"/>
      <c r="AH12" s="46"/>
      <c r="AI12" s="46"/>
      <c r="AJ12" s="46"/>
      <c r="AK12" s="46"/>
      <c r="AL12" s="46"/>
      <c r="AM12" s="46"/>
    </row>
    <row r="13" spans="1:106" ht="25.5">
      <c r="B13" s="26" t="str">
        <f>RawRTF!B14</f>
        <v>Infrared sensing advanced power strip - direct-installed</v>
      </c>
      <c r="C13" s="26" t="str">
        <f>RawRTF!C14</f>
        <v>Infrared sensing advanced power strip - direct-installed</v>
      </c>
      <c r="D13" s="27">
        <f>RawRTF!D14-D7</f>
        <v>270</v>
      </c>
      <c r="E13" s="26">
        <f>RawRTF!E14</f>
        <v>5</v>
      </c>
      <c r="F13" s="27">
        <f>RawRTF!F14-F8</f>
        <v>24.989999999999995</v>
      </c>
      <c r="G13" s="26">
        <f>RawRTF!G14</f>
        <v>0</v>
      </c>
      <c r="H13" s="26" t="str">
        <f>RawRTF!H14</f>
        <v>FLAT</v>
      </c>
      <c r="I13" s="26">
        <f>RawRTF!I14</f>
        <v>0</v>
      </c>
      <c r="J13" s="26">
        <f>RawRTF!J14</f>
        <v>0</v>
      </c>
      <c r="K13" s="26">
        <f>RawRTF!K14</f>
        <v>0</v>
      </c>
      <c r="L13" s="26">
        <f>RawRTF!L14</f>
        <v>0</v>
      </c>
      <c r="M13" s="26">
        <f>RawRTF!M14</f>
        <v>0</v>
      </c>
      <c r="N13" s="26">
        <f>RawRTF!N14</f>
        <v>0</v>
      </c>
      <c r="O13" s="26">
        <f>RawRTF!O14</f>
        <v>0</v>
      </c>
      <c r="P13" s="26">
        <f>RawRTF!P14</f>
        <v>0</v>
      </c>
      <c r="Q13" s="26"/>
      <c r="R13" s="46"/>
      <c r="S13" s="46"/>
      <c r="T13" s="46"/>
      <c r="U13" s="46"/>
      <c r="V13" s="46"/>
      <c r="W13" s="46"/>
      <c r="X13" s="46"/>
      <c r="Y13" s="46"/>
      <c r="Z13" s="46"/>
      <c r="AA13" s="46"/>
      <c r="AB13" s="46"/>
      <c r="AC13" s="46"/>
      <c r="AD13" s="46"/>
      <c r="AE13" s="46"/>
      <c r="AF13" s="46"/>
      <c r="AG13" s="46"/>
      <c r="AH13" s="46"/>
      <c r="AI13" s="46"/>
      <c r="AJ13" s="46"/>
      <c r="AK13" s="46"/>
      <c r="AL13" s="46"/>
      <c r="AM13" s="46"/>
    </row>
    <row r="14" spans="1:106">
      <c r="B14" s="26"/>
      <c r="C14" s="26"/>
      <c r="D14" s="26"/>
      <c r="E14" s="26"/>
      <c r="F14" s="26"/>
      <c r="G14" s="26"/>
      <c r="H14" s="26"/>
      <c r="I14" s="26"/>
      <c r="J14" s="26"/>
      <c r="K14" s="26"/>
      <c r="L14" s="26"/>
      <c r="M14" s="26"/>
      <c r="N14" s="26"/>
      <c r="O14" s="26"/>
      <c r="P14" s="26"/>
      <c r="Q14" s="26"/>
      <c r="R14" s="46"/>
      <c r="S14" s="46"/>
      <c r="T14" s="46"/>
      <c r="U14" s="46"/>
      <c r="V14" s="46"/>
      <c r="W14" s="46"/>
      <c r="X14" s="46"/>
      <c r="Y14" s="46"/>
      <c r="Z14" s="46"/>
      <c r="AA14" s="46"/>
      <c r="AB14" s="46"/>
      <c r="AC14" s="46"/>
      <c r="AD14" s="46"/>
      <c r="AE14" s="46"/>
      <c r="AF14" s="46"/>
      <c r="AG14" s="46"/>
      <c r="AH14" s="46"/>
      <c r="AI14" s="46"/>
      <c r="AJ14" s="46"/>
      <c r="AK14" s="46"/>
      <c r="AL14" s="46"/>
      <c r="AM14" s="46"/>
    </row>
    <row r="15" spans="1:106">
      <c r="B15" s="26"/>
      <c r="C15" s="26"/>
      <c r="D15" s="26"/>
      <c r="E15" s="26"/>
      <c r="F15" s="26"/>
      <c r="G15" s="26"/>
      <c r="H15" s="26"/>
      <c r="I15" s="26"/>
      <c r="J15" s="26"/>
      <c r="K15" s="26"/>
      <c r="L15" s="26"/>
      <c r="M15" s="26"/>
      <c r="N15" s="26"/>
      <c r="O15" s="26"/>
      <c r="P15" s="26"/>
      <c r="Q15" s="26"/>
      <c r="R15" s="46"/>
      <c r="S15" s="46"/>
      <c r="T15" s="46"/>
      <c r="U15" s="46"/>
      <c r="V15" s="46"/>
      <c r="W15" s="46"/>
      <c r="X15" s="46"/>
      <c r="Y15" s="46"/>
      <c r="Z15" s="46"/>
      <c r="AA15" s="46"/>
      <c r="AB15" s="46"/>
      <c r="AC15" s="46"/>
      <c r="AD15" s="46"/>
      <c r="AE15" s="46"/>
      <c r="AF15" s="46"/>
      <c r="AG15" s="46"/>
      <c r="AH15" s="46"/>
      <c r="AI15" s="46"/>
      <c r="AJ15" s="46"/>
      <c r="AK15" s="46"/>
      <c r="AL15" s="46"/>
      <c r="AM15" s="46"/>
    </row>
    <row r="16" spans="1:106">
      <c r="B16" s="26"/>
      <c r="C16" s="26"/>
      <c r="D16" s="26"/>
      <c r="E16" s="26"/>
      <c r="F16" s="26"/>
      <c r="G16" s="26"/>
      <c r="H16" s="26"/>
      <c r="I16" s="26"/>
      <c r="J16" s="26"/>
      <c r="K16" s="26"/>
      <c r="L16" s="26"/>
      <c r="M16" s="26"/>
      <c r="N16" s="26"/>
      <c r="O16" s="26"/>
      <c r="P16" s="26"/>
      <c r="Q16" s="26"/>
      <c r="R16" s="46"/>
      <c r="S16" s="46"/>
      <c r="T16" s="46"/>
      <c r="U16" s="46"/>
      <c r="V16" s="46"/>
      <c r="W16" s="46"/>
      <c r="X16" s="46"/>
      <c r="Y16" s="46"/>
      <c r="Z16" s="46"/>
      <c r="AA16" s="46"/>
      <c r="AB16" s="46"/>
      <c r="AC16" s="46"/>
      <c r="AD16" s="46"/>
      <c r="AE16" s="46"/>
      <c r="AF16" s="46"/>
      <c r="AG16" s="46"/>
      <c r="AH16" s="46"/>
      <c r="AI16" s="46"/>
      <c r="AJ16" s="46"/>
      <c r="AK16" s="46"/>
      <c r="AL16" s="46"/>
      <c r="AM16" s="46"/>
    </row>
    <row r="17" spans="1:106">
      <c r="B17" s="26"/>
      <c r="C17" s="26"/>
      <c r="D17" s="26"/>
      <c r="E17" s="26"/>
      <c r="F17" s="26"/>
      <c r="G17" s="26"/>
      <c r="H17" s="26"/>
      <c r="I17" s="26"/>
      <c r="J17" s="26"/>
      <c r="K17" s="26"/>
      <c r="L17" s="26"/>
      <c r="M17" s="26"/>
      <c r="N17" s="26"/>
      <c r="O17" s="26"/>
      <c r="P17" s="26"/>
      <c r="Q17" s="26"/>
      <c r="R17" s="46"/>
      <c r="S17" s="46"/>
      <c r="T17" s="46"/>
      <c r="U17" s="46"/>
      <c r="V17" s="46"/>
      <c r="W17" s="46"/>
      <c r="X17" s="46"/>
      <c r="Y17" s="46"/>
      <c r="Z17" s="46"/>
      <c r="AA17" s="46"/>
      <c r="AB17" s="46"/>
      <c r="AC17" s="46"/>
      <c r="AD17" s="46"/>
      <c r="AE17" s="46"/>
      <c r="AF17" s="46"/>
      <c r="AG17" s="46"/>
      <c r="AH17" s="46"/>
      <c r="AI17" s="46"/>
      <c r="AJ17" s="46"/>
      <c r="AK17" s="46"/>
      <c r="AL17" s="46"/>
      <c r="AM17" s="46"/>
    </row>
    <row r="19" spans="1:106">
      <c r="A19" t="s">
        <v>792</v>
      </c>
      <c r="F19" t="s">
        <v>1136</v>
      </c>
    </row>
    <row r="20" spans="1:106" s="9" customFormat="1">
      <c r="B20" s="14" t="s">
        <v>3</v>
      </c>
      <c r="C20" s="15"/>
      <c r="D20" s="15"/>
      <c r="E20" s="15"/>
      <c r="F20" s="15"/>
      <c r="G20" s="15"/>
      <c r="H20" s="16"/>
      <c r="I20" s="17"/>
      <c r="J20" s="577" t="s">
        <v>4</v>
      </c>
      <c r="K20" s="578"/>
      <c r="L20" s="578"/>
      <c r="M20" s="578"/>
      <c r="N20" s="578"/>
      <c r="O20" s="579"/>
      <c r="P20" s="580" t="s">
        <v>5</v>
      </c>
      <c r="Q20" s="581"/>
      <c r="R20" s="18"/>
      <c r="S20" s="19"/>
      <c r="T20" s="19"/>
      <c r="U20" s="19"/>
      <c r="V20" s="19"/>
      <c r="W20" s="19"/>
      <c r="X20" s="19"/>
      <c r="Y20" s="20"/>
      <c r="Z20" s="21"/>
      <c r="AA20" s="19"/>
      <c r="AB20" s="19"/>
      <c r="AC20" s="19"/>
      <c r="AD20" s="19"/>
      <c r="AE20" s="19"/>
      <c r="AF20" s="22"/>
      <c r="AG20" s="22"/>
      <c r="AH20" s="22"/>
      <c r="AI20" s="22"/>
      <c r="AJ20" s="22"/>
      <c r="AK20" s="22"/>
      <c r="AL20" s="22"/>
      <c r="AM20" s="22"/>
      <c r="AN20" s="22"/>
      <c r="AO20" s="22"/>
      <c r="AP20" s="22"/>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row>
    <row r="21" spans="1:106" s="9" customFormat="1" ht="25.5">
      <c r="B21" s="23" t="s">
        <v>6</v>
      </c>
      <c r="C21" s="23" t="s">
        <v>7</v>
      </c>
      <c r="D21" s="23" t="s">
        <v>8</v>
      </c>
      <c r="E21" s="23" t="s">
        <v>9</v>
      </c>
      <c r="F21" s="23" t="s">
        <v>10</v>
      </c>
      <c r="G21" s="23" t="s">
        <v>11</v>
      </c>
      <c r="H21" s="23" t="s">
        <v>12</v>
      </c>
      <c r="I21" s="23" t="s">
        <v>13</v>
      </c>
      <c r="J21" s="23" t="s">
        <v>14</v>
      </c>
      <c r="K21" s="23" t="s">
        <v>15</v>
      </c>
      <c r="L21" s="23" t="s">
        <v>16</v>
      </c>
      <c r="M21" s="23" t="s">
        <v>17</v>
      </c>
      <c r="N21" s="23" t="s">
        <v>18</v>
      </c>
      <c r="O21" s="23" t="s">
        <v>19</v>
      </c>
      <c r="P21" s="24" t="s">
        <v>20</v>
      </c>
      <c r="Q21" s="23" t="s">
        <v>12</v>
      </c>
      <c r="R21" s="25"/>
      <c r="S21" s="25"/>
      <c r="T21" s="25"/>
      <c r="U21" s="25"/>
      <c r="V21" s="25"/>
      <c r="W21" s="25"/>
      <c r="X21" s="25"/>
      <c r="Y21" s="25"/>
      <c r="Z21" s="25"/>
      <c r="AA21" s="25"/>
      <c r="AB21" s="25"/>
      <c r="AC21" s="25"/>
      <c r="AD21" s="25"/>
      <c r="AE21" s="25"/>
      <c r="AF21" s="22"/>
      <c r="AG21" s="22"/>
      <c r="AH21" s="22"/>
      <c r="AI21" s="22"/>
      <c r="AJ21" s="22"/>
      <c r="AK21" s="22"/>
      <c r="AL21" s="22"/>
      <c r="AM21" s="22"/>
      <c r="AN21" s="22"/>
      <c r="AO21" s="22"/>
      <c r="AP21" s="22"/>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row>
    <row r="22" spans="1:106">
      <c r="B22" t="s">
        <v>793</v>
      </c>
      <c r="C22" t="str">
        <f>B22</f>
        <v>Load sensing advanced power strip</v>
      </c>
      <c r="D22">
        <f>D7</f>
        <v>30</v>
      </c>
      <c r="E22">
        <f t="shared" ref="E22:Q22" si="0">E7</f>
        <v>5</v>
      </c>
      <c r="F22" s="46">
        <f t="shared" si="0"/>
        <v>32.481666666666662</v>
      </c>
      <c r="G22">
        <f t="shared" si="0"/>
        <v>0</v>
      </c>
      <c r="H22" t="str">
        <f t="shared" si="0"/>
        <v>FLAT</v>
      </c>
      <c r="I22">
        <f t="shared" si="0"/>
        <v>0</v>
      </c>
      <c r="J22">
        <f t="shared" si="0"/>
        <v>0</v>
      </c>
      <c r="K22">
        <f t="shared" si="0"/>
        <v>0</v>
      </c>
      <c r="L22">
        <f t="shared" si="0"/>
        <v>0</v>
      </c>
      <c r="M22">
        <f t="shared" si="0"/>
        <v>0</v>
      </c>
      <c r="N22">
        <f t="shared" si="0"/>
        <v>0</v>
      </c>
      <c r="O22">
        <f t="shared" si="0"/>
        <v>0</v>
      </c>
      <c r="P22">
        <f t="shared" si="0"/>
        <v>0</v>
      </c>
      <c r="Q22">
        <f t="shared" si="0"/>
        <v>0</v>
      </c>
    </row>
    <row r="23" spans="1:106">
      <c r="B23" t="s">
        <v>794</v>
      </c>
      <c r="C23" t="str">
        <f>B23</f>
        <v>Occupancy sensing advanced power strip</v>
      </c>
      <c r="D23" s="475">
        <f>D10</f>
        <v>40</v>
      </c>
      <c r="E23" s="475">
        <f t="shared" ref="E23:Q23" si="1">E10</f>
        <v>5</v>
      </c>
      <c r="F23" s="475">
        <f t="shared" si="1"/>
        <v>0</v>
      </c>
      <c r="G23" s="475">
        <f t="shared" si="1"/>
        <v>0</v>
      </c>
      <c r="H23" s="475" t="str">
        <f t="shared" si="1"/>
        <v>FLAT</v>
      </c>
      <c r="I23" s="475">
        <f t="shared" si="1"/>
        <v>0</v>
      </c>
      <c r="J23" s="475">
        <f t="shared" si="1"/>
        <v>0</v>
      </c>
      <c r="K23" s="475">
        <f t="shared" si="1"/>
        <v>0</v>
      </c>
      <c r="L23" s="475">
        <f t="shared" si="1"/>
        <v>0</v>
      </c>
      <c r="M23" s="475">
        <f t="shared" si="1"/>
        <v>0</v>
      </c>
      <c r="N23" s="475">
        <f t="shared" si="1"/>
        <v>0</v>
      </c>
      <c r="O23" s="475">
        <f t="shared" si="1"/>
        <v>0</v>
      </c>
      <c r="P23" s="475">
        <f t="shared" si="1"/>
        <v>0</v>
      </c>
      <c r="Q23" s="475">
        <f t="shared" si="1"/>
        <v>0</v>
      </c>
    </row>
    <row r="24" spans="1:106">
      <c r="B24" t="s">
        <v>795</v>
      </c>
      <c r="C24" t="str">
        <f>B24</f>
        <v>Infrared sensing advanced power strip</v>
      </c>
      <c r="D24" s="475">
        <f>D12</f>
        <v>250</v>
      </c>
      <c r="E24" s="475">
        <f t="shared" ref="E24:Q24" si="2">E12</f>
        <v>5</v>
      </c>
      <c r="F24" s="475">
        <f t="shared" si="2"/>
        <v>64.97999999999999</v>
      </c>
      <c r="G24" s="475">
        <f t="shared" si="2"/>
        <v>0</v>
      </c>
      <c r="H24" s="475" t="str">
        <f t="shared" si="2"/>
        <v>FLAT</v>
      </c>
      <c r="I24" s="475">
        <f t="shared" si="2"/>
        <v>0</v>
      </c>
      <c r="J24" s="475">
        <f t="shared" si="2"/>
        <v>0</v>
      </c>
      <c r="K24" s="475">
        <f t="shared" si="2"/>
        <v>0</v>
      </c>
      <c r="L24" s="475">
        <f t="shared" si="2"/>
        <v>0</v>
      </c>
      <c r="M24" s="475">
        <f t="shared" si="2"/>
        <v>0</v>
      </c>
      <c r="N24" s="475">
        <f t="shared" si="2"/>
        <v>0</v>
      </c>
      <c r="O24" s="475">
        <f t="shared" si="2"/>
        <v>0</v>
      </c>
      <c r="P24" s="475">
        <f t="shared" si="2"/>
        <v>0</v>
      </c>
      <c r="Q24" s="475">
        <f t="shared" si="2"/>
        <v>0</v>
      </c>
    </row>
  </sheetData>
  <mergeCells count="4">
    <mergeCell ref="J5:O5"/>
    <mergeCell ref="P5:Q5"/>
    <mergeCell ref="J20:O20"/>
    <mergeCell ref="P20:Q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7PSourceSummary</vt:lpstr>
      <vt:lpstr>forRPM</vt:lpstr>
      <vt:lpstr>SC-New</vt:lpstr>
      <vt:lpstr>SC-Retro</vt:lpstr>
      <vt:lpstr>Units per home</vt:lpstr>
      <vt:lpstr>Accomplishments</vt:lpstr>
      <vt:lpstr>M_Input_Out</vt:lpstr>
      <vt:lpstr>M_Input</vt:lpstr>
      <vt:lpstr>Composite</vt:lpstr>
      <vt:lpstr>RawRTF</vt:lpstr>
      <vt:lpstr>SavingsData&amp;Analysis Tier 1</vt:lpstr>
      <vt:lpstr>SavingsData&amp;Analysis Tier 2</vt:lpstr>
      <vt:lpstr>Usage Data</vt:lpstr>
      <vt:lpstr>CostData&amp;Analysis</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2015-03-25T16:34:47Z</dcterms:modified>
</cp:coreProperties>
</file>