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975" yWindow="15" windowWidth="26190" windowHeight="12720" activeTab="1"/>
  </bookViews>
  <sheets>
    <sheet name="7PSourceSummary" sheetId="10" r:id="rId1"/>
    <sheet name="forRPM" sheetId="28" r:id="rId2"/>
    <sheet name="SC-New" sheetId="25" r:id="rId3"/>
    <sheet name="SC-New (2)" sheetId="26" r:id="rId4"/>
    <sheet name="SC-New (3)" sheetId="27" r:id="rId5"/>
    <sheet name="SC-NR" sheetId="17" r:id="rId6"/>
    <sheet name="SC-NR (2)" sheetId="20" r:id="rId7"/>
    <sheet name="SC-NR (3)" sheetId="19" r:id="rId8"/>
    <sheet name="HVAC weighting" sheetId="16" r:id="rId9"/>
    <sheet name="accomplishments" sheetId="18" r:id="rId10"/>
    <sheet name="M_Input_Out" sheetId="21" r:id="rId11"/>
    <sheet name="M_Input" sheetId="3" r:id="rId12"/>
    <sheet name="Segmented" sheetId="5" r:id="rId13"/>
    <sheet name="weighting" sheetId="14" r:id="rId14"/>
    <sheet name="Composite" sheetId="2" r:id="rId15"/>
    <sheet name="Raw" sheetId="1" r:id="rId16"/>
    <sheet name="Savings Analysis" sheetId="24" r:id="rId17"/>
    <sheet name="Cost Analysis" sheetId="23" r:id="rId18"/>
    <sheet name="SEEMsavings" sheetId="22" r:id="rId19"/>
    <sheet name="DHP Raw CostData&amp;Analysis" sheetId="29" r:id="rId20"/>
  </sheets>
  <externalReferences>
    <externalReference r:id="rId21"/>
    <externalReference r:id="rId22"/>
    <externalReference r:id="rId23"/>
    <externalReference r:id="rId24"/>
    <externalReference r:id="rId25"/>
  </externalReferences>
  <definedNames>
    <definedName name="_xlnm._FilterDatabase" localSheetId="9" hidden="1">accomplishments!$A$1:$G$13</definedName>
    <definedName name="_Key1" localSheetId="0" hidden="1">#REF!</definedName>
    <definedName name="_Key1" localSheetId="17" hidden="1">#REF!</definedName>
    <definedName name="_Key1" localSheetId="19" hidden="1">#REF!</definedName>
    <definedName name="_Key1" localSheetId="1" hidden="1">#REF!</definedName>
    <definedName name="_Key1" localSheetId="16" hidden="1">#REF!</definedName>
    <definedName name="_Key1" localSheetId="2" hidden="1">#REF!</definedName>
    <definedName name="_Key1" localSheetId="3"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18" hidden="1">#REF!</definedName>
    <definedName name="_Key1" hidden="1">#REF!</definedName>
    <definedName name="_Order1" hidden="1">255</definedName>
    <definedName name="_Sort" localSheetId="0" hidden="1">#REF!</definedName>
    <definedName name="_Sort" localSheetId="17" hidden="1">#REF!</definedName>
    <definedName name="_Sort" localSheetId="19" hidden="1">#REF!</definedName>
    <definedName name="_Sort" localSheetId="1" hidden="1">#REF!</definedName>
    <definedName name="_Sort" localSheetId="16" hidden="1">#REF!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18" hidden="1">#REF!</definedName>
    <definedName name="_Sort" hidden="1">#REF!</definedName>
    <definedName name="anscount" hidden="1">1</definedName>
    <definedName name="CBWorkbookPriority" hidden="1">-738590518</definedName>
    <definedName name="limcount" hidden="1">1</definedName>
    <definedName name="MeasureOutput">M_Input_Out!$A$4:$AM$100</definedName>
    <definedName name="ResBase">'[1]Res Forecast (Base Case)'!$C$14:$BD$61</definedName>
    <definedName name="sencount" hidden="1">1</definedName>
    <definedName name="sort" localSheetId="17" hidden="1">#REF!</definedName>
    <definedName name="sort" localSheetId="19" hidden="1">#REF!</definedName>
    <definedName name="sort" localSheetId="1" hidden="1">#REF!</definedName>
    <definedName name="sort" localSheetId="16" hidden="1">#REF!</definedName>
    <definedName name="sort" localSheetId="2" hidden="1">#REF!</definedName>
    <definedName name="sort" localSheetId="3" hidden="1">#REF!</definedName>
    <definedName name="sort" localSheetId="4" hidden="1">#REF!</definedName>
    <definedName name="sort" localSheetId="6" hidden="1">#REF!</definedName>
    <definedName name="sort" localSheetId="7" hidden="1">#REF!</definedName>
    <definedName name="sort" localSheetId="18" hidden="1">#REF!</definedName>
    <definedName name="sort" hidden="1">#REF!</definedName>
  </definedNames>
  <calcPr calcId="125725"/>
</workbook>
</file>

<file path=xl/calcChain.xml><?xml version="1.0" encoding="utf-8"?>
<calcChain xmlns="http://schemas.openxmlformats.org/spreadsheetml/2006/main">
  <c r="D9" i="19"/>
  <c r="D8"/>
  <c r="D9" i="20"/>
  <c r="D8"/>
  <c r="D9" i="17"/>
  <c r="D8"/>
  <c r="D9" i="27"/>
  <c r="D8"/>
  <c r="D9" i="26"/>
  <c r="D8"/>
  <c r="D9" i="25"/>
  <c r="D8"/>
  <c r="B21" i="28"/>
  <c r="B20"/>
  <c r="B19"/>
  <c r="B18"/>
  <c r="B17"/>
  <c r="B16"/>
  <c r="B15"/>
  <c r="B14"/>
  <c r="B13"/>
  <c r="B12"/>
  <c r="C8" i="19"/>
  <c r="C8" i="20"/>
  <c r="C8" i="17"/>
  <c r="C8" i="27"/>
  <c r="C8" i="26"/>
  <c r="C8" i="25"/>
  <c r="B8" i="16" l="1"/>
  <c r="B17" s="1"/>
  <c r="C27" i="29"/>
  <c r="C19" i="28"/>
  <c r="C20"/>
  <c r="A20" s="1"/>
  <c r="C21"/>
  <c r="A21" s="1"/>
  <c r="C17"/>
  <c r="A17" s="1"/>
  <c r="C18"/>
  <c r="C13"/>
  <c r="A13" s="1"/>
  <c r="C14"/>
  <c r="A14" s="1"/>
  <c r="C15"/>
  <c r="C16"/>
  <c r="C12"/>
  <c r="A12" s="1"/>
  <c r="A9" i="19"/>
  <c r="E20" i="28" s="1"/>
  <c r="A9" i="20"/>
  <c r="E12" i="28" s="1"/>
  <c r="A9" i="17"/>
  <c r="E11" i="28" s="1"/>
  <c r="A9" i="27"/>
  <c r="E5" i="28" s="1"/>
  <c r="A9" i="26"/>
  <c r="A9" i="25"/>
  <c r="C5" i="28"/>
  <c r="C4"/>
  <c r="C3"/>
  <c r="A3" s="1"/>
  <c r="E9"/>
  <c r="E6"/>
  <c r="C15" i="23"/>
  <c r="C14"/>
  <c r="C13"/>
  <c r="AD2" i="28"/>
  <c r="AC2"/>
  <c r="AB2"/>
  <c r="AA2"/>
  <c r="Z2"/>
  <c r="Y2"/>
  <c r="X2"/>
  <c r="W2"/>
  <c r="V2"/>
  <c r="U2"/>
  <c r="T2"/>
  <c r="S2"/>
  <c r="R2"/>
  <c r="Q2"/>
  <c r="P2"/>
  <c r="O2"/>
  <c r="N2"/>
  <c r="M2"/>
  <c r="L2"/>
  <c r="K2"/>
  <c r="B65" i="22"/>
  <c r="C65"/>
  <c r="D65"/>
  <c r="E65"/>
  <c r="F65"/>
  <c r="G65"/>
  <c r="H65"/>
  <c r="I65"/>
  <c r="J65"/>
  <c r="K65"/>
  <c r="B66"/>
  <c r="C66"/>
  <c r="D66"/>
  <c r="E66"/>
  <c r="F66"/>
  <c r="G66"/>
  <c r="H66"/>
  <c r="I66"/>
  <c r="J66"/>
  <c r="K66"/>
  <c r="B67"/>
  <c r="C67"/>
  <c r="D67"/>
  <c r="E67"/>
  <c r="F67"/>
  <c r="G67"/>
  <c r="H67"/>
  <c r="I67"/>
  <c r="J67"/>
  <c r="K67"/>
  <c r="B68"/>
  <c r="C68"/>
  <c r="D68"/>
  <c r="E68"/>
  <c r="F68"/>
  <c r="G68"/>
  <c r="H68"/>
  <c r="I68"/>
  <c r="J68"/>
  <c r="K68"/>
  <c r="B69"/>
  <c r="C69"/>
  <c r="D69"/>
  <c r="E69"/>
  <c r="F69"/>
  <c r="G69"/>
  <c r="H69"/>
  <c r="I69"/>
  <c r="J69"/>
  <c r="K69"/>
  <c r="B70"/>
  <c r="C70"/>
  <c r="D70"/>
  <c r="E70"/>
  <c r="F70"/>
  <c r="G70"/>
  <c r="H70"/>
  <c r="I70"/>
  <c r="J70"/>
  <c r="K70"/>
  <c r="B71"/>
  <c r="C71"/>
  <c r="D71"/>
  <c r="E71"/>
  <c r="F71"/>
  <c r="G71"/>
  <c r="H71"/>
  <c r="I71"/>
  <c r="J71"/>
  <c r="K71"/>
  <c r="B72"/>
  <c r="C72"/>
  <c r="D72"/>
  <c r="E72"/>
  <c r="F72"/>
  <c r="G72"/>
  <c r="H72"/>
  <c r="I72"/>
  <c r="J72"/>
  <c r="K72"/>
  <c r="C64"/>
  <c r="D64"/>
  <c r="E64"/>
  <c r="F64"/>
  <c r="G64"/>
  <c r="H64"/>
  <c r="I64"/>
  <c r="J64"/>
  <c r="K64"/>
  <c r="B64"/>
  <c r="B50"/>
  <c r="C50"/>
  <c r="D50"/>
  <c r="E50"/>
  <c r="F50"/>
  <c r="G50"/>
  <c r="H50"/>
  <c r="I50"/>
  <c r="J50"/>
  <c r="K50"/>
  <c r="B51"/>
  <c r="C51"/>
  <c r="D51"/>
  <c r="E51"/>
  <c r="F51"/>
  <c r="G51"/>
  <c r="H51"/>
  <c r="I51"/>
  <c r="J51"/>
  <c r="K51"/>
  <c r="B52"/>
  <c r="C52"/>
  <c r="D52"/>
  <c r="E52"/>
  <c r="F52"/>
  <c r="G52"/>
  <c r="H52"/>
  <c r="I52"/>
  <c r="J52"/>
  <c r="K52"/>
  <c r="B53"/>
  <c r="C53"/>
  <c r="D53"/>
  <c r="E53"/>
  <c r="F53"/>
  <c r="G53"/>
  <c r="H53"/>
  <c r="I53"/>
  <c r="J53"/>
  <c r="K53"/>
  <c r="B54"/>
  <c r="C54"/>
  <c r="D54"/>
  <c r="E54"/>
  <c r="F54"/>
  <c r="G54"/>
  <c r="H54"/>
  <c r="I54"/>
  <c r="J54"/>
  <c r="K54"/>
  <c r="B55"/>
  <c r="C55"/>
  <c r="D55"/>
  <c r="E55"/>
  <c r="F55"/>
  <c r="G55"/>
  <c r="H55"/>
  <c r="I55"/>
  <c r="J55"/>
  <c r="K55"/>
  <c r="B56"/>
  <c r="C56"/>
  <c r="D56"/>
  <c r="E56"/>
  <c r="F56"/>
  <c r="G56"/>
  <c r="H56"/>
  <c r="I56"/>
  <c r="J56"/>
  <c r="K56"/>
  <c r="B57"/>
  <c r="C57"/>
  <c r="D57"/>
  <c r="E57"/>
  <c r="F57"/>
  <c r="G57"/>
  <c r="H57"/>
  <c r="I57"/>
  <c r="J57"/>
  <c r="K57"/>
  <c r="C49"/>
  <c r="D49"/>
  <c r="E49"/>
  <c r="F49"/>
  <c r="G49"/>
  <c r="H49"/>
  <c r="I49"/>
  <c r="J49"/>
  <c r="K49"/>
  <c r="B49"/>
  <c r="C34"/>
  <c r="D34"/>
  <c r="E34"/>
  <c r="F34"/>
  <c r="G34"/>
  <c r="H34"/>
  <c r="I34"/>
  <c r="J34"/>
  <c r="K34"/>
  <c r="G21" i="24" s="1"/>
  <c r="H140" i="1" s="1"/>
  <c r="C35" i="22"/>
  <c r="D35"/>
  <c r="E35"/>
  <c r="F35"/>
  <c r="G35"/>
  <c r="H35"/>
  <c r="I35"/>
  <c r="J35"/>
  <c r="F22" i="24" s="1"/>
  <c r="K35" i="22"/>
  <c r="G22" i="24" s="1"/>
  <c r="H141" i="1" s="1"/>
  <c r="J91" i="5" s="1"/>
  <c r="C36" i="22"/>
  <c r="D36"/>
  <c r="E36"/>
  <c r="F36"/>
  <c r="G36"/>
  <c r="H36"/>
  <c r="I36"/>
  <c r="J36"/>
  <c r="F23" i="24" s="1"/>
  <c r="K36" i="22"/>
  <c r="G23" i="24" s="1"/>
  <c r="H142" i="1" s="1"/>
  <c r="J92" i="5" s="1"/>
  <c r="C37" i="22"/>
  <c r="D37"/>
  <c r="E37"/>
  <c r="F37"/>
  <c r="G37"/>
  <c r="H37"/>
  <c r="I37"/>
  <c r="J37"/>
  <c r="K37"/>
  <c r="G24" i="24" s="1"/>
  <c r="H143" i="1" s="1"/>
  <c r="J93" i="5" s="1"/>
  <c r="C38" i="22"/>
  <c r="D38"/>
  <c r="E38"/>
  <c r="F38"/>
  <c r="G38"/>
  <c r="H38"/>
  <c r="I38"/>
  <c r="J38"/>
  <c r="F25" i="24" s="1"/>
  <c r="K38" i="22"/>
  <c r="C39"/>
  <c r="D39"/>
  <c r="E39"/>
  <c r="F39"/>
  <c r="G39"/>
  <c r="H39"/>
  <c r="I39"/>
  <c r="J39"/>
  <c r="K39"/>
  <c r="G26" i="24" s="1"/>
  <c r="H145" i="1" s="1"/>
  <c r="J95" i="5" s="1"/>
  <c r="C40" i="22"/>
  <c r="D40"/>
  <c r="E40"/>
  <c r="F40"/>
  <c r="G40"/>
  <c r="H40"/>
  <c r="I40"/>
  <c r="J40"/>
  <c r="F27" i="24" s="1"/>
  <c r="K40" i="22"/>
  <c r="G27" i="24" s="1"/>
  <c r="H146" i="1" s="1"/>
  <c r="J96" i="5" s="1"/>
  <c r="C41" i="22"/>
  <c r="D41"/>
  <c r="E41"/>
  <c r="F41"/>
  <c r="G41"/>
  <c r="H41"/>
  <c r="I41"/>
  <c r="J41"/>
  <c r="F28" i="24" s="1"/>
  <c r="K41" i="22"/>
  <c r="G28" i="24" s="1"/>
  <c r="H147" i="1" s="1"/>
  <c r="J97" i="5" s="1"/>
  <c r="C42" i="22"/>
  <c r="D42"/>
  <c r="E42"/>
  <c r="F42"/>
  <c r="G42"/>
  <c r="H42"/>
  <c r="I42"/>
  <c r="J42"/>
  <c r="F29" i="24" s="1"/>
  <c r="K42" i="22"/>
  <c r="G29" i="24" s="1"/>
  <c r="H148" i="1" s="1"/>
  <c r="B35" i="22"/>
  <c r="B22" i="24" s="1"/>
  <c r="B36" i="22"/>
  <c r="B23" i="24" s="1"/>
  <c r="C142" i="1" s="1"/>
  <c r="E92" i="5" s="1"/>
  <c r="B37" i="22"/>
  <c r="B38"/>
  <c r="B25" i="24" s="1"/>
  <c r="C144" i="1" s="1"/>
  <c r="B39" i="22"/>
  <c r="B26" i="24" s="1"/>
  <c r="C145" i="1" s="1"/>
  <c r="E95" i="5" s="1"/>
  <c r="B40" i="22"/>
  <c r="B27" i="24" s="1"/>
  <c r="C146" i="1" s="1"/>
  <c r="E96" i="5" s="1"/>
  <c r="B41" i="22"/>
  <c r="B28" i="24" s="1"/>
  <c r="C147" i="1" s="1"/>
  <c r="E97" i="5" s="1"/>
  <c r="B42" i="22"/>
  <c r="B29" i="24" s="1"/>
  <c r="B34" i="22"/>
  <c r="B21" i="24" s="1"/>
  <c r="C140" i="1" s="1"/>
  <c r="E90" i="5" s="1"/>
  <c r="G19" i="22"/>
  <c r="H19"/>
  <c r="I19"/>
  <c r="J19"/>
  <c r="K19"/>
  <c r="G12" i="24" s="1"/>
  <c r="H131" i="1" s="1"/>
  <c r="J81" i="5" s="1"/>
  <c r="G20" i="22"/>
  <c r="H20"/>
  <c r="I20"/>
  <c r="J20"/>
  <c r="F13" i="24" s="1"/>
  <c r="K20" i="22"/>
  <c r="G13" i="24" s="1"/>
  <c r="H132" i="1" s="1"/>
  <c r="J82" i="5" s="1"/>
  <c r="G21" i="22"/>
  <c r="H21"/>
  <c r="I21"/>
  <c r="J21"/>
  <c r="F14" i="24" s="1"/>
  <c r="K21" i="22"/>
  <c r="G22"/>
  <c r="H22"/>
  <c r="I22"/>
  <c r="J22"/>
  <c r="K22"/>
  <c r="G15" i="24" s="1"/>
  <c r="H134" i="1" s="1"/>
  <c r="J84" i="5" s="1"/>
  <c r="G23" i="22"/>
  <c r="H23"/>
  <c r="I23"/>
  <c r="J23"/>
  <c r="F16" i="24" s="1"/>
  <c r="K23" i="22"/>
  <c r="G16" i="24" s="1"/>
  <c r="H135" i="1" s="1"/>
  <c r="J85" i="5" s="1"/>
  <c r="G24" i="22"/>
  <c r="H24"/>
  <c r="I24"/>
  <c r="J24"/>
  <c r="F17" i="24" s="1"/>
  <c r="K24" i="22"/>
  <c r="G17" i="24" s="1"/>
  <c r="H136" i="1" s="1"/>
  <c r="J86" i="5" s="1"/>
  <c r="G25" i="22"/>
  <c r="H25"/>
  <c r="I25"/>
  <c r="J25"/>
  <c r="F18" i="24" s="1"/>
  <c r="K25" i="22"/>
  <c r="G18" i="24" s="1"/>
  <c r="G26" i="22"/>
  <c r="H26"/>
  <c r="I26"/>
  <c r="J26"/>
  <c r="F19" i="24" s="1"/>
  <c r="K26" i="22"/>
  <c r="G19" i="24" s="1"/>
  <c r="H138" i="1" s="1"/>
  <c r="J88" i="5" s="1"/>
  <c r="G27" i="22"/>
  <c r="H27"/>
  <c r="I27"/>
  <c r="J27"/>
  <c r="F20" i="24" s="1"/>
  <c r="K27" i="22"/>
  <c r="G20" i="24" s="1"/>
  <c r="H139" i="1" s="1"/>
  <c r="J89" i="5" s="1"/>
  <c r="F27" i="22"/>
  <c r="F26"/>
  <c r="F25"/>
  <c r="F24"/>
  <c r="F23"/>
  <c r="F22"/>
  <c r="F21"/>
  <c r="F20"/>
  <c r="F19"/>
  <c r="B20"/>
  <c r="B13" i="24" s="1"/>
  <c r="C132" i="1" s="1"/>
  <c r="E82" i="5" s="1"/>
  <c r="C20" i="22"/>
  <c r="D20"/>
  <c r="B21"/>
  <c r="B14" i="24" s="1"/>
  <c r="C133" i="1" s="1"/>
  <c r="E83" i="5" s="1"/>
  <c r="C21" i="22"/>
  <c r="D21"/>
  <c r="B22"/>
  <c r="B15" i="24" s="1"/>
  <c r="C134" i="1" s="1"/>
  <c r="E84" i="5" s="1"/>
  <c r="C22" i="22"/>
  <c r="D22"/>
  <c r="B23"/>
  <c r="B16" i="24" s="1"/>
  <c r="C135" i="1" s="1"/>
  <c r="E85" i="5" s="1"/>
  <c r="C23" i="22"/>
  <c r="D23"/>
  <c r="B24"/>
  <c r="B17" i="24" s="1"/>
  <c r="C136" i="1" s="1"/>
  <c r="E86" i="5" s="1"/>
  <c r="C24" i="22"/>
  <c r="D24"/>
  <c r="B25"/>
  <c r="B18" i="24" s="1"/>
  <c r="C137" i="1" s="1"/>
  <c r="E87" i="5" s="1"/>
  <c r="C25" i="22"/>
  <c r="D25"/>
  <c r="B26"/>
  <c r="B19" i="24" s="1"/>
  <c r="C138" i="1" s="1"/>
  <c r="E88" i="5" s="1"/>
  <c r="C26" i="22"/>
  <c r="D26"/>
  <c r="B27"/>
  <c r="B20" i="24" s="1"/>
  <c r="C139" i="1" s="1"/>
  <c r="E89" i="5" s="1"/>
  <c r="C27" i="22"/>
  <c r="D27"/>
  <c r="C19"/>
  <c r="D19"/>
  <c r="B19"/>
  <c r="B12" i="24" s="1"/>
  <c r="C131" i="1" s="1"/>
  <c r="E81" i="5" s="1"/>
  <c r="K14" i="22"/>
  <c r="G11" i="24" s="1"/>
  <c r="H130" i="1" s="1"/>
  <c r="J80" i="5" s="1"/>
  <c r="J14" i="22"/>
  <c r="I14"/>
  <c r="H14"/>
  <c r="G14"/>
  <c r="F14"/>
  <c r="E14"/>
  <c r="C11" i="24" s="1"/>
  <c r="C157" i="1" s="1"/>
  <c r="E107" i="5" s="1"/>
  <c r="D14" i="22"/>
  <c r="C14"/>
  <c r="B14"/>
  <c r="B11" i="24" s="1"/>
  <c r="C130" i="1" s="1"/>
  <c r="E80" i="5" s="1"/>
  <c r="K13" i="22"/>
  <c r="J13"/>
  <c r="I13"/>
  <c r="H13"/>
  <c r="G13"/>
  <c r="F13"/>
  <c r="E13"/>
  <c r="C10" i="24" s="1"/>
  <c r="C156" i="1" s="1"/>
  <c r="E106" i="5" s="1"/>
  <c r="D13" i="22"/>
  <c r="C13"/>
  <c r="B13"/>
  <c r="B10" i="24" s="1"/>
  <c r="C129" i="1" s="1"/>
  <c r="E79" i="5" s="1"/>
  <c r="K12" i="22"/>
  <c r="G9" i="24" s="1"/>
  <c r="H128" i="1" s="1"/>
  <c r="J78" i="5" s="1"/>
  <c r="J12" i="22"/>
  <c r="I12"/>
  <c r="H12"/>
  <c r="G12"/>
  <c r="F12"/>
  <c r="E12"/>
  <c r="D12"/>
  <c r="C12"/>
  <c r="B12"/>
  <c r="B9" i="24" s="1"/>
  <c r="K11" i="22"/>
  <c r="G8" i="24" s="1"/>
  <c r="H127" i="1" s="1"/>
  <c r="J77" i="5" s="1"/>
  <c r="J11" i="22"/>
  <c r="F8" i="24" s="1"/>
  <c r="I11" i="22"/>
  <c r="H11"/>
  <c r="G11"/>
  <c r="F11"/>
  <c r="E11"/>
  <c r="C8" i="24" s="1"/>
  <c r="C154" i="1" s="1"/>
  <c r="E104" i="5" s="1"/>
  <c r="D11" i="22"/>
  <c r="C11"/>
  <c r="B11"/>
  <c r="B8" i="24" s="1"/>
  <c r="C127" i="1" s="1"/>
  <c r="E77" i="5" s="1"/>
  <c r="K10" i="22"/>
  <c r="G7" i="24" s="1"/>
  <c r="H126" i="1" s="1"/>
  <c r="J76" i="5" s="1"/>
  <c r="J10" i="22"/>
  <c r="I10"/>
  <c r="H10"/>
  <c r="G10"/>
  <c r="F10"/>
  <c r="E10"/>
  <c r="C7" i="24" s="1"/>
  <c r="C153" i="1" s="1"/>
  <c r="E103" i="5" s="1"/>
  <c r="D10" i="22"/>
  <c r="C10"/>
  <c r="B10"/>
  <c r="B7" i="24" s="1"/>
  <c r="C126" i="1" s="1"/>
  <c r="E76" i="5" s="1"/>
  <c r="K9" i="22"/>
  <c r="G6" i="24" s="1"/>
  <c r="H125" i="1" s="1"/>
  <c r="J75" i="5" s="1"/>
  <c r="J9" i="22"/>
  <c r="F6" i="24" s="1"/>
  <c r="I9" i="22"/>
  <c r="H9"/>
  <c r="G9"/>
  <c r="F9"/>
  <c r="E9"/>
  <c r="D9"/>
  <c r="C9"/>
  <c r="B9"/>
  <c r="B6" i="24" s="1"/>
  <c r="C125" i="1" s="1"/>
  <c r="E75" i="5" s="1"/>
  <c r="K8" i="22"/>
  <c r="G5" i="24" s="1"/>
  <c r="H124" i="1" s="1"/>
  <c r="J74" i="5" s="1"/>
  <c r="J8" i="22"/>
  <c r="I8"/>
  <c r="H8"/>
  <c r="G8"/>
  <c r="F8"/>
  <c r="E8"/>
  <c r="C5" i="24" s="1"/>
  <c r="C151" i="1" s="1"/>
  <c r="E101" i="5" s="1"/>
  <c r="D8" i="22"/>
  <c r="C8"/>
  <c r="B8"/>
  <c r="B5" i="24" s="1"/>
  <c r="K7" i="22"/>
  <c r="G4" i="24" s="1"/>
  <c r="H123" i="1" s="1"/>
  <c r="J73" i="5" s="1"/>
  <c r="J7" i="22"/>
  <c r="F4" i="24" s="1"/>
  <c r="I7" i="22"/>
  <c r="H7"/>
  <c r="G7"/>
  <c r="F7"/>
  <c r="E7"/>
  <c r="D7"/>
  <c r="C7"/>
  <c r="B7"/>
  <c r="B4" i="24" s="1"/>
  <c r="C123" i="1" s="1"/>
  <c r="E73" i="5" s="1"/>
  <c r="K6" i="22"/>
  <c r="G3" i="24" s="1"/>
  <c r="H122" i="1" s="1"/>
  <c r="J72" i="5" s="1"/>
  <c r="J6" i="22"/>
  <c r="I6"/>
  <c r="H6"/>
  <c r="G6"/>
  <c r="F6"/>
  <c r="E6"/>
  <c r="C3" i="24" s="1"/>
  <c r="C149" i="1" s="1"/>
  <c r="E99" i="5" s="1"/>
  <c r="D6" i="22"/>
  <c r="C6"/>
  <c r="B6"/>
  <c r="E20"/>
  <c r="E21"/>
  <c r="C14" i="24" s="1"/>
  <c r="C160" i="1" s="1"/>
  <c r="E110" i="5" s="1"/>
  <c r="E22" i="22"/>
  <c r="C15" i="24" s="1"/>
  <c r="C161" i="1" s="1"/>
  <c r="E23" i="22"/>
  <c r="E24"/>
  <c r="E25"/>
  <c r="C18" i="24" s="1"/>
  <c r="C164" i="1" s="1"/>
  <c r="E114" i="5" s="1"/>
  <c r="E26" i="22"/>
  <c r="C19" i="24" s="1"/>
  <c r="C165" i="1" s="1"/>
  <c r="E115" i="5" s="1"/>
  <c r="E27" i="22"/>
  <c r="E19"/>
  <c r="K60" i="23"/>
  <c r="B24" i="24"/>
  <c r="C143" i="1" s="1"/>
  <c r="E93" i="5" s="1"/>
  <c r="B3" i="24"/>
  <c r="C122" i="1" s="1"/>
  <c r="E72" i="5" s="1"/>
  <c r="G68" i="23"/>
  <c r="G67"/>
  <c r="G66"/>
  <c r="G65"/>
  <c r="G63"/>
  <c r="G64"/>
  <c r="G62"/>
  <c r="I66" s="1"/>
  <c r="I67" s="1"/>
  <c r="I68" s="1"/>
  <c r="G61"/>
  <c r="C62"/>
  <c r="C61"/>
  <c r="C64" s="1"/>
  <c r="C67" s="1"/>
  <c r="C60"/>
  <c r="C63" s="1"/>
  <c r="C66" s="1"/>
  <c r="G60"/>
  <c r="F41" i="29"/>
  <c r="E41"/>
  <c r="C41"/>
  <c r="F40"/>
  <c r="E40"/>
  <c r="C40"/>
  <c r="E39"/>
  <c r="F39"/>
  <c r="C39"/>
  <c r="F38"/>
  <c r="E38"/>
  <c r="C38"/>
  <c r="F37"/>
  <c r="E37"/>
  <c r="C37"/>
  <c r="B28"/>
  <c r="B29"/>
  <c r="B30"/>
  <c r="D27"/>
  <c r="C28"/>
  <c r="C18"/>
  <c r="C17"/>
  <c r="C16"/>
  <c r="C15"/>
  <c r="D28"/>
  <c r="C29"/>
  <c r="D29"/>
  <c r="C30"/>
  <c r="D30"/>
  <c r="B21" i="27"/>
  <c r="B21" i="26"/>
  <c r="B21" i="25"/>
  <c r="AO11" i="28"/>
  <c r="AG13"/>
  <c r="AS13"/>
  <c r="AX13"/>
  <c r="AG15"/>
  <c r="AJ15"/>
  <c r="AO15"/>
  <c r="AS15"/>
  <c r="AX15"/>
  <c r="BA15"/>
  <c r="AG17"/>
  <c r="AS17"/>
  <c r="AX17"/>
  <c r="AJ18"/>
  <c r="AO18"/>
  <c r="BA18"/>
  <c r="AF20"/>
  <c r="AG20"/>
  <c r="AJ20"/>
  <c r="AN20"/>
  <c r="AO20"/>
  <c r="AS20"/>
  <c r="AW20"/>
  <c r="AX20"/>
  <c r="BA20"/>
  <c r="J21"/>
  <c r="BA21" s="1"/>
  <c r="AI21"/>
  <c r="I21"/>
  <c r="J20"/>
  <c r="AK20" s="1"/>
  <c r="F20"/>
  <c r="I20"/>
  <c r="J19"/>
  <c r="I19"/>
  <c r="J18"/>
  <c r="AI18"/>
  <c r="I18"/>
  <c r="F21"/>
  <c r="F18"/>
  <c r="J17"/>
  <c r="AJ17" s="1"/>
  <c r="I17"/>
  <c r="J16"/>
  <c r="I16"/>
  <c r="J15"/>
  <c r="AF15" s="1"/>
  <c r="F15"/>
  <c r="I15"/>
  <c r="J14"/>
  <c r="F14"/>
  <c r="I14"/>
  <c r="J13"/>
  <c r="I13"/>
  <c r="J12"/>
  <c r="F12"/>
  <c r="I12"/>
  <c r="F17"/>
  <c r="J11"/>
  <c r="BA11" s="1"/>
  <c r="I11"/>
  <c r="J10"/>
  <c r="AI10"/>
  <c r="I10"/>
  <c r="J9"/>
  <c r="I9"/>
  <c r="J8"/>
  <c r="I8"/>
  <c r="J7"/>
  <c r="I7"/>
  <c r="J6"/>
  <c r="I6"/>
  <c r="B10"/>
  <c r="C10"/>
  <c r="B11"/>
  <c r="C11"/>
  <c r="A11" s="1"/>
  <c r="J5"/>
  <c r="I5"/>
  <c r="J4"/>
  <c r="I4"/>
  <c r="J3"/>
  <c r="I3"/>
  <c r="AW21"/>
  <c r="AS21"/>
  <c r="AN21"/>
  <c r="AF21"/>
  <c r="BA16"/>
  <c r="BA14"/>
  <c r="AN14"/>
  <c r="BA10"/>
  <c r="AN10"/>
  <c r="AJ10"/>
  <c r="BB21"/>
  <c r="AX21"/>
  <c r="AT21"/>
  <c r="AK21"/>
  <c r="AG21"/>
  <c r="BB12"/>
  <c r="AX12"/>
  <c r="AT10"/>
  <c r="AO10"/>
  <c r="F10"/>
  <c r="BC21"/>
  <c r="AU21"/>
  <c r="AP21"/>
  <c r="AL21"/>
  <c r="BC20"/>
  <c r="AY20"/>
  <c r="AU20"/>
  <c r="AP20"/>
  <c r="AL20"/>
  <c r="AH20"/>
  <c r="AY18"/>
  <c r="AU18"/>
  <c r="AH18"/>
  <c r="BC17"/>
  <c r="AP17"/>
  <c r="AL17"/>
  <c r="AH16"/>
  <c r="BC15"/>
  <c r="AU15"/>
  <c r="AP15"/>
  <c r="AL15"/>
  <c r="BC14"/>
  <c r="AY14"/>
  <c r="AU14"/>
  <c r="AP14"/>
  <c r="AL14"/>
  <c r="AH14"/>
  <c r="BC13"/>
  <c r="AP13"/>
  <c r="AL13"/>
  <c r="AH12"/>
  <c r="BC11"/>
  <c r="AY10"/>
  <c r="AU10"/>
  <c r="AH10"/>
  <c r="AN16"/>
  <c r="AF16"/>
  <c r="AW14"/>
  <c r="AS14"/>
  <c r="AJ14"/>
  <c r="AF14"/>
  <c r="BB14"/>
  <c r="AX14"/>
  <c r="AT14"/>
  <c r="AO14"/>
  <c r="AK14"/>
  <c r="AG14"/>
  <c r="BD21"/>
  <c r="AZ21"/>
  <c r="AV21"/>
  <c r="AQ21"/>
  <c r="AM21"/>
  <c r="BD20"/>
  <c r="AZ20"/>
  <c r="AV20"/>
  <c r="AQ20"/>
  <c r="AM20"/>
  <c r="AI20"/>
  <c r="BD18"/>
  <c r="AQ18"/>
  <c r="AM18"/>
  <c r="AV17"/>
  <c r="AQ17"/>
  <c r="AZ16"/>
  <c r="AV16"/>
  <c r="BD15"/>
  <c r="AZ15"/>
  <c r="AV15"/>
  <c r="AQ15"/>
  <c r="AM15"/>
  <c r="AI15"/>
  <c r="BD14"/>
  <c r="AZ14"/>
  <c r="AV14"/>
  <c r="AQ14"/>
  <c r="AM14"/>
  <c r="AI14"/>
  <c r="BD13"/>
  <c r="AQ13"/>
  <c r="AM13"/>
  <c r="BD11"/>
  <c r="AZ11"/>
  <c r="BD10"/>
  <c r="AQ10"/>
  <c r="AM10"/>
  <c r="BD4"/>
  <c r="BA9"/>
  <c r="C9"/>
  <c r="A9" s="1"/>
  <c r="B9"/>
  <c r="C8"/>
  <c r="B8"/>
  <c r="AZ7"/>
  <c r="C7"/>
  <c r="B7"/>
  <c r="BA6"/>
  <c r="C6"/>
  <c r="A6" s="1"/>
  <c r="B6"/>
  <c r="B5"/>
  <c r="B4"/>
  <c r="B3"/>
  <c r="AZ8"/>
  <c r="AI8"/>
  <c r="AI4"/>
  <c r="BD3"/>
  <c r="AW6"/>
  <c r="AS7"/>
  <c r="AJ7"/>
  <c r="AF7"/>
  <c r="BD7"/>
  <c r="AV7"/>
  <c r="AZ4"/>
  <c r="AF6"/>
  <c r="BC7"/>
  <c r="AN7"/>
  <c r="BA7"/>
  <c r="AQ4"/>
  <c r="F7"/>
  <c r="AM7"/>
  <c r="AW7"/>
  <c r="AN6"/>
  <c r="AK6"/>
  <c r="AI7"/>
  <c r="AQ7"/>
  <c r="F4"/>
  <c r="AJ4"/>
  <c r="AS4"/>
  <c r="BA4"/>
  <c r="AF4"/>
  <c r="AN4"/>
  <c r="AW4"/>
  <c r="BC4"/>
  <c r="AM4"/>
  <c r="AV4"/>
  <c r="AG6"/>
  <c r="AO6"/>
  <c r="AS6"/>
  <c r="BB8"/>
  <c r="F8"/>
  <c r="AH9"/>
  <c r="AP9"/>
  <c r="AU9"/>
  <c r="AY9"/>
  <c r="AG9"/>
  <c r="AO9"/>
  <c r="BB9"/>
  <c r="AG4"/>
  <c r="AK4"/>
  <c r="AO4"/>
  <c r="AT4"/>
  <c r="AX4"/>
  <c r="BB4"/>
  <c r="AH6"/>
  <c r="AL6"/>
  <c r="AY6"/>
  <c r="BC6"/>
  <c r="AG7"/>
  <c r="AK7"/>
  <c r="AO7"/>
  <c r="AT7"/>
  <c r="AX7"/>
  <c r="BB7"/>
  <c r="AF8"/>
  <c r="AJ8"/>
  <c r="AW8"/>
  <c r="BA8"/>
  <c r="F9"/>
  <c r="AI9"/>
  <c r="AM9"/>
  <c r="AQ9"/>
  <c r="AV9"/>
  <c r="AZ9"/>
  <c r="BD9"/>
  <c r="AL9"/>
  <c r="BC9"/>
  <c r="AH8"/>
  <c r="AY8"/>
  <c r="BC8"/>
  <c r="AK9"/>
  <c r="AT9"/>
  <c r="AX9"/>
  <c r="AH4"/>
  <c r="AL4"/>
  <c r="AP4"/>
  <c r="AU4"/>
  <c r="AY4"/>
  <c r="AM6"/>
  <c r="AQ6"/>
  <c r="AH7"/>
  <c r="AL7"/>
  <c r="AP7"/>
  <c r="AU7"/>
  <c r="AY7"/>
  <c r="AG8"/>
  <c r="AT8"/>
  <c r="AX8"/>
  <c r="AF9"/>
  <c r="AJ9"/>
  <c r="AN9"/>
  <c r="AS9"/>
  <c r="AW9"/>
  <c r="A38" i="27"/>
  <c r="G5" i="28" s="1"/>
  <c r="C132" i="27"/>
  <c r="X131"/>
  <c r="W131"/>
  <c r="V131"/>
  <c r="U131"/>
  <c r="T131"/>
  <c r="S131"/>
  <c r="R131"/>
  <c r="Q131"/>
  <c r="P131"/>
  <c r="O131"/>
  <c r="N131"/>
  <c r="M131"/>
  <c r="L131"/>
  <c r="K131"/>
  <c r="J131"/>
  <c r="I131"/>
  <c r="H131"/>
  <c r="G131"/>
  <c r="F131"/>
  <c r="E131"/>
  <c r="X87"/>
  <c r="W87"/>
  <c r="V87"/>
  <c r="U87"/>
  <c r="T87"/>
  <c r="S87"/>
  <c r="R87"/>
  <c r="Q87"/>
  <c r="P87"/>
  <c r="O87"/>
  <c r="N87"/>
  <c r="M87"/>
  <c r="L87"/>
  <c r="K87"/>
  <c r="J87"/>
  <c r="I87"/>
  <c r="H87"/>
  <c r="G87"/>
  <c r="F87"/>
  <c r="E87"/>
  <c r="C87"/>
  <c r="X86"/>
  <c r="W86"/>
  <c r="V86"/>
  <c r="U86"/>
  <c r="T86"/>
  <c r="S86"/>
  <c r="R86"/>
  <c r="Q86"/>
  <c r="P86"/>
  <c r="O86"/>
  <c r="N86"/>
  <c r="M86"/>
  <c r="L86"/>
  <c r="K86"/>
  <c r="J86"/>
  <c r="I86"/>
  <c r="H86"/>
  <c r="G86"/>
  <c r="F86"/>
  <c r="E86"/>
  <c r="X50"/>
  <c r="W50"/>
  <c r="V50"/>
  <c r="U50"/>
  <c r="T50"/>
  <c r="S50"/>
  <c r="R50"/>
  <c r="Q50"/>
  <c r="P50"/>
  <c r="O50"/>
  <c r="N50"/>
  <c r="M50"/>
  <c r="L50"/>
  <c r="K50"/>
  <c r="J50"/>
  <c r="I50"/>
  <c r="H50"/>
  <c r="G50"/>
  <c r="F50"/>
  <c r="E50"/>
  <c r="X49"/>
  <c r="W49"/>
  <c r="V49"/>
  <c r="U49"/>
  <c r="T49"/>
  <c r="S49"/>
  <c r="R49"/>
  <c r="Q49"/>
  <c r="P49"/>
  <c r="O49"/>
  <c r="N49"/>
  <c r="M49"/>
  <c r="L49"/>
  <c r="K49"/>
  <c r="J49"/>
  <c r="I49"/>
  <c r="H49"/>
  <c r="G49"/>
  <c r="F49"/>
  <c r="E49"/>
  <c r="B38"/>
  <c r="F55" s="1"/>
  <c r="X37"/>
  <c r="W37"/>
  <c r="V37"/>
  <c r="U37"/>
  <c r="T37"/>
  <c r="S37"/>
  <c r="R37"/>
  <c r="Q37"/>
  <c r="P37"/>
  <c r="O37"/>
  <c r="N37"/>
  <c r="M37"/>
  <c r="L37"/>
  <c r="K37"/>
  <c r="J37"/>
  <c r="I37"/>
  <c r="H37"/>
  <c r="G37"/>
  <c r="F37"/>
  <c r="E37"/>
  <c r="X36"/>
  <c r="W36"/>
  <c r="V36"/>
  <c r="U36"/>
  <c r="T36"/>
  <c r="S36"/>
  <c r="R36"/>
  <c r="Q36"/>
  <c r="P36"/>
  <c r="O36"/>
  <c r="N36"/>
  <c r="M36"/>
  <c r="L36"/>
  <c r="K36"/>
  <c r="J36"/>
  <c r="I36"/>
  <c r="H36"/>
  <c r="G36"/>
  <c r="F36"/>
  <c r="E36"/>
  <c r="C35"/>
  <c r="D29"/>
  <c r="D28"/>
  <c r="F28" s="1"/>
  <c r="C21"/>
  <c r="C20"/>
  <c r="A19" s="1"/>
  <c r="X12"/>
  <c r="W12"/>
  <c r="V12"/>
  <c r="U12"/>
  <c r="T12"/>
  <c r="S12"/>
  <c r="R12"/>
  <c r="Q12"/>
  <c r="P12"/>
  <c r="O12"/>
  <c r="N12"/>
  <c r="M12"/>
  <c r="L12"/>
  <c r="K12"/>
  <c r="J12"/>
  <c r="I12"/>
  <c r="H12"/>
  <c r="G12"/>
  <c r="F12"/>
  <c r="E12"/>
  <c r="A11"/>
  <c r="C9"/>
  <c r="C132" i="26"/>
  <c r="X131"/>
  <c r="W131"/>
  <c r="V131"/>
  <c r="U131"/>
  <c r="T131"/>
  <c r="S131"/>
  <c r="R131"/>
  <c r="Q131"/>
  <c r="P131"/>
  <c r="O131"/>
  <c r="N131"/>
  <c r="M131"/>
  <c r="L131"/>
  <c r="K131"/>
  <c r="J131"/>
  <c r="I131"/>
  <c r="H131"/>
  <c r="G131"/>
  <c r="F131"/>
  <c r="E131"/>
  <c r="X87"/>
  <c r="W87"/>
  <c r="V87"/>
  <c r="U87"/>
  <c r="T87"/>
  <c r="S87"/>
  <c r="R87"/>
  <c r="Q87"/>
  <c r="P87"/>
  <c r="O87"/>
  <c r="N87"/>
  <c r="M87"/>
  <c r="L87"/>
  <c r="K87"/>
  <c r="J87"/>
  <c r="I87"/>
  <c r="H87"/>
  <c r="G87"/>
  <c r="F87"/>
  <c r="E87"/>
  <c r="C87"/>
  <c r="X86"/>
  <c r="W86"/>
  <c r="V86"/>
  <c r="U86"/>
  <c r="T86"/>
  <c r="S86"/>
  <c r="R86"/>
  <c r="Q86"/>
  <c r="P86"/>
  <c r="O86"/>
  <c r="N86"/>
  <c r="M86"/>
  <c r="L86"/>
  <c r="K86"/>
  <c r="J86"/>
  <c r="I86"/>
  <c r="H86"/>
  <c r="G86"/>
  <c r="F86"/>
  <c r="E86"/>
  <c r="X50"/>
  <c r="W50"/>
  <c r="V50"/>
  <c r="U50"/>
  <c r="T50"/>
  <c r="S50"/>
  <c r="R50"/>
  <c r="Q50"/>
  <c r="P50"/>
  <c r="O50"/>
  <c r="N50"/>
  <c r="M50"/>
  <c r="L50"/>
  <c r="K50"/>
  <c r="J50"/>
  <c r="I50"/>
  <c r="H50"/>
  <c r="G50"/>
  <c r="F50"/>
  <c r="E50"/>
  <c r="X49"/>
  <c r="W49"/>
  <c r="V49"/>
  <c r="U49"/>
  <c r="T49"/>
  <c r="S49"/>
  <c r="R49"/>
  <c r="Q49"/>
  <c r="P49"/>
  <c r="O49"/>
  <c r="N49"/>
  <c r="M49"/>
  <c r="L49"/>
  <c r="K49"/>
  <c r="J49"/>
  <c r="I49"/>
  <c r="H49"/>
  <c r="G49"/>
  <c r="F49"/>
  <c r="E49"/>
  <c r="B39"/>
  <c r="W51" s="1"/>
  <c r="W88" s="1"/>
  <c r="A39"/>
  <c r="G4" i="28" s="1"/>
  <c r="B38" i="26"/>
  <c r="H3" i="28" s="1"/>
  <c r="A38" i="26"/>
  <c r="G3" i="28" s="1"/>
  <c r="X37" i="26"/>
  <c r="W37"/>
  <c r="V37"/>
  <c r="U37"/>
  <c r="T37"/>
  <c r="S37"/>
  <c r="R37"/>
  <c r="Q37"/>
  <c r="P37"/>
  <c r="O37"/>
  <c r="N37"/>
  <c r="M37"/>
  <c r="L37"/>
  <c r="K37"/>
  <c r="J37"/>
  <c r="I37"/>
  <c r="H37"/>
  <c r="G37"/>
  <c r="F37"/>
  <c r="E37"/>
  <c r="X36"/>
  <c r="W36"/>
  <c r="V36"/>
  <c r="U36"/>
  <c r="T36"/>
  <c r="S36"/>
  <c r="R36"/>
  <c r="Q36"/>
  <c r="P36"/>
  <c r="O36"/>
  <c r="N36"/>
  <c r="M36"/>
  <c r="L36"/>
  <c r="K36"/>
  <c r="J36"/>
  <c r="I36"/>
  <c r="H36"/>
  <c r="G36"/>
  <c r="F36"/>
  <c r="E36"/>
  <c r="C35"/>
  <c r="D28"/>
  <c r="U28" s="1"/>
  <c r="C21"/>
  <c r="D29"/>
  <c r="C20"/>
  <c r="A21" s="1"/>
  <c r="X12"/>
  <c r="W12"/>
  <c r="V12"/>
  <c r="U12"/>
  <c r="T12"/>
  <c r="S12"/>
  <c r="R12"/>
  <c r="Q12"/>
  <c r="P12"/>
  <c r="O12"/>
  <c r="N12"/>
  <c r="M12"/>
  <c r="L12"/>
  <c r="K12"/>
  <c r="J12"/>
  <c r="I12"/>
  <c r="H12"/>
  <c r="G12"/>
  <c r="F12"/>
  <c r="E12"/>
  <c r="A11"/>
  <c r="C9"/>
  <c r="C132" i="25"/>
  <c r="X131"/>
  <c r="W131"/>
  <c r="V131"/>
  <c r="U131"/>
  <c r="T131"/>
  <c r="S131"/>
  <c r="R131"/>
  <c r="Q131"/>
  <c r="P131"/>
  <c r="O131"/>
  <c r="N131"/>
  <c r="M131"/>
  <c r="L131"/>
  <c r="K131"/>
  <c r="J131"/>
  <c r="I131"/>
  <c r="H131"/>
  <c r="G131"/>
  <c r="F131"/>
  <c r="E131"/>
  <c r="X87"/>
  <c r="W87"/>
  <c r="V87"/>
  <c r="U87"/>
  <c r="T87"/>
  <c r="S87"/>
  <c r="R87"/>
  <c r="Q87"/>
  <c r="P87"/>
  <c r="O87"/>
  <c r="N87"/>
  <c r="M87"/>
  <c r="L87"/>
  <c r="K87"/>
  <c r="J87"/>
  <c r="I87"/>
  <c r="H87"/>
  <c r="G87"/>
  <c r="F87"/>
  <c r="E87"/>
  <c r="C87"/>
  <c r="X86"/>
  <c r="W86"/>
  <c r="V86"/>
  <c r="U86"/>
  <c r="T86"/>
  <c r="S86"/>
  <c r="R86"/>
  <c r="Q86"/>
  <c r="P86"/>
  <c r="O86"/>
  <c r="N86"/>
  <c r="M86"/>
  <c r="L86"/>
  <c r="K86"/>
  <c r="J86"/>
  <c r="I86"/>
  <c r="H86"/>
  <c r="G86"/>
  <c r="F86"/>
  <c r="E86"/>
  <c r="X50"/>
  <c r="W50"/>
  <c r="V50"/>
  <c r="U50"/>
  <c r="T50"/>
  <c r="S50"/>
  <c r="R50"/>
  <c r="Q50"/>
  <c r="P50"/>
  <c r="O50"/>
  <c r="N50"/>
  <c r="M50"/>
  <c r="L50"/>
  <c r="K50"/>
  <c r="J50"/>
  <c r="I50"/>
  <c r="H50"/>
  <c r="G50"/>
  <c r="F50"/>
  <c r="E50"/>
  <c r="X49"/>
  <c r="W49"/>
  <c r="V49"/>
  <c r="U49"/>
  <c r="T49"/>
  <c r="S49"/>
  <c r="R49"/>
  <c r="Q49"/>
  <c r="P49"/>
  <c r="O49"/>
  <c r="N49"/>
  <c r="M49"/>
  <c r="L49"/>
  <c r="K49"/>
  <c r="J49"/>
  <c r="I49"/>
  <c r="H49"/>
  <c r="G49"/>
  <c r="F49"/>
  <c r="E49"/>
  <c r="B38"/>
  <c r="P54" s="1"/>
  <c r="A38"/>
  <c r="X37"/>
  <c r="W37"/>
  <c r="V37"/>
  <c r="U37"/>
  <c r="T37"/>
  <c r="S37"/>
  <c r="R37"/>
  <c r="Q37"/>
  <c r="P37"/>
  <c r="O37"/>
  <c r="N37"/>
  <c r="M37"/>
  <c r="L37"/>
  <c r="K37"/>
  <c r="J37"/>
  <c r="I37"/>
  <c r="H37"/>
  <c r="G37"/>
  <c r="F37"/>
  <c r="E37"/>
  <c r="X36"/>
  <c r="W36"/>
  <c r="V36"/>
  <c r="U36"/>
  <c r="T36"/>
  <c r="S36"/>
  <c r="R36"/>
  <c r="Q36"/>
  <c r="P36"/>
  <c r="O36"/>
  <c r="N36"/>
  <c r="M36"/>
  <c r="L36"/>
  <c r="K36"/>
  <c r="J36"/>
  <c r="I36"/>
  <c r="H36"/>
  <c r="G36"/>
  <c r="F36"/>
  <c r="E36"/>
  <c r="C35"/>
  <c r="D28"/>
  <c r="E28" s="1"/>
  <c r="C21"/>
  <c r="D29"/>
  <c r="C20"/>
  <c r="A21" s="1"/>
  <c r="X12"/>
  <c r="W12"/>
  <c r="V12"/>
  <c r="U12"/>
  <c r="T12"/>
  <c r="S12"/>
  <c r="R12"/>
  <c r="Q12"/>
  <c r="P12"/>
  <c r="O12"/>
  <c r="N12"/>
  <c r="M12"/>
  <c r="L12"/>
  <c r="K12"/>
  <c r="J12"/>
  <c r="I12"/>
  <c r="H12"/>
  <c r="G12"/>
  <c r="F12"/>
  <c r="E12"/>
  <c r="A11"/>
  <c r="C9"/>
  <c r="F54"/>
  <c r="K54"/>
  <c r="S71"/>
  <c r="O80"/>
  <c r="G64"/>
  <c r="W82"/>
  <c r="M65"/>
  <c r="U63"/>
  <c r="X70"/>
  <c r="Q68"/>
  <c r="R78"/>
  <c r="R58"/>
  <c r="P68"/>
  <c r="J64"/>
  <c r="V76"/>
  <c r="N80"/>
  <c r="K81"/>
  <c r="K70"/>
  <c r="F69"/>
  <c r="I63"/>
  <c r="E70"/>
  <c r="H66"/>
  <c r="T79"/>
  <c r="T67"/>
  <c r="F53" i="27"/>
  <c r="F52"/>
  <c r="T57"/>
  <c r="T58"/>
  <c r="J52"/>
  <c r="J54"/>
  <c r="N52"/>
  <c r="N51"/>
  <c r="N88" s="1"/>
  <c r="H59"/>
  <c r="H57"/>
  <c r="H56"/>
  <c r="K53"/>
  <c r="K58"/>
  <c r="S57"/>
  <c r="S52"/>
  <c r="X53"/>
  <c r="X57"/>
  <c r="X51"/>
  <c r="X88" s="1"/>
  <c r="R59"/>
  <c r="G53"/>
  <c r="G54"/>
  <c r="W57"/>
  <c r="W56"/>
  <c r="O58"/>
  <c r="O59"/>
  <c r="O52"/>
  <c r="P58"/>
  <c r="V51" i="26"/>
  <c r="T51"/>
  <c r="T88" s="1"/>
  <c r="X51"/>
  <c r="Y64" i="25"/>
  <c r="Y77"/>
  <c r="Y62"/>
  <c r="Y71"/>
  <c r="V53" i="27"/>
  <c r="V57"/>
  <c r="V51"/>
  <c r="V88" s="1"/>
  <c r="M51"/>
  <c r="M88" s="1"/>
  <c r="M53"/>
  <c r="M56"/>
  <c r="U54"/>
  <c r="U56"/>
  <c r="U58"/>
  <c r="U55"/>
  <c r="Q57"/>
  <c r="Q55"/>
  <c r="Q56"/>
  <c r="Q52"/>
  <c r="L55"/>
  <c r="L59"/>
  <c r="E52"/>
  <c r="E51"/>
  <c r="E88" s="1"/>
  <c r="E59"/>
  <c r="E58"/>
  <c r="I56"/>
  <c r="I52"/>
  <c r="I53"/>
  <c r="I59"/>
  <c r="I54"/>
  <c r="Y51" i="26"/>
  <c r="Y52"/>
  <c r="Y55" i="27"/>
  <c r="Y51"/>
  <c r="Y54"/>
  <c r="Y57"/>
  <c r="H150" i="1"/>
  <c r="H151"/>
  <c r="J101" i="5" s="1"/>
  <c r="H152" i="1"/>
  <c r="H153"/>
  <c r="J103" i="5" s="1"/>
  <c r="H154" i="1"/>
  <c r="J104" i="5" s="1"/>
  <c r="H155" i="1"/>
  <c r="J105" i="5"/>
  <c r="H156" i="1"/>
  <c r="H157"/>
  <c r="H158"/>
  <c r="J108" i="5"/>
  <c r="H159" i="1"/>
  <c r="J109" i="5" s="1"/>
  <c r="H160" i="1"/>
  <c r="H161"/>
  <c r="J111" i="5" s="1"/>
  <c r="H162" i="1"/>
  <c r="J112" i="5" s="1"/>
  <c r="H163" i="1"/>
  <c r="J113" i="5"/>
  <c r="H164" i="1"/>
  <c r="J114" i="5" s="1"/>
  <c r="H165" i="1"/>
  <c r="H166"/>
  <c r="J116" i="5"/>
  <c r="H149" i="1"/>
  <c r="J99" i="5" s="1"/>
  <c r="J102"/>
  <c r="J106"/>
  <c r="J110"/>
  <c r="E149" i="1"/>
  <c r="E150"/>
  <c r="G100" i="5" s="1"/>
  <c r="E151" i="1"/>
  <c r="G101" i="5" s="1"/>
  <c r="E152" i="1"/>
  <c r="G102" i="5"/>
  <c r="E153" i="1"/>
  <c r="G103" i="5" s="1"/>
  <c r="E154" i="1"/>
  <c r="E155"/>
  <c r="G105" i="5"/>
  <c r="E156" i="1"/>
  <c r="G106" i="5" s="1"/>
  <c r="E157" i="1"/>
  <c r="E158"/>
  <c r="E159"/>
  <c r="E160"/>
  <c r="G110" i="5" s="1"/>
  <c r="E161" i="1"/>
  <c r="G111" i="5" s="1"/>
  <c r="E162" i="1"/>
  <c r="G112" i="5" s="1"/>
  <c r="E163" i="1"/>
  <c r="G113" i="5" s="1"/>
  <c r="E164" i="1"/>
  <c r="G114" i="5"/>
  <c r="E165" i="1"/>
  <c r="E166"/>
  <c r="E167"/>
  <c r="G117" i="5"/>
  <c r="E168" i="1"/>
  <c r="G118" i="5" s="1"/>
  <c r="E169" i="1"/>
  <c r="G119" i="5" s="1"/>
  <c r="E170" i="1"/>
  <c r="G120" i="5" s="1"/>
  <c r="E171" i="1"/>
  <c r="G121" i="5" s="1"/>
  <c r="E172" i="1"/>
  <c r="G122" i="5"/>
  <c r="E173" i="1"/>
  <c r="E174"/>
  <c r="E175"/>
  <c r="G125" i="5" s="1"/>
  <c r="Q72"/>
  <c r="P73"/>
  <c r="P74"/>
  <c r="P75"/>
  <c r="P76"/>
  <c r="P77"/>
  <c r="P78"/>
  <c r="P79"/>
  <c r="P80"/>
  <c r="P81"/>
  <c r="P180" s="1"/>
  <c r="N41" i="3" s="1"/>
  <c r="P82" i="5"/>
  <c r="P83"/>
  <c r="P84"/>
  <c r="P85"/>
  <c r="P86"/>
  <c r="P87"/>
  <c r="P88"/>
  <c r="P89"/>
  <c r="P90"/>
  <c r="P181"/>
  <c r="N42" i="3"/>
  <c r="P91" i="5"/>
  <c r="P92"/>
  <c r="P93"/>
  <c r="P94"/>
  <c r="P95"/>
  <c r="P96"/>
  <c r="P97"/>
  <c r="P98"/>
  <c r="P99"/>
  <c r="P182" s="1"/>
  <c r="N43" i="3"/>
  <c r="P100" i="5"/>
  <c r="P101"/>
  <c r="P102"/>
  <c r="P103"/>
  <c r="P104"/>
  <c r="P105"/>
  <c r="P106"/>
  <c r="P107"/>
  <c r="P108"/>
  <c r="P183" s="1"/>
  <c r="N44" i="3" s="1"/>
  <c r="P109" i="5"/>
  <c r="P110"/>
  <c r="P111"/>
  <c r="P112"/>
  <c r="P113"/>
  <c r="P114"/>
  <c r="P115"/>
  <c r="P116"/>
  <c r="P117"/>
  <c r="P184" s="1"/>
  <c r="N45" i="3" s="1"/>
  <c r="P118" i="5"/>
  <c r="P119"/>
  <c r="P120"/>
  <c r="P121"/>
  <c r="P122"/>
  <c r="P123"/>
  <c r="P124"/>
  <c r="P125"/>
  <c r="P72"/>
  <c r="P179"/>
  <c r="N40" i="3" s="1"/>
  <c r="O73" i="5"/>
  <c r="O74"/>
  <c r="O75"/>
  <c r="O76"/>
  <c r="O77"/>
  <c r="O78"/>
  <c r="O79"/>
  <c r="O80"/>
  <c r="O81"/>
  <c r="O82"/>
  <c r="O83"/>
  <c r="O84"/>
  <c r="O85"/>
  <c r="O86"/>
  <c r="O87"/>
  <c r="O88"/>
  <c r="O89"/>
  <c r="O90"/>
  <c r="O91"/>
  <c r="O92"/>
  <c r="O93"/>
  <c r="O94"/>
  <c r="O95"/>
  <c r="O96"/>
  <c r="O97"/>
  <c r="O98"/>
  <c r="O99"/>
  <c r="O100"/>
  <c r="O101"/>
  <c r="O102"/>
  <c r="O103"/>
  <c r="O104"/>
  <c r="O105"/>
  <c r="O106"/>
  <c r="O107"/>
  <c r="O108"/>
  <c r="O109"/>
  <c r="O110"/>
  <c r="O111"/>
  <c r="O112"/>
  <c r="O113"/>
  <c r="O114"/>
  <c r="O115"/>
  <c r="O116"/>
  <c r="O117"/>
  <c r="O118"/>
  <c r="O119"/>
  <c r="O120"/>
  <c r="O121"/>
  <c r="O122"/>
  <c r="O123"/>
  <c r="O124"/>
  <c r="O125"/>
  <c r="O72"/>
  <c r="N73"/>
  <c r="N74"/>
  <c r="N75"/>
  <c r="N76"/>
  <c r="N77"/>
  <c r="N78"/>
  <c r="N79"/>
  <c r="N80"/>
  <c r="N81"/>
  <c r="N180" s="1"/>
  <c r="L41" i="3" s="1"/>
  <c r="N82" i="5"/>
  <c r="N83"/>
  <c r="N84"/>
  <c r="N85"/>
  <c r="N86"/>
  <c r="N87"/>
  <c r="N88"/>
  <c r="N89"/>
  <c r="N90"/>
  <c r="N181"/>
  <c r="L42" i="3"/>
  <c r="N91" i="5"/>
  <c r="N92"/>
  <c r="N93"/>
  <c r="N94"/>
  <c r="N95"/>
  <c r="N96"/>
  <c r="N97"/>
  <c r="N98"/>
  <c r="N99"/>
  <c r="N182" s="1"/>
  <c r="L43" i="3" s="1"/>
  <c r="N100" i="5"/>
  <c r="N101"/>
  <c r="N102"/>
  <c r="N103"/>
  <c r="N104"/>
  <c r="N105"/>
  <c r="N106"/>
  <c r="N107"/>
  <c r="N108"/>
  <c r="N183" s="1"/>
  <c r="L44" i="3" s="1"/>
  <c r="N109" i="5"/>
  <c r="N110"/>
  <c r="N111"/>
  <c r="N112"/>
  <c r="N113"/>
  <c r="N114"/>
  <c r="N115"/>
  <c r="N116"/>
  <c r="N117"/>
  <c r="N184"/>
  <c r="L45" i="3" s="1"/>
  <c r="N118" i="5"/>
  <c r="N119"/>
  <c r="N120"/>
  <c r="N121"/>
  <c r="N122"/>
  <c r="N123"/>
  <c r="N124"/>
  <c r="N125"/>
  <c r="N72"/>
  <c r="N179"/>
  <c r="L40" i="3"/>
  <c r="M73" i="5"/>
  <c r="M74"/>
  <c r="M75"/>
  <c r="M76"/>
  <c r="M77"/>
  <c r="M78"/>
  <c r="M79"/>
  <c r="M80"/>
  <c r="M81"/>
  <c r="M82"/>
  <c r="M83"/>
  <c r="M84"/>
  <c r="M85"/>
  <c r="M86"/>
  <c r="M87"/>
  <c r="M88"/>
  <c r="M89"/>
  <c r="M90"/>
  <c r="M91"/>
  <c r="M92"/>
  <c r="M93"/>
  <c r="M94"/>
  <c r="M95"/>
  <c r="M96"/>
  <c r="M97"/>
  <c r="M98"/>
  <c r="M99"/>
  <c r="M100"/>
  <c r="M101"/>
  <c r="M102"/>
  <c r="M103"/>
  <c r="M104"/>
  <c r="M105"/>
  <c r="M106"/>
  <c r="M107"/>
  <c r="M108"/>
  <c r="M109"/>
  <c r="M110"/>
  <c r="M111"/>
  <c r="M112"/>
  <c r="M113"/>
  <c r="M114"/>
  <c r="M115"/>
  <c r="M116"/>
  <c r="M117"/>
  <c r="M118"/>
  <c r="M119"/>
  <c r="M120"/>
  <c r="M121"/>
  <c r="M122"/>
  <c r="M123"/>
  <c r="M124"/>
  <c r="M125"/>
  <c r="M72"/>
  <c r="L73"/>
  <c r="L74"/>
  <c r="L75"/>
  <c r="L76"/>
  <c r="L77"/>
  <c r="L78"/>
  <c r="L79"/>
  <c r="L80"/>
  <c r="L81"/>
  <c r="L180"/>
  <c r="J41" i="3" s="1"/>
  <c r="L82" i="5"/>
  <c r="L83"/>
  <c r="L84"/>
  <c r="L85"/>
  <c r="L86"/>
  <c r="L87"/>
  <c r="L88"/>
  <c r="L89"/>
  <c r="L90"/>
  <c r="L181"/>
  <c r="J42" i="3"/>
  <c r="L91" i="5"/>
  <c r="L92"/>
  <c r="L93"/>
  <c r="L94"/>
  <c r="L95"/>
  <c r="L96"/>
  <c r="L97"/>
  <c r="L98"/>
  <c r="L99"/>
  <c r="L182"/>
  <c r="J43" i="3"/>
  <c r="L100" i="5"/>
  <c r="L101"/>
  <c r="L102"/>
  <c r="L103"/>
  <c r="L104"/>
  <c r="L105"/>
  <c r="L106"/>
  <c r="L107"/>
  <c r="L108"/>
  <c r="L183" s="1"/>
  <c r="J44" i="3" s="1"/>
  <c r="L109" i="5"/>
  <c r="L110"/>
  <c r="L111"/>
  <c r="L112"/>
  <c r="L113"/>
  <c r="L114"/>
  <c r="L115"/>
  <c r="L116"/>
  <c r="L117"/>
  <c r="L184"/>
  <c r="J45" i="3" s="1"/>
  <c r="L118" i="5"/>
  <c r="L119"/>
  <c r="L120"/>
  <c r="L121"/>
  <c r="L122"/>
  <c r="L123"/>
  <c r="L124"/>
  <c r="L125"/>
  <c r="L72"/>
  <c r="L179"/>
  <c r="J40" i="3"/>
  <c r="K73" i="5"/>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72"/>
  <c r="J100"/>
  <c r="J107"/>
  <c r="J115"/>
  <c r="I73"/>
  <c r="I74"/>
  <c r="I75"/>
  <c r="I76"/>
  <c r="I77"/>
  <c r="I78"/>
  <c r="I79"/>
  <c r="I80"/>
  <c r="I81"/>
  <c r="I180" s="1"/>
  <c r="I82"/>
  <c r="I83"/>
  <c r="I84"/>
  <c r="I85"/>
  <c r="I86"/>
  <c r="I87"/>
  <c r="I88"/>
  <c r="I89"/>
  <c r="I90"/>
  <c r="I181" s="1"/>
  <c r="I91"/>
  <c r="I92"/>
  <c r="I93"/>
  <c r="I94"/>
  <c r="I95"/>
  <c r="I96"/>
  <c r="I97"/>
  <c r="I98"/>
  <c r="I99"/>
  <c r="I182" s="1"/>
  <c r="I100"/>
  <c r="I101"/>
  <c r="I102"/>
  <c r="I103"/>
  <c r="I104"/>
  <c r="I105"/>
  <c r="I106"/>
  <c r="I107"/>
  <c r="I108"/>
  <c r="I183"/>
  <c r="I109"/>
  <c r="I110"/>
  <c r="I111"/>
  <c r="I112"/>
  <c r="I113"/>
  <c r="I114"/>
  <c r="I115"/>
  <c r="I116"/>
  <c r="I117"/>
  <c r="I184" s="1"/>
  <c r="I118"/>
  <c r="I119"/>
  <c r="I120"/>
  <c r="I121"/>
  <c r="I122"/>
  <c r="I123"/>
  <c r="I124"/>
  <c r="I125"/>
  <c r="I72"/>
  <c r="I179"/>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72"/>
  <c r="G99"/>
  <c r="G104"/>
  <c r="G107"/>
  <c r="G108"/>
  <c r="G109"/>
  <c r="G115"/>
  <c r="G116"/>
  <c r="G123"/>
  <c r="G124"/>
  <c r="F73"/>
  <c r="F74"/>
  <c r="F75"/>
  <c r="F76"/>
  <c r="F77"/>
  <c r="F78"/>
  <c r="F79"/>
  <c r="F80"/>
  <c r="F81"/>
  <c r="F180"/>
  <c r="D41" i="3"/>
  <c r="F82" i="5"/>
  <c r="F83"/>
  <c r="F84"/>
  <c r="F85"/>
  <c r="F86"/>
  <c r="F87"/>
  <c r="F88"/>
  <c r="F89"/>
  <c r="F90"/>
  <c r="F181"/>
  <c r="D42" i="3"/>
  <c r="F91" i="5"/>
  <c r="F92"/>
  <c r="F93"/>
  <c r="F94"/>
  <c r="F95"/>
  <c r="F96"/>
  <c r="F97"/>
  <c r="F98"/>
  <c r="F99"/>
  <c r="F182" s="1"/>
  <c r="D43" i="3" s="1"/>
  <c r="F100" i="5"/>
  <c r="F101"/>
  <c r="F102"/>
  <c r="F103"/>
  <c r="F104"/>
  <c r="F105"/>
  <c r="F106"/>
  <c r="F107"/>
  <c r="F108"/>
  <c r="F183"/>
  <c r="D44" i="3" s="1"/>
  <c r="F109" i="5"/>
  <c r="F110"/>
  <c r="F111"/>
  <c r="F112"/>
  <c r="F113"/>
  <c r="F114"/>
  <c r="F115"/>
  <c r="F116"/>
  <c r="F117"/>
  <c r="F184"/>
  <c r="D45" i="3"/>
  <c r="F118" i="5"/>
  <c r="F119"/>
  <c r="F120"/>
  <c r="F121"/>
  <c r="F122"/>
  <c r="F123"/>
  <c r="F124"/>
  <c r="F125"/>
  <c r="F72"/>
  <c r="F179"/>
  <c r="D40" i="3"/>
  <c r="D73" i="5"/>
  <c r="D74"/>
  <c r="D75"/>
  <c r="D76"/>
  <c r="D77"/>
  <c r="D78"/>
  <c r="D79"/>
  <c r="D80"/>
  <c r="D81"/>
  <c r="D82"/>
  <c r="B82" s="1"/>
  <c r="D83"/>
  <c r="B83" s="1"/>
  <c r="D84"/>
  <c r="D85"/>
  <c r="D86"/>
  <c r="D87"/>
  <c r="D88"/>
  <c r="D89"/>
  <c r="D90"/>
  <c r="D181" s="1"/>
  <c r="B42" i="3" s="1"/>
  <c r="D91" i="5"/>
  <c r="D92"/>
  <c r="D93"/>
  <c r="D94"/>
  <c r="D95"/>
  <c r="D96"/>
  <c r="B96" s="1"/>
  <c r="D97"/>
  <c r="B97" s="1"/>
  <c r="D98"/>
  <c r="D99"/>
  <c r="D182" s="1"/>
  <c r="B43" i="3" s="1"/>
  <c r="D100" i="5"/>
  <c r="D101"/>
  <c r="D102"/>
  <c r="D103"/>
  <c r="D104"/>
  <c r="D105"/>
  <c r="D106"/>
  <c r="D107"/>
  <c r="D108"/>
  <c r="D183"/>
  <c r="B44" i="3" s="1"/>
  <c r="D109" i="5"/>
  <c r="D110"/>
  <c r="D111"/>
  <c r="D112"/>
  <c r="D113"/>
  <c r="D114"/>
  <c r="D115"/>
  <c r="B115" s="1"/>
  <c r="D116"/>
  <c r="D117"/>
  <c r="D184"/>
  <c r="B45" i="3"/>
  <c r="D118" i="5"/>
  <c r="D119"/>
  <c r="D120"/>
  <c r="D121"/>
  <c r="D122"/>
  <c r="D123"/>
  <c r="D124"/>
  <c r="D125"/>
  <c r="D72"/>
  <c r="D179"/>
  <c r="B40" i="3"/>
  <c r="C73" i="5"/>
  <c r="C74"/>
  <c r="C75"/>
  <c r="C76"/>
  <c r="C77"/>
  <c r="C78"/>
  <c r="C79"/>
  <c r="C80"/>
  <c r="B80"/>
  <c r="C81"/>
  <c r="C180" s="1"/>
  <c r="A41" i="3" s="1"/>
  <c r="C82" i="5"/>
  <c r="C83"/>
  <c r="C84"/>
  <c r="C85"/>
  <c r="B85" s="1"/>
  <c r="C86"/>
  <c r="C87"/>
  <c r="C88"/>
  <c r="C89"/>
  <c r="C90"/>
  <c r="C181" s="1"/>
  <c r="A42" i="3" s="1"/>
  <c r="C91" i="5"/>
  <c r="B91" s="1"/>
  <c r="C92"/>
  <c r="B92" s="1"/>
  <c r="C93"/>
  <c r="C94"/>
  <c r="B94" s="1"/>
  <c r="C95"/>
  <c r="B95" s="1"/>
  <c r="C96"/>
  <c r="C97"/>
  <c r="C98"/>
  <c r="B98" s="1"/>
  <c r="C99"/>
  <c r="C100"/>
  <c r="C101"/>
  <c r="C102"/>
  <c r="C103"/>
  <c r="C104"/>
  <c r="B104" s="1"/>
  <c r="C105"/>
  <c r="C106"/>
  <c r="C107"/>
  <c r="B107" s="1"/>
  <c r="C108"/>
  <c r="C109"/>
  <c r="C110"/>
  <c r="B110" s="1"/>
  <c r="C111"/>
  <c r="C112"/>
  <c r="C113"/>
  <c r="C114"/>
  <c r="B114" s="1"/>
  <c r="C115"/>
  <c r="C116"/>
  <c r="C117"/>
  <c r="B117" s="1"/>
  <c r="C184"/>
  <c r="A45" i="3" s="1"/>
  <c r="C118" i="5"/>
  <c r="C119"/>
  <c r="B119" s="1"/>
  <c r="C120"/>
  <c r="B120" s="1"/>
  <c r="C121"/>
  <c r="B121"/>
  <c r="C122"/>
  <c r="B122" s="1"/>
  <c r="C123"/>
  <c r="C124"/>
  <c r="C125"/>
  <c r="B125" s="1"/>
  <c r="C72"/>
  <c r="B89"/>
  <c r="B93"/>
  <c r="B109"/>
  <c r="B113"/>
  <c r="Q125"/>
  <c r="Q124"/>
  <c r="Q123"/>
  <c r="Q122"/>
  <c r="Q121"/>
  <c r="Q120"/>
  <c r="Q119"/>
  <c r="Q118"/>
  <c r="Q117"/>
  <c r="Q116"/>
  <c r="Q115"/>
  <c r="Q114"/>
  <c r="Q113"/>
  <c r="Q112"/>
  <c r="Q111"/>
  <c r="Q110"/>
  <c r="Q109"/>
  <c r="Q108"/>
  <c r="Q107"/>
  <c r="Q106"/>
  <c r="Q105"/>
  <c r="Q104"/>
  <c r="Q103"/>
  <c r="Q102"/>
  <c r="Q101"/>
  <c r="Q100"/>
  <c r="Q99"/>
  <c r="Q98"/>
  <c r="Q97"/>
  <c r="Q96"/>
  <c r="Q95"/>
  <c r="Q94"/>
  <c r="Q93"/>
  <c r="Q92"/>
  <c r="Q91"/>
  <c r="Q90"/>
  <c r="Q89"/>
  <c r="Q88"/>
  <c r="Q87"/>
  <c r="B87"/>
  <c r="Q86"/>
  <c r="Q85"/>
  <c r="Q84"/>
  <c r="Q83"/>
  <c r="Q82"/>
  <c r="Q81"/>
  <c r="Q80"/>
  <c r="Q79"/>
  <c r="Q78"/>
  <c r="Q77"/>
  <c r="Q76"/>
  <c r="Q75"/>
  <c r="B75"/>
  <c r="Q74"/>
  <c r="Q73"/>
  <c r="Q179" s="1"/>
  <c r="O40" i="3" s="1"/>
  <c r="A73" i="5"/>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72"/>
  <c r="J98"/>
  <c r="C29" i="24"/>
  <c r="C175" i="1"/>
  <c r="E125" i="5" s="1"/>
  <c r="C148" i="1"/>
  <c r="E98" i="5" s="1"/>
  <c r="C28" i="24"/>
  <c r="C174" i="1"/>
  <c r="E124" i="5" s="1"/>
  <c r="C27" i="24"/>
  <c r="C173" i="1"/>
  <c r="E123" i="5" s="1"/>
  <c r="F26" i="24"/>
  <c r="C26"/>
  <c r="C172" i="1"/>
  <c r="E122" i="5" s="1"/>
  <c r="G25" i="24"/>
  <c r="H144" i="1" s="1"/>
  <c r="J94" i="5" s="1"/>
  <c r="C25" i="24"/>
  <c r="C171" i="1"/>
  <c r="E121" i="5" s="1"/>
  <c r="E94"/>
  <c r="F24" i="24"/>
  <c r="C24"/>
  <c r="C170" i="1" s="1"/>
  <c r="E120" i="5" s="1"/>
  <c r="C23" i="24"/>
  <c r="C169" i="1"/>
  <c r="E119" i="5" s="1"/>
  <c r="C22" i="24"/>
  <c r="C168" i="1"/>
  <c r="E118" i="5"/>
  <c r="J90"/>
  <c r="F21" i="24"/>
  <c r="C21"/>
  <c r="C167" i="1"/>
  <c r="E117" i="5" s="1"/>
  <c r="C20" i="24"/>
  <c r="C166" i="1"/>
  <c r="E116" i="5" s="1"/>
  <c r="H137" i="1"/>
  <c r="J87" i="5" s="1"/>
  <c r="C17" i="24"/>
  <c r="C163" i="1"/>
  <c r="E113" i="5"/>
  <c r="C16" i="24"/>
  <c r="C162" i="1"/>
  <c r="E112" i="5"/>
  <c r="F15" i="24"/>
  <c r="E111" i="5"/>
  <c r="G14" i="24"/>
  <c r="H133" i="1" s="1"/>
  <c r="J83" i="5" s="1"/>
  <c r="C13" i="24"/>
  <c r="C159" i="1" s="1"/>
  <c r="E109" i="5" s="1"/>
  <c r="F12" i="24"/>
  <c r="C12"/>
  <c r="C158" i="1" s="1"/>
  <c r="E108" i="5" s="1"/>
  <c r="F11" i="24"/>
  <c r="G10"/>
  <c r="H129" i="1" s="1"/>
  <c r="J79" i="5" s="1"/>
  <c r="F10" i="24"/>
  <c r="F9"/>
  <c r="C9"/>
  <c r="C155" i="1" s="1"/>
  <c r="E105" i="5" s="1"/>
  <c r="C128" i="1"/>
  <c r="E78" i="5" s="1"/>
  <c r="F7" i="24"/>
  <c r="C6"/>
  <c r="C152" i="1" s="1"/>
  <c r="E102" i="5" s="1"/>
  <c r="F5" i="24"/>
  <c r="C124" i="1"/>
  <c r="E74" i="5" s="1"/>
  <c r="C4" i="24"/>
  <c r="C150" i="1" s="1"/>
  <c r="E100" i="5" s="1"/>
  <c r="F3" i="24"/>
  <c r="X142" i="23"/>
  <c r="W142"/>
  <c r="S142"/>
  <c r="W141"/>
  <c r="S141"/>
  <c r="X141"/>
  <c r="X140"/>
  <c r="S140"/>
  <c r="W140"/>
  <c r="X139"/>
  <c r="W139"/>
  <c r="S139"/>
  <c r="W138"/>
  <c r="R138"/>
  <c r="Q138"/>
  <c r="S138"/>
  <c r="X138"/>
  <c r="R137"/>
  <c r="W137"/>
  <c r="Q137"/>
  <c r="S137"/>
  <c r="S136"/>
  <c r="R136"/>
  <c r="X136"/>
  <c r="Q136"/>
  <c r="W135"/>
  <c r="S135"/>
  <c r="R135"/>
  <c r="X135"/>
  <c r="Q135"/>
  <c r="X134"/>
  <c r="R134"/>
  <c r="Q134"/>
  <c r="S134"/>
  <c r="W134"/>
  <c r="R133"/>
  <c r="W133"/>
  <c r="Q133"/>
  <c r="S133"/>
  <c r="S132"/>
  <c r="R132"/>
  <c r="X132"/>
  <c r="Q132"/>
  <c r="W131"/>
  <c r="S131"/>
  <c r="R131"/>
  <c r="X131"/>
  <c r="Q131"/>
  <c r="X130"/>
  <c r="R130"/>
  <c r="Q130"/>
  <c r="S130"/>
  <c r="W130"/>
  <c r="R129"/>
  <c r="W129"/>
  <c r="Q129"/>
  <c r="S129"/>
  <c r="S128"/>
  <c r="R128"/>
  <c r="X128"/>
  <c r="Q128"/>
  <c r="X127"/>
  <c r="W127"/>
  <c r="S127"/>
  <c r="Q127"/>
  <c r="W126"/>
  <c r="S126"/>
  <c r="R126"/>
  <c r="X126"/>
  <c r="Q126"/>
  <c r="U96"/>
  <c r="R68"/>
  <c r="S67"/>
  <c r="S68"/>
  <c r="T68"/>
  <c r="U68"/>
  <c r="H29" i="24" s="1"/>
  <c r="H175" i="1" s="1"/>
  <c r="J125" i="5" s="1"/>
  <c r="R67" i="23"/>
  <c r="N67"/>
  <c r="N68"/>
  <c r="P68"/>
  <c r="T66"/>
  <c r="U66"/>
  <c r="H27" i="24" s="1"/>
  <c r="H173" i="1" s="1"/>
  <c r="J123" i="5" s="1"/>
  <c r="S66" i="23"/>
  <c r="R66"/>
  <c r="P66"/>
  <c r="N66"/>
  <c r="L66"/>
  <c r="L67"/>
  <c r="L68"/>
  <c r="K66"/>
  <c r="M66"/>
  <c r="Q66"/>
  <c r="H66"/>
  <c r="H67"/>
  <c r="H68"/>
  <c r="L65"/>
  <c r="H65"/>
  <c r="R64"/>
  <c r="R65"/>
  <c r="L64"/>
  <c r="H64"/>
  <c r="S63"/>
  <c r="S64"/>
  <c r="R63"/>
  <c r="N63"/>
  <c r="N64"/>
  <c r="M63"/>
  <c r="L63"/>
  <c r="K63"/>
  <c r="K64"/>
  <c r="H63"/>
  <c r="K62"/>
  <c r="C65"/>
  <c r="L61"/>
  <c r="L62"/>
  <c r="K61"/>
  <c r="M61"/>
  <c r="H61"/>
  <c r="H62"/>
  <c r="I63"/>
  <c r="I64"/>
  <c r="I65"/>
  <c r="S60"/>
  <c r="S61"/>
  <c r="R60"/>
  <c r="R61"/>
  <c r="R62"/>
  <c r="N60"/>
  <c r="N61"/>
  <c r="M60"/>
  <c r="L60"/>
  <c r="I60"/>
  <c r="I61"/>
  <c r="I62"/>
  <c r="H60"/>
  <c r="T59"/>
  <c r="U59"/>
  <c r="Q59"/>
  <c r="P59"/>
  <c r="U58"/>
  <c r="T58"/>
  <c r="P58"/>
  <c r="Q58"/>
  <c r="U57"/>
  <c r="T57"/>
  <c r="P57"/>
  <c r="Q57"/>
  <c r="T56"/>
  <c r="U56"/>
  <c r="Q56"/>
  <c r="P56"/>
  <c r="T55"/>
  <c r="U55"/>
  <c r="Q55"/>
  <c r="P55"/>
  <c r="U54"/>
  <c r="T54"/>
  <c r="P54"/>
  <c r="Q54"/>
  <c r="U53"/>
  <c r="T53"/>
  <c r="Q53"/>
  <c r="P53"/>
  <c r="T52"/>
  <c r="U52"/>
  <c r="Q52"/>
  <c r="P52"/>
  <c r="U51"/>
  <c r="T51"/>
  <c r="Q51"/>
  <c r="P51"/>
  <c r="U50"/>
  <c r="T50"/>
  <c r="P50"/>
  <c r="Q50"/>
  <c r="U49"/>
  <c r="T49"/>
  <c r="Q49"/>
  <c r="P49"/>
  <c r="K49"/>
  <c r="K50"/>
  <c r="T48"/>
  <c r="U48"/>
  <c r="Q48"/>
  <c r="P48"/>
  <c r="K48"/>
  <c r="U47"/>
  <c r="T47"/>
  <c r="Q47"/>
  <c r="P47"/>
  <c r="U46"/>
  <c r="T46"/>
  <c r="P46"/>
  <c r="Q46"/>
  <c r="U45"/>
  <c r="T45"/>
  <c r="Q45"/>
  <c r="P45"/>
  <c r="K45"/>
  <c r="K46"/>
  <c r="K47"/>
  <c r="T44"/>
  <c r="U44"/>
  <c r="Q44"/>
  <c r="P44"/>
  <c r="U43"/>
  <c r="T43"/>
  <c r="Q43"/>
  <c r="P43"/>
  <c r="U42"/>
  <c r="T42"/>
  <c r="P42"/>
  <c r="Q42"/>
  <c r="K42"/>
  <c r="K43"/>
  <c r="K44"/>
  <c r="B31"/>
  <c r="C49" s="1"/>
  <c r="J49" s="1"/>
  <c r="E129" i="1" s="1"/>
  <c r="G79" i="5" s="1"/>
  <c r="C23" i="23"/>
  <c r="D23" s="1"/>
  <c r="B23"/>
  <c r="A23"/>
  <c r="C22"/>
  <c r="D22" s="1"/>
  <c r="B32" s="1"/>
  <c r="B22"/>
  <c r="A22"/>
  <c r="C21"/>
  <c r="D21" s="1"/>
  <c r="B21"/>
  <c r="A21"/>
  <c r="C20"/>
  <c r="D20" s="1"/>
  <c r="B20"/>
  <c r="A20"/>
  <c r="C19"/>
  <c r="D19" s="1"/>
  <c r="B19"/>
  <c r="A19"/>
  <c r="F15"/>
  <c r="F14"/>
  <c r="F13"/>
  <c r="C4"/>
  <c r="B4"/>
  <c r="C3"/>
  <c r="B3"/>
  <c r="C141" i="1"/>
  <c r="E91" i="5" s="1"/>
  <c r="K180"/>
  <c r="I41" i="3" s="1"/>
  <c r="B124" i="5"/>
  <c r="B116"/>
  <c r="B112"/>
  <c r="B100"/>
  <c r="B88"/>
  <c r="B84"/>
  <c r="B76"/>
  <c r="O184"/>
  <c r="M45" i="3" s="1"/>
  <c r="C47" i="23"/>
  <c r="J47" s="1"/>
  <c r="E127" i="1" s="1"/>
  <c r="G77" i="5" s="1"/>
  <c r="Q183"/>
  <c r="O44" i="3" s="1"/>
  <c r="B90" i="5"/>
  <c r="B123"/>
  <c r="B103"/>
  <c r="B111"/>
  <c r="B79"/>
  <c r="B118"/>
  <c r="B106"/>
  <c r="B102"/>
  <c r="B78"/>
  <c r="B74"/>
  <c r="N62" i="23"/>
  <c r="P62"/>
  <c r="P61"/>
  <c r="Q61"/>
  <c r="N65"/>
  <c r="P65"/>
  <c r="P64"/>
  <c r="S62"/>
  <c r="T62"/>
  <c r="U62"/>
  <c r="H23" i="24" s="1"/>
  <c r="H169" i="1" s="1"/>
  <c r="J119" i="5" s="1"/>
  <c r="T61" i="23"/>
  <c r="U61"/>
  <c r="H22" i="24" s="1"/>
  <c r="H168" i="1" s="1"/>
  <c r="J118" i="5" s="1"/>
  <c r="S65" i="23"/>
  <c r="T65"/>
  <c r="U65"/>
  <c r="H26" i="24" s="1"/>
  <c r="H172" i="1" s="1"/>
  <c r="J122" i="5" s="1"/>
  <c r="T64" i="23"/>
  <c r="U64"/>
  <c r="H25" i="24" s="1"/>
  <c r="H171" i="1" s="1"/>
  <c r="J121" i="5" s="1"/>
  <c r="Q63" i="23"/>
  <c r="M62"/>
  <c r="Q62"/>
  <c r="K65"/>
  <c r="M65"/>
  <c r="Q65"/>
  <c r="M64"/>
  <c r="Q64"/>
  <c r="Q60"/>
  <c r="S151"/>
  <c r="X137"/>
  <c r="P63"/>
  <c r="T63"/>
  <c r="U63"/>
  <c r="H24" i="24" s="1"/>
  <c r="H170" i="1" s="1"/>
  <c r="J120" i="5" s="1"/>
  <c r="K67" i="23"/>
  <c r="P67"/>
  <c r="T67"/>
  <c r="U67"/>
  <c r="H28" i="24" s="1"/>
  <c r="H174" i="1" s="1"/>
  <c r="J124" i="5" s="1"/>
  <c r="W128" i="23"/>
  <c r="W132"/>
  <c r="W149"/>
  <c r="W136"/>
  <c r="S146"/>
  <c r="Y146"/>
  <c r="S147"/>
  <c r="S148"/>
  <c r="Y148"/>
  <c r="S149"/>
  <c r="Y149"/>
  <c r="S150"/>
  <c r="Y150"/>
  <c r="C68"/>
  <c r="X129"/>
  <c r="X149"/>
  <c r="X133"/>
  <c r="X148"/>
  <c r="P60"/>
  <c r="T60"/>
  <c r="U60"/>
  <c r="H21" i="24" s="1"/>
  <c r="H167" i="1" s="1"/>
  <c r="J117" i="5" s="1"/>
  <c r="W146" i="23"/>
  <c r="K68"/>
  <c r="M68"/>
  <c r="Q68"/>
  <c r="M67"/>
  <c r="Q67"/>
  <c r="X147"/>
  <c r="W150"/>
  <c r="W148"/>
  <c r="X146"/>
  <c r="C24"/>
  <c r="D24"/>
  <c r="C27"/>
  <c r="D27"/>
  <c r="C25"/>
  <c r="D25"/>
  <c r="C26"/>
  <c r="D26"/>
  <c r="Y147"/>
  <c r="X150"/>
  <c r="W147"/>
  <c r="B9" i="16"/>
  <c r="B18" s="1"/>
  <c r="B7"/>
  <c r="B16" s="1"/>
  <c r="B6"/>
  <c r="B15" s="1"/>
  <c r="B5"/>
  <c r="B14" s="1"/>
  <c r="B4"/>
  <c r="B13" s="1"/>
  <c r="B29"/>
  <c r="B28"/>
  <c r="B27"/>
  <c r="B26"/>
  <c r="B25"/>
  <c r="B24"/>
  <c r="X57" i="19"/>
  <c r="W57"/>
  <c r="V57"/>
  <c r="U57"/>
  <c r="T57"/>
  <c r="S57"/>
  <c r="R57"/>
  <c r="Q57"/>
  <c r="P57"/>
  <c r="O57"/>
  <c r="N57"/>
  <c r="M57"/>
  <c r="L57"/>
  <c r="K57"/>
  <c r="J57"/>
  <c r="I57"/>
  <c r="H57"/>
  <c r="G57"/>
  <c r="F57"/>
  <c r="E57"/>
  <c r="X68"/>
  <c r="W68"/>
  <c r="V68"/>
  <c r="U68"/>
  <c r="T68"/>
  <c r="S68"/>
  <c r="R68"/>
  <c r="Q68"/>
  <c r="P68"/>
  <c r="O68"/>
  <c r="N68"/>
  <c r="M68"/>
  <c r="L68"/>
  <c r="K68"/>
  <c r="J68"/>
  <c r="I68"/>
  <c r="H68"/>
  <c r="G68"/>
  <c r="F68"/>
  <c r="E68"/>
  <c r="X105"/>
  <c r="W105"/>
  <c r="V105"/>
  <c r="U105"/>
  <c r="T105"/>
  <c r="S105"/>
  <c r="R105"/>
  <c r="Q105"/>
  <c r="P105"/>
  <c r="O105"/>
  <c r="N105"/>
  <c r="M105"/>
  <c r="L105"/>
  <c r="K105"/>
  <c r="J105"/>
  <c r="I105"/>
  <c r="H105"/>
  <c r="G105"/>
  <c r="F105"/>
  <c r="E105"/>
  <c r="X144"/>
  <c r="W144"/>
  <c r="V144"/>
  <c r="U144"/>
  <c r="T144"/>
  <c r="S144"/>
  <c r="R144"/>
  <c r="Q144"/>
  <c r="P144"/>
  <c r="O144"/>
  <c r="N144"/>
  <c r="M144"/>
  <c r="L144"/>
  <c r="K144"/>
  <c r="J144"/>
  <c r="I144"/>
  <c r="H144"/>
  <c r="G144"/>
  <c r="F144"/>
  <c r="E144"/>
  <c r="X146" i="20"/>
  <c r="W146"/>
  <c r="V146"/>
  <c r="U146"/>
  <c r="T146"/>
  <c r="S146"/>
  <c r="R146"/>
  <c r="Q146"/>
  <c r="P146"/>
  <c r="O146"/>
  <c r="N146"/>
  <c r="M146"/>
  <c r="L146"/>
  <c r="K146"/>
  <c r="J146"/>
  <c r="I146"/>
  <c r="H146"/>
  <c r="G146"/>
  <c r="F146"/>
  <c r="E146"/>
  <c r="X107"/>
  <c r="W107"/>
  <c r="V107"/>
  <c r="U107"/>
  <c r="T107"/>
  <c r="S107"/>
  <c r="R107"/>
  <c r="Q107"/>
  <c r="P107"/>
  <c r="O107"/>
  <c r="N107"/>
  <c r="M107"/>
  <c r="L107"/>
  <c r="K107"/>
  <c r="J107"/>
  <c r="I107"/>
  <c r="H107"/>
  <c r="G107"/>
  <c r="F107"/>
  <c r="E107"/>
  <c r="X70"/>
  <c r="W70"/>
  <c r="V70"/>
  <c r="U70"/>
  <c r="T70"/>
  <c r="S70"/>
  <c r="R70"/>
  <c r="Q70"/>
  <c r="P70"/>
  <c r="O70"/>
  <c r="N70"/>
  <c r="M70"/>
  <c r="L70"/>
  <c r="K70"/>
  <c r="J70"/>
  <c r="I70"/>
  <c r="H70"/>
  <c r="G70"/>
  <c r="F70"/>
  <c r="E70"/>
  <c r="X57"/>
  <c r="W57"/>
  <c r="V57"/>
  <c r="U57"/>
  <c r="T57"/>
  <c r="S57"/>
  <c r="R57"/>
  <c r="Q57"/>
  <c r="P57"/>
  <c r="O57"/>
  <c r="N57"/>
  <c r="M57"/>
  <c r="L57"/>
  <c r="K57"/>
  <c r="J57"/>
  <c r="I57"/>
  <c r="H57"/>
  <c r="G57"/>
  <c r="F57"/>
  <c r="E57"/>
  <c r="X146" i="17"/>
  <c r="W146"/>
  <c r="V146"/>
  <c r="U146"/>
  <c r="T146"/>
  <c r="S146"/>
  <c r="R146"/>
  <c r="Q146"/>
  <c r="P146"/>
  <c r="O146"/>
  <c r="N146"/>
  <c r="M146"/>
  <c r="L146"/>
  <c r="K146"/>
  <c r="J146"/>
  <c r="I146"/>
  <c r="H146"/>
  <c r="G146"/>
  <c r="F146"/>
  <c r="E146"/>
  <c r="X107"/>
  <c r="W107"/>
  <c r="V107"/>
  <c r="U107"/>
  <c r="T107"/>
  <c r="S107"/>
  <c r="R107"/>
  <c r="Q107"/>
  <c r="P107"/>
  <c r="O107"/>
  <c r="N107"/>
  <c r="M107"/>
  <c r="L107"/>
  <c r="K107"/>
  <c r="J107"/>
  <c r="I107"/>
  <c r="H107"/>
  <c r="G107"/>
  <c r="F107"/>
  <c r="E107"/>
  <c r="X70"/>
  <c r="W70"/>
  <c r="V70"/>
  <c r="U70"/>
  <c r="T70"/>
  <c r="S70"/>
  <c r="R70"/>
  <c r="Q70"/>
  <c r="P70"/>
  <c r="O70"/>
  <c r="N70"/>
  <c r="M70"/>
  <c r="L70"/>
  <c r="K70"/>
  <c r="J70"/>
  <c r="I70"/>
  <c r="H70"/>
  <c r="G70"/>
  <c r="F70"/>
  <c r="E70"/>
  <c r="X57"/>
  <c r="W57"/>
  <c r="V57"/>
  <c r="U57"/>
  <c r="T57"/>
  <c r="S57"/>
  <c r="R57"/>
  <c r="Q57"/>
  <c r="P57"/>
  <c r="O57"/>
  <c r="N57"/>
  <c r="M57"/>
  <c r="L57"/>
  <c r="K57"/>
  <c r="J57"/>
  <c r="I57"/>
  <c r="H57"/>
  <c r="G57"/>
  <c r="F57"/>
  <c r="E57"/>
  <c r="D41" i="19"/>
  <c r="C42" s="1"/>
  <c r="D41" i="20"/>
  <c r="C42" s="1"/>
  <c r="D41" i="17"/>
  <c r="C42" s="1"/>
  <c r="B62"/>
  <c r="H10" i="28" s="1"/>
  <c r="G18" i="18"/>
  <c r="G19"/>
  <c r="G17"/>
  <c r="C29" i="19"/>
  <c r="D146" i="20"/>
  <c r="A145" s="1"/>
  <c r="D107"/>
  <c r="X106"/>
  <c r="X145"/>
  <c r="W106"/>
  <c r="W145"/>
  <c r="V106"/>
  <c r="V145"/>
  <c r="U106"/>
  <c r="U145"/>
  <c r="T106"/>
  <c r="T145"/>
  <c r="S106"/>
  <c r="S145"/>
  <c r="R106"/>
  <c r="R145"/>
  <c r="Q106"/>
  <c r="Q145"/>
  <c r="P106"/>
  <c r="P145"/>
  <c r="O106"/>
  <c r="O145"/>
  <c r="N106"/>
  <c r="N145"/>
  <c r="M106"/>
  <c r="M145"/>
  <c r="L106"/>
  <c r="L145"/>
  <c r="K106"/>
  <c r="K145"/>
  <c r="J106"/>
  <c r="J145"/>
  <c r="I106"/>
  <c r="I145"/>
  <c r="H106"/>
  <c r="H145"/>
  <c r="G106"/>
  <c r="G145"/>
  <c r="F106"/>
  <c r="F145"/>
  <c r="E106"/>
  <c r="E145"/>
  <c r="D106"/>
  <c r="X69"/>
  <c r="W69"/>
  <c r="V69"/>
  <c r="U69"/>
  <c r="T69"/>
  <c r="S69"/>
  <c r="R69"/>
  <c r="Q69"/>
  <c r="P69"/>
  <c r="O69"/>
  <c r="N69"/>
  <c r="M69"/>
  <c r="L69"/>
  <c r="K69"/>
  <c r="J69"/>
  <c r="I69"/>
  <c r="H69"/>
  <c r="G69"/>
  <c r="F69"/>
  <c r="E69"/>
  <c r="B63"/>
  <c r="H17" i="28" s="1"/>
  <c r="A63" i="20"/>
  <c r="G17" i="28" s="1"/>
  <c r="B62" i="20"/>
  <c r="H16" i="28" s="1"/>
  <c r="A62" i="20"/>
  <c r="G16" i="28" s="1"/>
  <c r="B61" i="20"/>
  <c r="A61"/>
  <c r="G15" i="28" s="1"/>
  <c r="B60" i="20"/>
  <c r="H14" i="28" s="1"/>
  <c r="A60" i="20"/>
  <c r="G14" i="28" s="1"/>
  <c r="B59" i="20"/>
  <c r="H13" i="28" s="1"/>
  <c r="A59" i="20"/>
  <c r="G13" i="28" s="1"/>
  <c r="B58" i="20"/>
  <c r="A58"/>
  <c r="G12" i="28" s="1"/>
  <c r="X56" i="20"/>
  <c r="W56"/>
  <c r="V56"/>
  <c r="U56"/>
  <c r="T56"/>
  <c r="S56"/>
  <c r="R56"/>
  <c r="Q56"/>
  <c r="P56"/>
  <c r="O56"/>
  <c r="N56"/>
  <c r="M56"/>
  <c r="L56"/>
  <c r="K56"/>
  <c r="J56"/>
  <c r="I56"/>
  <c r="H56"/>
  <c r="G56"/>
  <c r="F56"/>
  <c r="E56"/>
  <c r="D37"/>
  <c r="D42"/>
  <c r="D36"/>
  <c r="U47" s="1"/>
  <c r="C29"/>
  <c r="C21"/>
  <c r="D48"/>
  <c r="X12"/>
  <c r="W12"/>
  <c r="V12"/>
  <c r="U12"/>
  <c r="T12"/>
  <c r="S12"/>
  <c r="R12"/>
  <c r="Q12"/>
  <c r="P12"/>
  <c r="O12"/>
  <c r="N12"/>
  <c r="M12"/>
  <c r="L12"/>
  <c r="K12"/>
  <c r="J12"/>
  <c r="I12"/>
  <c r="H12"/>
  <c r="G12"/>
  <c r="F12"/>
  <c r="E12"/>
  <c r="C9"/>
  <c r="D47"/>
  <c r="C28" i="16"/>
  <c r="D28" s="1"/>
  <c r="E28"/>
  <c r="C29"/>
  <c r="D29" s="1"/>
  <c r="E29"/>
  <c r="D144" i="19"/>
  <c r="A143" s="1"/>
  <c r="S143"/>
  <c r="D105"/>
  <c r="X104"/>
  <c r="X143"/>
  <c r="W104"/>
  <c r="W143"/>
  <c r="V104"/>
  <c r="V143"/>
  <c r="U104"/>
  <c r="U143"/>
  <c r="T104"/>
  <c r="T143"/>
  <c r="S104"/>
  <c r="R104"/>
  <c r="R143"/>
  <c r="Q104"/>
  <c r="Q143"/>
  <c r="P104"/>
  <c r="P143"/>
  <c r="O104"/>
  <c r="O143"/>
  <c r="N104"/>
  <c r="N143"/>
  <c r="M104"/>
  <c r="M143"/>
  <c r="L104"/>
  <c r="L143"/>
  <c r="K104"/>
  <c r="K143"/>
  <c r="J104"/>
  <c r="J143"/>
  <c r="I104"/>
  <c r="I143"/>
  <c r="H104"/>
  <c r="H143"/>
  <c r="G104"/>
  <c r="G143"/>
  <c r="F104"/>
  <c r="F143"/>
  <c r="E104"/>
  <c r="E143"/>
  <c r="D104"/>
  <c r="X67"/>
  <c r="W67"/>
  <c r="V67"/>
  <c r="U67"/>
  <c r="T67"/>
  <c r="S67"/>
  <c r="R67"/>
  <c r="Q67"/>
  <c r="P67"/>
  <c r="O67"/>
  <c r="N67"/>
  <c r="M67"/>
  <c r="L67"/>
  <c r="K67"/>
  <c r="J67"/>
  <c r="I67"/>
  <c r="H67"/>
  <c r="G67"/>
  <c r="F67"/>
  <c r="E67"/>
  <c r="B61"/>
  <c r="A61"/>
  <c r="G21" i="28" s="1"/>
  <c r="B60" i="19"/>
  <c r="H20" i="28" s="1"/>
  <c r="A60" i="19"/>
  <c r="G20" i="28" s="1"/>
  <c r="B59" i="19"/>
  <c r="A59"/>
  <c r="G19" i="28" s="1"/>
  <c r="B58" i="19"/>
  <c r="F79" s="1"/>
  <c r="A58"/>
  <c r="G18" i="28" s="1"/>
  <c r="X56" i="19"/>
  <c r="W56"/>
  <c r="V56"/>
  <c r="U56"/>
  <c r="T56"/>
  <c r="S56"/>
  <c r="R56"/>
  <c r="Q56"/>
  <c r="P56"/>
  <c r="O56"/>
  <c r="N56"/>
  <c r="M56"/>
  <c r="L56"/>
  <c r="K56"/>
  <c r="J56"/>
  <c r="I56"/>
  <c r="H56"/>
  <c r="G56"/>
  <c r="F56"/>
  <c r="E56"/>
  <c r="D37"/>
  <c r="D36"/>
  <c r="W47" s="1"/>
  <c r="C21"/>
  <c r="D48"/>
  <c r="X12"/>
  <c r="W12"/>
  <c r="V12"/>
  <c r="U12"/>
  <c r="T12"/>
  <c r="S12"/>
  <c r="R12"/>
  <c r="Q12"/>
  <c r="P12"/>
  <c r="O12"/>
  <c r="N12"/>
  <c r="M12"/>
  <c r="L12"/>
  <c r="K12"/>
  <c r="J12"/>
  <c r="I12"/>
  <c r="H12"/>
  <c r="G12"/>
  <c r="F12"/>
  <c r="E12"/>
  <c r="C9"/>
  <c r="D42"/>
  <c r="T77"/>
  <c r="C27" i="14"/>
  <c r="C20"/>
  <c r="C21"/>
  <c r="C22"/>
  <c r="C23"/>
  <c r="C24"/>
  <c r="C25"/>
  <c r="C26"/>
  <c r="C19"/>
  <c r="C18"/>
  <c r="C17"/>
  <c r="C15"/>
  <c r="C14"/>
  <c r="C13"/>
  <c r="C12"/>
  <c r="C11"/>
  <c r="C10"/>
  <c r="C9"/>
  <c r="C8"/>
  <c r="B8" i="2"/>
  <c r="C8"/>
  <c r="D8"/>
  <c r="E8"/>
  <c r="F8"/>
  <c r="G8"/>
  <c r="H8"/>
  <c r="I8"/>
  <c r="J8"/>
  <c r="K8"/>
  <c r="L8"/>
  <c r="M8"/>
  <c r="N8"/>
  <c r="O8"/>
  <c r="P8"/>
  <c r="Q8"/>
  <c r="B9"/>
  <c r="C9"/>
  <c r="D9"/>
  <c r="E9"/>
  <c r="F9"/>
  <c r="G9"/>
  <c r="H9"/>
  <c r="I9"/>
  <c r="J9"/>
  <c r="K9"/>
  <c r="L9"/>
  <c r="M9"/>
  <c r="N9"/>
  <c r="O9"/>
  <c r="P9"/>
  <c r="Q9"/>
  <c r="B10"/>
  <c r="C10"/>
  <c r="D10"/>
  <c r="E10"/>
  <c r="F10"/>
  <c r="G10"/>
  <c r="H10"/>
  <c r="I10"/>
  <c r="J10"/>
  <c r="K10"/>
  <c r="L10"/>
  <c r="M10"/>
  <c r="N10"/>
  <c r="O10"/>
  <c r="P10"/>
  <c r="Q10"/>
  <c r="B11"/>
  <c r="C11"/>
  <c r="D11"/>
  <c r="E11"/>
  <c r="F11"/>
  <c r="G11"/>
  <c r="H11"/>
  <c r="I11"/>
  <c r="J11"/>
  <c r="K11"/>
  <c r="L11"/>
  <c r="M11"/>
  <c r="N11"/>
  <c r="O11"/>
  <c r="P11"/>
  <c r="Q11"/>
  <c r="B12"/>
  <c r="C12"/>
  <c r="D12"/>
  <c r="E12"/>
  <c r="F12"/>
  <c r="G12"/>
  <c r="H12"/>
  <c r="I12"/>
  <c r="J12"/>
  <c r="K12"/>
  <c r="L12"/>
  <c r="M12"/>
  <c r="N12"/>
  <c r="O12"/>
  <c r="P12"/>
  <c r="Q12"/>
  <c r="B13"/>
  <c r="C13"/>
  <c r="D13"/>
  <c r="E13"/>
  <c r="F13"/>
  <c r="G13"/>
  <c r="H13"/>
  <c r="I13"/>
  <c r="J13"/>
  <c r="K13"/>
  <c r="L13"/>
  <c r="M13"/>
  <c r="N13"/>
  <c r="O13"/>
  <c r="P13"/>
  <c r="Q13"/>
  <c r="B14"/>
  <c r="C14"/>
  <c r="D14"/>
  <c r="E14"/>
  <c r="F14"/>
  <c r="G14"/>
  <c r="H14"/>
  <c r="I14"/>
  <c r="J14"/>
  <c r="K14"/>
  <c r="L14"/>
  <c r="M14"/>
  <c r="N14"/>
  <c r="O14"/>
  <c r="P14"/>
  <c r="Q14"/>
  <c r="B15"/>
  <c r="C15"/>
  <c r="D15"/>
  <c r="E15"/>
  <c r="F15"/>
  <c r="G15"/>
  <c r="H15"/>
  <c r="I15"/>
  <c r="J15"/>
  <c r="K15"/>
  <c r="L15"/>
  <c r="M15"/>
  <c r="N15"/>
  <c r="O15"/>
  <c r="P15"/>
  <c r="Q15"/>
  <c r="B16"/>
  <c r="C16"/>
  <c r="D16"/>
  <c r="E16"/>
  <c r="F16"/>
  <c r="G16"/>
  <c r="H16"/>
  <c r="I16"/>
  <c r="J16"/>
  <c r="K16"/>
  <c r="L16"/>
  <c r="M16"/>
  <c r="N16"/>
  <c r="O16"/>
  <c r="P16"/>
  <c r="Q16"/>
  <c r="B17"/>
  <c r="C17"/>
  <c r="D17"/>
  <c r="E17"/>
  <c r="F17"/>
  <c r="G17"/>
  <c r="H17"/>
  <c r="I17"/>
  <c r="J17"/>
  <c r="K17"/>
  <c r="L17"/>
  <c r="M17"/>
  <c r="N17"/>
  <c r="O17"/>
  <c r="P17"/>
  <c r="Q17"/>
  <c r="B18"/>
  <c r="C18"/>
  <c r="D18"/>
  <c r="E18"/>
  <c r="F18"/>
  <c r="G18"/>
  <c r="H18"/>
  <c r="I18"/>
  <c r="J18"/>
  <c r="K18"/>
  <c r="L18"/>
  <c r="M18"/>
  <c r="N18"/>
  <c r="O18"/>
  <c r="P18"/>
  <c r="Q18"/>
  <c r="B19"/>
  <c r="C19"/>
  <c r="D19"/>
  <c r="E19"/>
  <c r="F19"/>
  <c r="G19"/>
  <c r="H19"/>
  <c r="I19"/>
  <c r="J19"/>
  <c r="K19"/>
  <c r="L19"/>
  <c r="M19"/>
  <c r="N19"/>
  <c r="O19"/>
  <c r="P19"/>
  <c r="Q19"/>
  <c r="B20"/>
  <c r="C20"/>
  <c r="D20"/>
  <c r="E20"/>
  <c r="F20"/>
  <c r="G20"/>
  <c r="H20"/>
  <c r="I20"/>
  <c r="J20"/>
  <c r="K20"/>
  <c r="L20"/>
  <c r="M20"/>
  <c r="N20"/>
  <c r="O20"/>
  <c r="P20"/>
  <c r="Q20"/>
  <c r="B21"/>
  <c r="C21"/>
  <c r="D21"/>
  <c r="E21"/>
  <c r="F21"/>
  <c r="G21"/>
  <c r="H21"/>
  <c r="I21"/>
  <c r="J21"/>
  <c r="K21"/>
  <c r="L21"/>
  <c r="M21"/>
  <c r="N21"/>
  <c r="O21"/>
  <c r="P21"/>
  <c r="Q21"/>
  <c r="B22"/>
  <c r="C22"/>
  <c r="D22"/>
  <c r="E22"/>
  <c r="F22"/>
  <c r="G22"/>
  <c r="H22"/>
  <c r="I22"/>
  <c r="J22"/>
  <c r="K22"/>
  <c r="L22"/>
  <c r="M22"/>
  <c r="N22"/>
  <c r="O22"/>
  <c r="P22"/>
  <c r="Q22"/>
  <c r="B23"/>
  <c r="C23"/>
  <c r="D23"/>
  <c r="E23"/>
  <c r="F23"/>
  <c r="G23"/>
  <c r="H23"/>
  <c r="I23"/>
  <c r="J23"/>
  <c r="K23"/>
  <c r="L23"/>
  <c r="M23"/>
  <c r="N23"/>
  <c r="O23"/>
  <c r="P23"/>
  <c r="Q23"/>
  <c r="B24"/>
  <c r="C24"/>
  <c r="D24"/>
  <c r="E24"/>
  <c r="F24"/>
  <c r="G24"/>
  <c r="H24"/>
  <c r="I24"/>
  <c r="J24"/>
  <c r="K24"/>
  <c r="L24"/>
  <c r="M24"/>
  <c r="N24"/>
  <c r="O24"/>
  <c r="P24"/>
  <c r="Q24"/>
  <c r="B25"/>
  <c r="C25"/>
  <c r="D25"/>
  <c r="E25"/>
  <c r="F25"/>
  <c r="G25"/>
  <c r="H25"/>
  <c r="I25"/>
  <c r="J25"/>
  <c r="K25"/>
  <c r="L25"/>
  <c r="M25"/>
  <c r="N25"/>
  <c r="O25"/>
  <c r="P25"/>
  <c r="Q25"/>
  <c r="B26"/>
  <c r="C26"/>
  <c r="D26"/>
  <c r="E26"/>
  <c r="F26"/>
  <c r="G26"/>
  <c r="H26"/>
  <c r="I26"/>
  <c r="J26"/>
  <c r="K26"/>
  <c r="L26"/>
  <c r="M26"/>
  <c r="N26"/>
  <c r="O26"/>
  <c r="P26"/>
  <c r="Q26"/>
  <c r="B27"/>
  <c r="C27"/>
  <c r="D27"/>
  <c r="E27"/>
  <c r="F27"/>
  <c r="G27"/>
  <c r="H27"/>
  <c r="I27"/>
  <c r="J27"/>
  <c r="K27"/>
  <c r="L27"/>
  <c r="M27"/>
  <c r="N27"/>
  <c r="O27"/>
  <c r="P27"/>
  <c r="Q27"/>
  <c r="B28"/>
  <c r="C28"/>
  <c r="D28"/>
  <c r="E28"/>
  <c r="F28"/>
  <c r="G28"/>
  <c r="H28"/>
  <c r="I28"/>
  <c r="J28"/>
  <c r="K28"/>
  <c r="L28"/>
  <c r="M28"/>
  <c r="N28"/>
  <c r="O28"/>
  <c r="P28"/>
  <c r="Q28"/>
  <c r="B29"/>
  <c r="C29"/>
  <c r="D29"/>
  <c r="E29"/>
  <c r="F29"/>
  <c r="G29"/>
  <c r="H29"/>
  <c r="I29"/>
  <c r="J29"/>
  <c r="K29"/>
  <c r="L29"/>
  <c r="M29"/>
  <c r="N29"/>
  <c r="O29"/>
  <c r="P29"/>
  <c r="Q29"/>
  <c r="B30"/>
  <c r="C30"/>
  <c r="D30"/>
  <c r="E30"/>
  <c r="F30"/>
  <c r="G30"/>
  <c r="H30"/>
  <c r="I30"/>
  <c r="J30"/>
  <c r="K30"/>
  <c r="L30"/>
  <c r="M30"/>
  <c r="N30"/>
  <c r="O30"/>
  <c r="P30"/>
  <c r="Q30"/>
  <c r="B31"/>
  <c r="C31"/>
  <c r="D31"/>
  <c r="E31"/>
  <c r="F31"/>
  <c r="G31"/>
  <c r="H31"/>
  <c r="H114" s="1"/>
  <c r="I30" i="5" s="1"/>
  <c r="I159" s="1"/>
  <c r="I31" i="2"/>
  <c r="J31"/>
  <c r="K31"/>
  <c r="L31"/>
  <c r="M31"/>
  <c r="N31"/>
  <c r="O31"/>
  <c r="P31"/>
  <c r="Q31"/>
  <c r="B32"/>
  <c r="C32"/>
  <c r="D32"/>
  <c r="E32"/>
  <c r="F32"/>
  <c r="G32"/>
  <c r="H32"/>
  <c r="I32"/>
  <c r="J32"/>
  <c r="K32"/>
  <c r="L32"/>
  <c r="M32"/>
  <c r="N32"/>
  <c r="O32"/>
  <c r="P32"/>
  <c r="Q32"/>
  <c r="B33"/>
  <c r="C33"/>
  <c r="D33"/>
  <c r="E33"/>
  <c r="F33"/>
  <c r="G33"/>
  <c r="H33"/>
  <c r="H116" s="1"/>
  <c r="I32" i="5" s="1"/>
  <c r="I33" i="2"/>
  <c r="J33"/>
  <c r="K33"/>
  <c r="L33"/>
  <c r="M33"/>
  <c r="N33"/>
  <c r="O33"/>
  <c r="P33"/>
  <c r="Q33"/>
  <c r="B34"/>
  <c r="C34"/>
  <c r="D34"/>
  <c r="E34"/>
  <c r="E117" s="1"/>
  <c r="F34"/>
  <c r="G34"/>
  <c r="H34"/>
  <c r="I34"/>
  <c r="J34"/>
  <c r="K34"/>
  <c r="L34"/>
  <c r="M34"/>
  <c r="N34"/>
  <c r="O34"/>
  <c r="P34"/>
  <c r="Q34"/>
  <c r="B35"/>
  <c r="C35"/>
  <c r="D35"/>
  <c r="E35"/>
  <c r="F35"/>
  <c r="G35"/>
  <c r="H35"/>
  <c r="H118" s="1"/>
  <c r="I34" i="5" s="1"/>
  <c r="I162" s="1"/>
  <c r="I35" i="2"/>
  <c r="J35"/>
  <c r="K35"/>
  <c r="L35"/>
  <c r="M35"/>
  <c r="N35"/>
  <c r="O35"/>
  <c r="P35"/>
  <c r="Q35"/>
  <c r="B36"/>
  <c r="C36"/>
  <c r="D36"/>
  <c r="E36"/>
  <c r="F36"/>
  <c r="G36"/>
  <c r="H36"/>
  <c r="H119" s="1"/>
  <c r="I35" i="5" s="1"/>
  <c r="I36" i="2"/>
  <c r="I119" s="1"/>
  <c r="J36"/>
  <c r="K36"/>
  <c r="L36"/>
  <c r="M36"/>
  <c r="M119" s="1"/>
  <c r="N36"/>
  <c r="O36"/>
  <c r="P36"/>
  <c r="Q36"/>
  <c r="Q119" s="1"/>
  <c r="B37"/>
  <c r="C37"/>
  <c r="D37"/>
  <c r="E37"/>
  <c r="F37"/>
  <c r="G37"/>
  <c r="H37"/>
  <c r="I37"/>
  <c r="J37"/>
  <c r="K37"/>
  <c r="L37"/>
  <c r="M37"/>
  <c r="N37"/>
  <c r="O37"/>
  <c r="P37"/>
  <c r="Q37"/>
  <c r="B38"/>
  <c r="C38"/>
  <c r="D38"/>
  <c r="E38"/>
  <c r="F38"/>
  <c r="G38"/>
  <c r="H38"/>
  <c r="H121" s="1"/>
  <c r="I37" i="5" s="1"/>
  <c r="I38" i="2"/>
  <c r="I121" s="1"/>
  <c r="J38"/>
  <c r="K38"/>
  <c r="L38"/>
  <c r="M38"/>
  <c r="M121" s="1"/>
  <c r="N38"/>
  <c r="O38"/>
  <c r="P38"/>
  <c r="Q38"/>
  <c r="Q121" s="1"/>
  <c r="B39"/>
  <c r="C39"/>
  <c r="D39"/>
  <c r="E39"/>
  <c r="F39"/>
  <c r="G39"/>
  <c r="H39"/>
  <c r="H122" s="1"/>
  <c r="I38" i="5" s="1"/>
  <c r="I39" i="2"/>
  <c r="J39"/>
  <c r="K39"/>
  <c r="L39"/>
  <c r="M39"/>
  <c r="N39"/>
  <c r="O39"/>
  <c r="P39"/>
  <c r="Q39"/>
  <c r="B40"/>
  <c r="C40"/>
  <c r="D40"/>
  <c r="D123"/>
  <c r="E40"/>
  <c r="F40"/>
  <c r="G40"/>
  <c r="H40"/>
  <c r="I40"/>
  <c r="J40"/>
  <c r="K40"/>
  <c r="L40"/>
  <c r="M40"/>
  <c r="N40"/>
  <c r="O40"/>
  <c r="P40"/>
  <c r="Q40"/>
  <c r="B41"/>
  <c r="C41"/>
  <c r="D41"/>
  <c r="E41"/>
  <c r="F41"/>
  <c r="G41"/>
  <c r="H41"/>
  <c r="I41"/>
  <c r="J41"/>
  <c r="K41"/>
  <c r="L41"/>
  <c r="M41"/>
  <c r="N41"/>
  <c r="O41"/>
  <c r="P41"/>
  <c r="Q41"/>
  <c r="B42"/>
  <c r="C42"/>
  <c r="D42"/>
  <c r="E42"/>
  <c r="F42"/>
  <c r="G42"/>
  <c r="H42"/>
  <c r="H125" s="1"/>
  <c r="I41" i="5" s="1"/>
  <c r="I42" i="2"/>
  <c r="J42"/>
  <c r="K42"/>
  <c r="L42"/>
  <c r="L125" s="1"/>
  <c r="M42"/>
  <c r="N42"/>
  <c r="O42"/>
  <c r="P42"/>
  <c r="P125" s="1"/>
  <c r="Q42"/>
  <c r="B43"/>
  <c r="C43"/>
  <c r="D43"/>
  <c r="D126" s="1"/>
  <c r="E43"/>
  <c r="E126"/>
  <c r="F42" i="5" s="1"/>
  <c r="F165" s="1"/>
  <c r="D26" i="3" s="1"/>
  <c r="F43" i="2"/>
  <c r="F126" s="1"/>
  <c r="G43"/>
  <c r="G126"/>
  <c r="H43"/>
  <c r="H126" s="1"/>
  <c r="I42" i="5" s="1"/>
  <c r="I165" s="1"/>
  <c r="I43" i="2"/>
  <c r="I126"/>
  <c r="J43"/>
  <c r="J126" s="1"/>
  <c r="K43"/>
  <c r="K126"/>
  <c r="L43"/>
  <c r="L126" s="1"/>
  <c r="M43"/>
  <c r="M126"/>
  <c r="N43"/>
  <c r="N126" s="1"/>
  <c r="O43"/>
  <c r="O126"/>
  <c r="P42" i="5" s="1"/>
  <c r="P165" s="1"/>
  <c r="P43" i="2"/>
  <c r="P126" s="1"/>
  <c r="Q43"/>
  <c r="Q126"/>
  <c r="B44"/>
  <c r="C44"/>
  <c r="D44"/>
  <c r="D127"/>
  <c r="E44"/>
  <c r="E127" s="1"/>
  <c r="F43" i="5" s="1"/>
  <c r="F44" i="2"/>
  <c r="F127"/>
  <c r="G44"/>
  <c r="G127" s="1"/>
  <c r="H44"/>
  <c r="H127"/>
  <c r="I43" i="5" s="1"/>
  <c r="I166" s="1"/>
  <c r="I44" i="2"/>
  <c r="I127" s="1"/>
  <c r="J44"/>
  <c r="J127"/>
  <c r="K44"/>
  <c r="K127" s="1"/>
  <c r="L44"/>
  <c r="L127"/>
  <c r="M44"/>
  <c r="M127" s="1"/>
  <c r="N43" i="5" s="1"/>
  <c r="N44" i="2"/>
  <c r="N127"/>
  <c r="O44"/>
  <c r="O127" s="1"/>
  <c r="P44"/>
  <c r="P127"/>
  <c r="Q44"/>
  <c r="Q127" s="1"/>
  <c r="B45"/>
  <c r="C45"/>
  <c r="D45"/>
  <c r="D128" s="1"/>
  <c r="E44" i="5" s="1"/>
  <c r="E166" s="1"/>
  <c r="C27" i="3" s="1"/>
  <c r="E45" i="2"/>
  <c r="E128"/>
  <c r="F45"/>
  <c r="F128" s="1"/>
  <c r="G45"/>
  <c r="G128"/>
  <c r="H45"/>
  <c r="H128" s="1"/>
  <c r="I45"/>
  <c r="I128"/>
  <c r="J44" i="5" s="1"/>
  <c r="J166" s="1"/>
  <c r="H27" i="3" s="1"/>
  <c r="J45" i="2"/>
  <c r="J128" s="1"/>
  <c r="K45"/>
  <c r="K128"/>
  <c r="L45"/>
  <c r="L128" s="1"/>
  <c r="M44" i="5" s="1"/>
  <c r="M166" s="1"/>
  <c r="K27" i="3" s="1"/>
  <c r="M45" i="2"/>
  <c r="M128"/>
  <c r="N45"/>
  <c r="N128" s="1"/>
  <c r="O45"/>
  <c r="O128"/>
  <c r="P45"/>
  <c r="P128" s="1"/>
  <c r="Q45"/>
  <c r="Q128"/>
  <c r="R44" i="5" s="1"/>
  <c r="R168" s="1"/>
  <c r="B46" i="2"/>
  <c r="C46"/>
  <c r="D46"/>
  <c r="D129"/>
  <c r="E46"/>
  <c r="E129" s="1"/>
  <c r="F46"/>
  <c r="F129"/>
  <c r="G46"/>
  <c r="G129" s="1"/>
  <c r="H45" i="5" s="1"/>
  <c r="H167" s="1"/>
  <c r="F28" i="3" s="1"/>
  <c r="H46" i="2"/>
  <c r="H129"/>
  <c r="I46"/>
  <c r="I129" s="1"/>
  <c r="J46"/>
  <c r="J129"/>
  <c r="K46"/>
  <c r="K129" s="1"/>
  <c r="L46"/>
  <c r="L129"/>
  <c r="M46"/>
  <c r="M129" s="1"/>
  <c r="N46"/>
  <c r="N129"/>
  <c r="O46"/>
  <c r="O129" s="1"/>
  <c r="P45" i="5" s="1"/>
  <c r="P46" i="2"/>
  <c r="P129"/>
  <c r="Q46"/>
  <c r="Q129" s="1"/>
  <c r="B47"/>
  <c r="C47"/>
  <c r="D47"/>
  <c r="D130" s="1"/>
  <c r="E47"/>
  <c r="E130"/>
  <c r="F47"/>
  <c r="F130" s="1"/>
  <c r="G47"/>
  <c r="G130"/>
  <c r="H47"/>
  <c r="H130" s="1"/>
  <c r="I46" i="5" s="1"/>
  <c r="I47" i="2"/>
  <c r="I130"/>
  <c r="J47"/>
  <c r="J130" s="1"/>
  <c r="K47"/>
  <c r="K130"/>
  <c r="L47"/>
  <c r="L130" s="1"/>
  <c r="M47"/>
  <c r="M130"/>
  <c r="N46" i="5" s="1"/>
  <c r="N47" i="2"/>
  <c r="N130" s="1"/>
  <c r="O47"/>
  <c r="O130"/>
  <c r="P46" i="5" s="1"/>
  <c r="P47" i="2"/>
  <c r="P130" s="1"/>
  <c r="Q46" i="5" s="1"/>
  <c r="Q47" i="2"/>
  <c r="Q130"/>
  <c r="B48"/>
  <c r="C48"/>
  <c r="D48"/>
  <c r="D131"/>
  <c r="E48"/>
  <c r="E131" s="1"/>
  <c r="F48"/>
  <c r="F131"/>
  <c r="G48"/>
  <c r="G131" s="1"/>
  <c r="H48"/>
  <c r="H131"/>
  <c r="I48"/>
  <c r="I131" s="1"/>
  <c r="J48"/>
  <c r="J131"/>
  <c r="K48"/>
  <c r="K131" s="1"/>
  <c r="L47" i="5" s="1"/>
  <c r="L48" i="2"/>
  <c r="L131"/>
  <c r="M48"/>
  <c r="M131" s="1"/>
  <c r="N47" i="5" s="1"/>
  <c r="N48" i="2"/>
  <c r="N131"/>
  <c r="O48"/>
  <c r="O131" s="1"/>
  <c r="P48"/>
  <c r="P131"/>
  <c r="Q48"/>
  <c r="Q131" s="1"/>
  <c r="B49"/>
  <c r="C49"/>
  <c r="C132" s="1"/>
  <c r="D48" i="5" s="1"/>
  <c r="D49" i="2"/>
  <c r="D132" s="1"/>
  <c r="E48" i="5" s="1"/>
  <c r="E49" i="2"/>
  <c r="E132"/>
  <c r="F49"/>
  <c r="F132" s="1"/>
  <c r="G49"/>
  <c r="G132"/>
  <c r="H49"/>
  <c r="H132" s="1"/>
  <c r="I49"/>
  <c r="I132"/>
  <c r="J48" i="5" s="1"/>
  <c r="J49" i="2"/>
  <c r="J132" s="1"/>
  <c r="K49"/>
  <c r="K132"/>
  <c r="L48" i="5" s="1"/>
  <c r="L49" i="2"/>
  <c r="L132" s="1"/>
  <c r="M49"/>
  <c r="M132"/>
  <c r="N48" i="5" s="1"/>
  <c r="N49" i="2"/>
  <c r="N132" s="1"/>
  <c r="O49"/>
  <c r="O132"/>
  <c r="P48" i="5" s="1"/>
  <c r="P49" i="2"/>
  <c r="P132" s="1"/>
  <c r="Q49"/>
  <c r="Q132"/>
  <c r="R48" i="5" s="1"/>
  <c r="B50" i="2"/>
  <c r="C50"/>
  <c r="D50"/>
  <c r="D133"/>
  <c r="E50"/>
  <c r="E133" s="1"/>
  <c r="F49" i="5" s="1"/>
  <c r="F50" i="2"/>
  <c r="F133"/>
  <c r="G50"/>
  <c r="G133" s="1"/>
  <c r="H49" i="5" s="1"/>
  <c r="H50" i="2"/>
  <c r="H133"/>
  <c r="I50"/>
  <c r="I133" s="1"/>
  <c r="J50"/>
  <c r="J133"/>
  <c r="K50"/>
  <c r="K133" s="1"/>
  <c r="L49" i="5" s="1"/>
  <c r="L50" i="2"/>
  <c r="L133"/>
  <c r="M50"/>
  <c r="M133" s="1"/>
  <c r="N49" i="5" s="1"/>
  <c r="N50" i="2"/>
  <c r="N133"/>
  <c r="O50"/>
  <c r="O133" s="1"/>
  <c r="P49" i="5" s="1"/>
  <c r="P50" i="2"/>
  <c r="P133"/>
  <c r="Q50"/>
  <c r="Q133" s="1"/>
  <c r="B51"/>
  <c r="C51"/>
  <c r="C134" s="1"/>
  <c r="D50" i="5" s="1"/>
  <c r="D51" i="2"/>
  <c r="D134" s="1"/>
  <c r="E51"/>
  <c r="E134"/>
  <c r="F50" i="5" s="1"/>
  <c r="F51" i="2"/>
  <c r="F134" s="1"/>
  <c r="G51"/>
  <c r="G134"/>
  <c r="H51"/>
  <c r="H134" s="1"/>
  <c r="I50" i="5" s="1"/>
  <c r="I51" i="2"/>
  <c r="I134"/>
  <c r="J51"/>
  <c r="J134" s="1"/>
  <c r="K51"/>
  <c r="K134"/>
  <c r="L50" i="5" s="1"/>
  <c r="L51" i="2"/>
  <c r="L134" s="1"/>
  <c r="M51"/>
  <c r="M134"/>
  <c r="N50" i="5" s="1"/>
  <c r="N51" i="2"/>
  <c r="N134" s="1"/>
  <c r="O51"/>
  <c r="O134"/>
  <c r="P51"/>
  <c r="P134" s="1"/>
  <c r="Q50" i="5" s="1"/>
  <c r="Q51" i="2"/>
  <c r="Q134"/>
  <c r="R50" i="5" s="1"/>
  <c r="B52" i="2"/>
  <c r="C52"/>
  <c r="D52"/>
  <c r="D135"/>
  <c r="E52"/>
  <c r="E135" s="1"/>
  <c r="F51" i="5" s="1"/>
  <c r="F52" i="2"/>
  <c r="F135"/>
  <c r="G52"/>
  <c r="G135" s="1"/>
  <c r="G138" s="1"/>
  <c r="H52"/>
  <c r="H135"/>
  <c r="I51" i="5" s="1"/>
  <c r="I169" s="1"/>
  <c r="I52" i="2"/>
  <c r="I135" s="1"/>
  <c r="J52"/>
  <c r="J135"/>
  <c r="J138" s="1"/>
  <c r="K52"/>
  <c r="K135" s="1"/>
  <c r="L51" i="5" s="1"/>
  <c r="L169" s="1"/>
  <c r="J30" i="3" s="1"/>
  <c r="L52" i="2"/>
  <c r="L135"/>
  <c r="L139" s="1"/>
  <c r="M52"/>
  <c r="M135" s="1"/>
  <c r="N51" i="5" s="1"/>
  <c r="N52" i="2"/>
  <c r="N135"/>
  <c r="O52"/>
  <c r="O135" s="1"/>
  <c r="P51" i="5" s="1"/>
  <c r="P169" s="1"/>
  <c r="P52" i="2"/>
  <c r="P135"/>
  <c r="P139" s="1"/>
  <c r="Q55" i="5" s="1"/>
  <c r="Q52" i="2"/>
  <c r="Q135" s="1"/>
  <c r="B53"/>
  <c r="C53"/>
  <c r="C136" s="1"/>
  <c r="D52" i="5" s="1"/>
  <c r="D170" s="1"/>
  <c r="D53" i="2"/>
  <c r="D136" s="1"/>
  <c r="D142" s="1"/>
  <c r="E53"/>
  <c r="E136"/>
  <c r="F52" i="5" s="1"/>
  <c r="F170" s="1"/>
  <c r="F53" i="2"/>
  <c r="F136" s="1"/>
  <c r="F143" s="1"/>
  <c r="G53"/>
  <c r="G136"/>
  <c r="H53"/>
  <c r="H136" s="1"/>
  <c r="I53"/>
  <c r="I136"/>
  <c r="I142" s="1"/>
  <c r="J58" i="5" s="1"/>
  <c r="J53" i="2"/>
  <c r="J136" s="1"/>
  <c r="K53"/>
  <c r="K136"/>
  <c r="L53"/>
  <c r="L136" s="1"/>
  <c r="M53"/>
  <c r="M136"/>
  <c r="N53"/>
  <c r="N136" s="1"/>
  <c r="O53"/>
  <c r="O136"/>
  <c r="P52" i="5" s="1"/>
  <c r="P170" s="1"/>
  <c r="P53" i="2"/>
  <c r="P136" s="1"/>
  <c r="P142" s="1"/>
  <c r="Q53"/>
  <c r="Q136"/>
  <c r="R52" i="5" s="1"/>
  <c r="R170" s="1"/>
  <c r="B54" i="2"/>
  <c r="C54"/>
  <c r="D54"/>
  <c r="D137"/>
  <c r="D146" s="1"/>
  <c r="E62" i="5" s="1"/>
  <c r="E54" i="2"/>
  <c r="E137" s="1"/>
  <c r="F53" i="5" s="1"/>
  <c r="F54" i="2"/>
  <c r="F137"/>
  <c r="G54"/>
  <c r="G137" s="1"/>
  <c r="H53" i="5" s="1"/>
  <c r="H54" i="2"/>
  <c r="H137"/>
  <c r="I54"/>
  <c r="I137" s="1"/>
  <c r="J54"/>
  <c r="J137"/>
  <c r="K54"/>
  <c r="K137" s="1"/>
  <c r="L53" i="5" s="1"/>
  <c r="L54" i="2"/>
  <c r="L137"/>
  <c r="M54"/>
  <c r="M137" s="1"/>
  <c r="N53" i="5" s="1"/>
  <c r="N54" i="2"/>
  <c r="N137"/>
  <c r="O54"/>
  <c r="O137" s="1"/>
  <c r="P54"/>
  <c r="P137"/>
  <c r="Q54"/>
  <c r="Q137" s="1"/>
  <c r="B55"/>
  <c r="C55"/>
  <c r="D55"/>
  <c r="D138" s="1"/>
  <c r="E55"/>
  <c r="E138" s="1"/>
  <c r="F54" i="5" s="1"/>
  <c r="F171" s="1"/>
  <c r="F55" i="2"/>
  <c r="F138" s="1"/>
  <c r="G54" i="5" s="1"/>
  <c r="G171" s="1"/>
  <c r="E32" i="3" s="1"/>
  <c r="G55" i="2"/>
  <c r="H55"/>
  <c r="H138" s="1"/>
  <c r="I54" i="5" s="1"/>
  <c r="I171" s="1"/>
  <c r="I55" i="2"/>
  <c r="I138" s="1"/>
  <c r="J54" i="5" s="1"/>
  <c r="J171" s="1"/>
  <c r="H32" i="3" s="1"/>
  <c r="J55" i="2"/>
  <c r="K55"/>
  <c r="L55"/>
  <c r="M55"/>
  <c r="N55"/>
  <c r="O55"/>
  <c r="P55"/>
  <c r="Q55"/>
  <c r="B56"/>
  <c r="C56"/>
  <c r="D56"/>
  <c r="D139"/>
  <c r="E56"/>
  <c r="F56"/>
  <c r="G56"/>
  <c r="G139" s="1"/>
  <c r="H56"/>
  <c r="H139" s="1"/>
  <c r="I55" i="5" s="1"/>
  <c r="I56" i="2"/>
  <c r="J56"/>
  <c r="J139" s="1"/>
  <c r="K55" i="5" s="1"/>
  <c r="K172" s="1"/>
  <c r="I33" i="3" s="1"/>
  <c r="K56" i="2"/>
  <c r="L56"/>
  <c r="M56"/>
  <c r="M139" s="1"/>
  <c r="N55" i="5" s="1"/>
  <c r="N56" i="2"/>
  <c r="N139" s="1"/>
  <c r="O56"/>
  <c r="P56"/>
  <c r="Q56"/>
  <c r="Q139" s="1"/>
  <c r="R55" i="5" s="1"/>
  <c r="R172" s="1"/>
  <c r="B57" i="2"/>
  <c r="C57"/>
  <c r="C140" s="1"/>
  <c r="D56" i="5" s="1"/>
  <c r="D57" i="2"/>
  <c r="D140"/>
  <c r="E57"/>
  <c r="F57"/>
  <c r="G57"/>
  <c r="G140" s="1"/>
  <c r="H56" i="5" s="1"/>
  <c r="H57" i="2"/>
  <c r="I57"/>
  <c r="J57"/>
  <c r="J140" s="1"/>
  <c r="K57"/>
  <c r="L57"/>
  <c r="L140" s="1"/>
  <c r="M57"/>
  <c r="M140" s="1"/>
  <c r="N56" i="5" s="1"/>
  <c r="N174" s="1"/>
  <c r="N57" i="2"/>
  <c r="O57"/>
  <c r="O140" s="1"/>
  <c r="P56" i="5" s="1"/>
  <c r="P174" s="1"/>
  <c r="P57" i="2"/>
  <c r="Q57"/>
  <c r="B58"/>
  <c r="C58"/>
  <c r="D58"/>
  <c r="E58"/>
  <c r="F58"/>
  <c r="F141" s="1"/>
  <c r="G57" i="5" s="1"/>
  <c r="G58" i="2"/>
  <c r="G141" s="1"/>
  <c r="H58"/>
  <c r="I58"/>
  <c r="I141"/>
  <c r="J57" i="5" s="1"/>
  <c r="J58" i="2"/>
  <c r="J141" s="1"/>
  <c r="K58"/>
  <c r="L58"/>
  <c r="L141"/>
  <c r="M58"/>
  <c r="N58"/>
  <c r="N141"/>
  <c r="O58"/>
  <c r="O141" s="1"/>
  <c r="P57" i="5" s="1"/>
  <c r="P58" i="2"/>
  <c r="Q58"/>
  <c r="B59"/>
  <c r="B142" s="1"/>
  <c r="C58" i="5" s="1"/>
  <c r="C59" i="2"/>
  <c r="C142" s="1"/>
  <c r="D58" i="5" s="1"/>
  <c r="D174" s="1"/>
  <c r="D59" i="2"/>
  <c r="E59"/>
  <c r="E142" s="1"/>
  <c r="F58" i="5" s="1"/>
  <c r="F59" i="2"/>
  <c r="G59"/>
  <c r="H59"/>
  <c r="H142" s="1"/>
  <c r="I59"/>
  <c r="J59"/>
  <c r="K59"/>
  <c r="K142" s="1"/>
  <c r="L58" i="5" s="1"/>
  <c r="L59" i="2"/>
  <c r="M59"/>
  <c r="N59"/>
  <c r="N142"/>
  <c r="O59"/>
  <c r="P59"/>
  <c r="Q59"/>
  <c r="Q142" s="1"/>
  <c r="B60"/>
  <c r="B143" s="1"/>
  <c r="A143" s="1"/>
  <c r="A59" i="5" s="1"/>
  <c r="Q59" s="1"/>
  <c r="C60" i="2"/>
  <c r="D60"/>
  <c r="E60"/>
  <c r="E143" s="1"/>
  <c r="F59" i="5" s="1"/>
  <c r="F60" i="2"/>
  <c r="G60"/>
  <c r="H60"/>
  <c r="H143" s="1"/>
  <c r="I59" i="5" s="1"/>
  <c r="I60" i="2"/>
  <c r="I143" s="1"/>
  <c r="J59" i="5" s="1"/>
  <c r="J60" i="2"/>
  <c r="K60"/>
  <c r="K143" s="1"/>
  <c r="L59" i="5" s="1"/>
  <c r="L60" i="2"/>
  <c r="M60"/>
  <c r="N60"/>
  <c r="N143" s="1"/>
  <c r="O60"/>
  <c r="P60"/>
  <c r="P143" s="1"/>
  <c r="Q60"/>
  <c r="B61"/>
  <c r="C61"/>
  <c r="C144" s="1"/>
  <c r="D60" i="5" s="1"/>
  <c r="D61" i="2"/>
  <c r="E61"/>
  <c r="F61"/>
  <c r="G61"/>
  <c r="H61"/>
  <c r="I61"/>
  <c r="J61"/>
  <c r="J144"/>
  <c r="K60" i="5" s="1"/>
  <c r="K61" i="2"/>
  <c r="L61"/>
  <c r="M61"/>
  <c r="M144" s="1"/>
  <c r="N60" i="5" s="1"/>
  <c r="N61" i="2"/>
  <c r="N144" s="1"/>
  <c r="O61"/>
  <c r="P61"/>
  <c r="Q61"/>
  <c r="B62"/>
  <c r="C62"/>
  <c r="D62"/>
  <c r="E62"/>
  <c r="E145" s="1"/>
  <c r="F62"/>
  <c r="G62"/>
  <c r="H62"/>
  <c r="I62"/>
  <c r="J62"/>
  <c r="J145" s="1"/>
  <c r="K62"/>
  <c r="L62"/>
  <c r="M62"/>
  <c r="M145" s="1"/>
  <c r="N61" i="5" s="1"/>
  <c r="N62" i="2"/>
  <c r="N145" s="1"/>
  <c r="O62"/>
  <c r="O145" s="1"/>
  <c r="P62"/>
  <c r="Q62"/>
  <c r="Q145" s="1"/>
  <c r="R61" i="5" s="1"/>
  <c r="B63" i="2"/>
  <c r="C63"/>
  <c r="D63"/>
  <c r="E63"/>
  <c r="E146" s="1"/>
  <c r="F63"/>
  <c r="G63"/>
  <c r="H63"/>
  <c r="H146" s="1"/>
  <c r="I62" i="5" s="1"/>
  <c r="I63" i="2"/>
  <c r="J63"/>
  <c r="J146" s="1"/>
  <c r="K63"/>
  <c r="L63"/>
  <c r="M63"/>
  <c r="M146" s="1"/>
  <c r="N62" i="5" s="1"/>
  <c r="N63" i="2"/>
  <c r="O63"/>
  <c r="O146" s="1"/>
  <c r="P63"/>
  <c r="P146" s="1"/>
  <c r="Q63"/>
  <c r="Q146" s="1"/>
  <c r="R62" i="5" s="1"/>
  <c r="B64" i="2"/>
  <c r="C64"/>
  <c r="D64"/>
  <c r="D147"/>
  <c r="E64"/>
  <c r="E147"/>
  <c r="F64"/>
  <c r="F147"/>
  <c r="G64"/>
  <c r="G147"/>
  <c r="H64"/>
  <c r="H147" s="1"/>
  <c r="I63" i="5" s="1"/>
  <c r="I175" s="1"/>
  <c r="I64" i="2"/>
  <c r="I147"/>
  <c r="J64"/>
  <c r="J147"/>
  <c r="K64"/>
  <c r="K147"/>
  <c r="L64"/>
  <c r="L147"/>
  <c r="M64"/>
  <c r="M147"/>
  <c r="N64"/>
  <c r="N147"/>
  <c r="O64"/>
  <c r="O147"/>
  <c r="P64"/>
  <c r="P147"/>
  <c r="Q64"/>
  <c r="Q147"/>
  <c r="B65"/>
  <c r="C65"/>
  <c r="C148" s="1"/>
  <c r="D64" i="5" s="1"/>
  <c r="D177" s="1"/>
  <c r="B38" i="3" s="1"/>
  <c r="D65" i="2"/>
  <c r="D148"/>
  <c r="E65"/>
  <c r="E148"/>
  <c r="F65"/>
  <c r="F148"/>
  <c r="G65"/>
  <c r="G148"/>
  <c r="H64" i="5" s="1"/>
  <c r="H65" i="2"/>
  <c r="H148" s="1"/>
  <c r="I64" i="5" s="1"/>
  <c r="I177" s="1"/>
  <c r="I65" i="2"/>
  <c r="I148"/>
  <c r="J65"/>
  <c r="J148"/>
  <c r="K65"/>
  <c r="K148"/>
  <c r="L64" i="5" s="1"/>
  <c r="L65" i="2"/>
  <c r="L148"/>
  <c r="M65"/>
  <c r="M148"/>
  <c r="N64" i="5" s="1"/>
  <c r="N65" i="2"/>
  <c r="N148"/>
  <c r="O65"/>
  <c r="O148"/>
  <c r="P64" i="5" s="1"/>
  <c r="P177" s="1"/>
  <c r="N38" i="3" s="1"/>
  <c r="P65" i="2"/>
  <c r="P148"/>
  <c r="Q65"/>
  <c r="Q148"/>
  <c r="R64" i="5" s="1"/>
  <c r="R177" s="1"/>
  <c r="B66" i="2"/>
  <c r="C66"/>
  <c r="D66"/>
  <c r="D149"/>
  <c r="E66"/>
  <c r="E149"/>
  <c r="F66"/>
  <c r="F149"/>
  <c r="G66"/>
  <c r="G149"/>
  <c r="H66"/>
  <c r="H149" s="1"/>
  <c r="I65" i="5" s="1"/>
  <c r="I66" i="2"/>
  <c r="I149"/>
  <c r="J66"/>
  <c r="J149"/>
  <c r="K66"/>
  <c r="K149"/>
  <c r="L66"/>
  <c r="L149"/>
  <c r="M66"/>
  <c r="M149"/>
  <c r="N66"/>
  <c r="N149"/>
  <c r="O66"/>
  <c r="O149"/>
  <c r="P66"/>
  <c r="P149"/>
  <c r="Q66"/>
  <c r="Q149"/>
  <c r="B67"/>
  <c r="C67"/>
  <c r="C150" s="1"/>
  <c r="D66" i="5" s="1"/>
  <c r="D67" i="2"/>
  <c r="D150"/>
  <c r="E67"/>
  <c r="E150"/>
  <c r="F66" i="5" s="1"/>
  <c r="F176" s="1"/>
  <c r="D37" i="3" s="1"/>
  <c r="F67" i="2"/>
  <c r="F150"/>
  <c r="G67"/>
  <c r="G150"/>
  <c r="H66" i="5" s="1"/>
  <c r="H176" s="1"/>
  <c r="F37" i="3" s="1"/>
  <c r="H67" i="2"/>
  <c r="H150" s="1"/>
  <c r="I66" i="5" s="1"/>
  <c r="I176" s="1"/>
  <c r="I67" i="2"/>
  <c r="I150"/>
  <c r="J67"/>
  <c r="J150"/>
  <c r="K67"/>
  <c r="K150"/>
  <c r="L67"/>
  <c r="L150"/>
  <c r="M67"/>
  <c r="M150"/>
  <c r="N66" i="5" s="1"/>
  <c r="N67" i="2"/>
  <c r="N150"/>
  <c r="O67"/>
  <c r="O150"/>
  <c r="P66" i="5" s="1"/>
  <c r="P67" i="2"/>
  <c r="P150"/>
  <c r="Q67"/>
  <c r="Q150"/>
  <c r="R66" i="5" s="1"/>
  <c r="R176" s="1"/>
  <c r="B68" i="2"/>
  <c r="C68"/>
  <c r="D68"/>
  <c r="D151"/>
  <c r="E68"/>
  <c r="E151"/>
  <c r="F68"/>
  <c r="F151"/>
  <c r="G67" i="5" s="1"/>
  <c r="G68" i="2"/>
  <c r="G151"/>
  <c r="H68"/>
  <c r="H151" s="1"/>
  <c r="I67" i="5" s="1"/>
  <c r="I178" s="1"/>
  <c r="I68" i="2"/>
  <c r="I151"/>
  <c r="J68"/>
  <c r="J151"/>
  <c r="K68"/>
  <c r="K151"/>
  <c r="L68"/>
  <c r="L151"/>
  <c r="M67" i="5" s="1"/>
  <c r="M68" i="2"/>
  <c r="M151"/>
  <c r="N68"/>
  <c r="N151"/>
  <c r="O67" i="5" s="1"/>
  <c r="O68" i="2"/>
  <c r="O151"/>
  <c r="P68"/>
  <c r="P151"/>
  <c r="Q67" i="5" s="1"/>
  <c r="Q68" i="2"/>
  <c r="Q151"/>
  <c r="B69"/>
  <c r="B152" s="1"/>
  <c r="C69"/>
  <c r="C152" s="1"/>
  <c r="D68" i="5" s="1"/>
  <c r="D69" i="2"/>
  <c r="D152"/>
  <c r="E69"/>
  <c r="E152"/>
  <c r="F68" i="5" s="1"/>
  <c r="F69" i="2"/>
  <c r="F152"/>
  <c r="G69"/>
  <c r="G152"/>
  <c r="H68" i="5" s="1"/>
  <c r="H69" i="2"/>
  <c r="H152" s="1"/>
  <c r="I68" i="5" s="1"/>
  <c r="I69" i="2"/>
  <c r="I152"/>
  <c r="J69"/>
  <c r="J152"/>
  <c r="K69"/>
  <c r="K152"/>
  <c r="L68" i="5" s="1"/>
  <c r="L69" i="2"/>
  <c r="L152"/>
  <c r="M69"/>
  <c r="M152"/>
  <c r="N69"/>
  <c r="N152"/>
  <c r="O69"/>
  <c r="O152"/>
  <c r="P68" i="5" s="1"/>
  <c r="P69" i="2"/>
  <c r="P152"/>
  <c r="Q69"/>
  <c r="Q152"/>
  <c r="R68" i="5" s="1"/>
  <c r="B70" i="2"/>
  <c r="C70"/>
  <c r="D70"/>
  <c r="D153"/>
  <c r="E70"/>
  <c r="E153"/>
  <c r="F70"/>
  <c r="F153"/>
  <c r="G70"/>
  <c r="G153"/>
  <c r="H70"/>
  <c r="H153" s="1"/>
  <c r="I69" i="5" s="1"/>
  <c r="I70" i="2"/>
  <c r="I153"/>
  <c r="J70"/>
  <c r="J153"/>
  <c r="K70"/>
  <c r="K153"/>
  <c r="L70"/>
  <c r="L153"/>
  <c r="M69" i="5" s="1"/>
  <c r="M70" i="2"/>
  <c r="M153"/>
  <c r="N70"/>
  <c r="N153"/>
  <c r="O69" i="5" s="1"/>
  <c r="O70" i="2"/>
  <c r="O153"/>
  <c r="P70"/>
  <c r="P153"/>
  <c r="Q70"/>
  <c r="Q153"/>
  <c r="B71"/>
  <c r="C71"/>
  <c r="C154" s="1"/>
  <c r="D70" i="5" s="1"/>
  <c r="D71" i="2"/>
  <c r="D154"/>
  <c r="E71"/>
  <c r="E154"/>
  <c r="F70" i="5" s="1"/>
  <c r="F71" i="2"/>
  <c r="F154"/>
  <c r="G71"/>
  <c r="G154"/>
  <c r="H70" i="5" s="1"/>
  <c r="H71" i="2"/>
  <c r="H154" s="1"/>
  <c r="I70" i="5" s="1"/>
  <c r="I71" i="2"/>
  <c r="I154"/>
  <c r="J71"/>
  <c r="J154"/>
  <c r="K71"/>
  <c r="K154"/>
  <c r="L70" i="5" s="1"/>
  <c r="L71" i="2"/>
  <c r="L154"/>
  <c r="M71"/>
  <c r="M154"/>
  <c r="N70" i="5" s="1"/>
  <c r="N71" i="2"/>
  <c r="N154"/>
  <c r="O71"/>
  <c r="O154"/>
  <c r="P71"/>
  <c r="P154"/>
  <c r="Q71"/>
  <c r="Q154"/>
  <c r="R70" i="5" s="1"/>
  <c r="B72" i="2"/>
  <c r="C72"/>
  <c r="D72"/>
  <c r="D155"/>
  <c r="E72"/>
  <c r="E155"/>
  <c r="F72"/>
  <c r="F155"/>
  <c r="G72"/>
  <c r="G155"/>
  <c r="H72"/>
  <c r="H155" s="1"/>
  <c r="I71" i="5" s="1"/>
  <c r="I72" i="2"/>
  <c r="I155"/>
  <c r="J72"/>
  <c r="J155"/>
  <c r="K72"/>
  <c r="K155"/>
  <c r="L72"/>
  <c r="L155"/>
  <c r="M72"/>
  <c r="M155"/>
  <c r="N72"/>
  <c r="N155"/>
  <c r="O72"/>
  <c r="O155"/>
  <c r="P72"/>
  <c r="P155"/>
  <c r="Q72"/>
  <c r="Q155"/>
  <c r="F7"/>
  <c r="F90" s="1"/>
  <c r="F142"/>
  <c r="G145"/>
  <c r="H61" i="5" s="1"/>
  <c r="L138" i="2"/>
  <c r="P141"/>
  <c r="P145"/>
  <c r="P144"/>
  <c r="D146" i="17"/>
  <c r="A145" s="1"/>
  <c r="D107"/>
  <c r="X106"/>
  <c r="X145"/>
  <c r="W106"/>
  <c r="W145"/>
  <c r="V106"/>
  <c r="V145"/>
  <c r="U106"/>
  <c r="U145"/>
  <c r="T106"/>
  <c r="T145"/>
  <c r="S106"/>
  <c r="S145"/>
  <c r="R106"/>
  <c r="R145"/>
  <c r="Q106"/>
  <c r="Q145"/>
  <c r="P106"/>
  <c r="P145"/>
  <c r="O106"/>
  <c r="O145"/>
  <c r="N106"/>
  <c r="N145"/>
  <c r="M106"/>
  <c r="M145"/>
  <c r="L106"/>
  <c r="L145"/>
  <c r="K106"/>
  <c r="K145"/>
  <c r="J106"/>
  <c r="J145"/>
  <c r="I106"/>
  <c r="I145"/>
  <c r="H106"/>
  <c r="H145"/>
  <c r="G106"/>
  <c r="G145"/>
  <c r="F106"/>
  <c r="F145"/>
  <c r="E106"/>
  <c r="E145"/>
  <c r="D106"/>
  <c r="X69"/>
  <c r="W69"/>
  <c r="V69"/>
  <c r="U69"/>
  <c r="T69"/>
  <c r="S69"/>
  <c r="R69"/>
  <c r="Q69"/>
  <c r="P69"/>
  <c r="O69"/>
  <c r="N69"/>
  <c r="M69"/>
  <c r="L69"/>
  <c r="K69"/>
  <c r="J69"/>
  <c r="I69"/>
  <c r="H69"/>
  <c r="G69"/>
  <c r="F69"/>
  <c r="E69"/>
  <c r="X56"/>
  <c r="W56"/>
  <c r="V56"/>
  <c r="U56"/>
  <c r="T56"/>
  <c r="S56"/>
  <c r="R56"/>
  <c r="Q56"/>
  <c r="P56"/>
  <c r="O56"/>
  <c r="N56"/>
  <c r="M56"/>
  <c r="L56"/>
  <c r="K56"/>
  <c r="J56"/>
  <c r="I56"/>
  <c r="H56"/>
  <c r="G56"/>
  <c r="F56"/>
  <c r="E56"/>
  <c r="D37"/>
  <c r="D42"/>
  <c r="D36"/>
  <c r="X47" s="1"/>
  <c r="C29"/>
  <c r="C21"/>
  <c r="D48"/>
  <c r="X12"/>
  <c r="W12"/>
  <c r="V12"/>
  <c r="U12"/>
  <c r="T12"/>
  <c r="S12"/>
  <c r="R12"/>
  <c r="Q12"/>
  <c r="P12"/>
  <c r="O12"/>
  <c r="N12"/>
  <c r="M12"/>
  <c r="L12"/>
  <c r="K12"/>
  <c r="J12"/>
  <c r="I12"/>
  <c r="H12"/>
  <c r="G12"/>
  <c r="F12"/>
  <c r="E12"/>
  <c r="C9"/>
  <c r="Q138" i="2"/>
  <c r="R54" i="5" s="1"/>
  <c r="R171" s="1"/>
  <c r="O143" i="2"/>
  <c r="O144"/>
  <c r="P60" i="5" s="1"/>
  <c r="F91" i="2"/>
  <c r="G7" i="5" s="1"/>
  <c r="F92" i="2"/>
  <c r="F93"/>
  <c r="F94"/>
  <c r="F95"/>
  <c r="F96"/>
  <c r="F97"/>
  <c r="F98"/>
  <c r="F99"/>
  <c r="G15" i="5" s="1"/>
  <c r="F100" i="2"/>
  <c r="F101"/>
  <c r="F102"/>
  <c r="F107" s="1"/>
  <c r="F103"/>
  <c r="F110" s="1"/>
  <c r="G26" i="5" s="1"/>
  <c r="F104" i="2"/>
  <c r="F114"/>
  <c r="F115"/>
  <c r="F116"/>
  <c r="F117"/>
  <c r="F118"/>
  <c r="F119"/>
  <c r="F120"/>
  <c r="G36" i="5" s="1"/>
  <c r="F121" i="2"/>
  <c r="F122"/>
  <c r="F123"/>
  <c r="F124"/>
  <c r="F125"/>
  <c r="C155"/>
  <c r="D71" i="5" s="1"/>
  <c r="B155" i="2"/>
  <c r="C153"/>
  <c r="D69" i="5" s="1"/>
  <c r="B153" i="2"/>
  <c r="C69" i="5" s="1"/>
  <c r="C151" i="2"/>
  <c r="B151"/>
  <c r="C67" i="5" s="1"/>
  <c r="C178" s="1"/>
  <c r="C149" i="2"/>
  <c r="D65" i="5" s="1"/>
  <c r="B149" i="2"/>
  <c r="C65" i="5" s="1"/>
  <c r="C147" i="2"/>
  <c r="K146"/>
  <c r="C146"/>
  <c r="D62" i="5" s="1"/>
  <c r="A63" i="2"/>
  <c r="K145"/>
  <c r="H145"/>
  <c r="C145"/>
  <c r="B145"/>
  <c r="Q144"/>
  <c r="K144"/>
  <c r="H144"/>
  <c r="I60" i="5" s="1"/>
  <c r="E144" i="2"/>
  <c r="F60" i="5" s="1"/>
  <c r="A61" i="2"/>
  <c r="Q143"/>
  <c r="M143"/>
  <c r="N59" i="5" s="1"/>
  <c r="C143" i="2"/>
  <c r="O142"/>
  <c r="M142"/>
  <c r="Q141"/>
  <c r="R57" i="5" s="1"/>
  <c r="M141" i="2"/>
  <c r="K141"/>
  <c r="H141"/>
  <c r="E141"/>
  <c r="F57" i="5" s="1"/>
  <c r="Q140" i="2"/>
  <c r="R56" i="5" s="1"/>
  <c r="R174" s="1"/>
  <c r="K140" i="2"/>
  <c r="H140"/>
  <c r="I56" i="5" s="1"/>
  <c r="I174" s="1"/>
  <c r="E140" i="2"/>
  <c r="F56" i="5" s="1"/>
  <c r="O139" i="2"/>
  <c r="K139"/>
  <c r="E139"/>
  <c r="F55" i="5" s="1"/>
  <c r="C139" i="2"/>
  <c r="O138"/>
  <c r="M138"/>
  <c r="K138"/>
  <c r="L54" i="5" s="1"/>
  <c r="L171" s="1"/>
  <c r="J32" i="3" s="1"/>
  <c r="C137" i="2"/>
  <c r="B136"/>
  <c r="C135"/>
  <c r="P50" i="5"/>
  <c r="B134" i="2"/>
  <c r="C50" i="5" s="1"/>
  <c r="R49"/>
  <c r="I49"/>
  <c r="C133" i="2"/>
  <c r="D49" i="5"/>
  <c r="I48"/>
  <c r="F48"/>
  <c r="B132" i="2"/>
  <c r="C131"/>
  <c r="D47" i="5" s="1"/>
  <c r="C130" i="2"/>
  <c r="C129"/>
  <c r="D45" i="5" s="1"/>
  <c r="B129" i="2"/>
  <c r="C45" i="5" s="1"/>
  <c r="C127" i="2"/>
  <c r="C126"/>
  <c r="D42" i="5" s="1"/>
  <c r="Q125" i="2"/>
  <c r="R41" i="5" s="1"/>
  <c r="O125" i="2"/>
  <c r="N125"/>
  <c r="M125"/>
  <c r="N41" i="5" s="1"/>
  <c r="K125" i="2"/>
  <c r="J125"/>
  <c r="I125"/>
  <c r="G125"/>
  <c r="E125"/>
  <c r="F41" i="5" s="1"/>
  <c r="D125" i="2"/>
  <c r="C125"/>
  <c r="B125"/>
  <c r="Q124"/>
  <c r="R40" i="5" s="1"/>
  <c r="R164" s="1"/>
  <c r="P124" i="2"/>
  <c r="O124"/>
  <c r="N124"/>
  <c r="M124"/>
  <c r="L124"/>
  <c r="K124"/>
  <c r="J124"/>
  <c r="I124"/>
  <c r="H124"/>
  <c r="G124"/>
  <c r="E124"/>
  <c r="D124"/>
  <c r="C124"/>
  <c r="B124"/>
  <c r="Q123"/>
  <c r="P123"/>
  <c r="O123"/>
  <c r="P39" i="5" s="1"/>
  <c r="P163" s="1"/>
  <c r="N123" i="2"/>
  <c r="M123"/>
  <c r="L123"/>
  <c r="K123"/>
  <c r="L39" i="5" s="1"/>
  <c r="J123" i="2"/>
  <c r="I123"/>
  <c r="H123"/>
  <c r="I39" i="5" s="1"/>
  <c r="I163" s="1"/>
  <c r="G123" i="2"/>
  <c r="H39" i="5" s="1"/>
  <c r="E123" i="2"/>
  <c r="C123"/>
  <c r="Q122"/>
  <c r="R38" i="5" s="1"/>
  <c r="P122" i="2"/>
  <c r="O122"/>
  <c r="N122"/>
  <c r="M122"/>
  <c r="N38" i="5" s="1"/>
  <c r="L122" i="2"/>
  <c r="K122"/>
  <c r="J122"/>
  <c r="I122"/>
  <c r="G122"/>
  <c r="E122"/>
  <c r="D122"/>
  <c r="C122"/>
  <c r="D38" i="5" s="1"/>
  <c r="P121" i="2"/>
  <c r="O121"/>
  <c r="P37" i="5" s="1"/>
  <c r="N121" i="2"/>
  <c r="L121"/>
  <c r="K121"/>
  <c r="J121"/>
  <c r="K37" i="5" s="1"/>
  <c r="G121" i="2"/>
  <c r="H37" i="5" s="1"/>
  <c r="E121" i="2"/>
  <c r="F37" i="5" s="1"/>
  <c r="D121" i="2"/>
  <c r="C121"/>
  <c r="Q120"/>
  <c r="R36" i="5" s="1"/>
  <c r="P120" i="2"/>
  <c r="O120"/>
  <c r="N120"/>
  <c r="M120"/>
  <c r="N36" i="5" s="1"/>
  <c r="L120" i="2"/>
  <c r="K120"/>
  <c r="J120"/>
  <c r="I120"/>
  <c r="H120"/>
  <c r="I36" i="5" s="1"/>
  <c r="G120" i="2"/>
  <c r="E120"/>
  <c r="D120"/>
  <c r="C120"/>
  <c r="D36" i="5" s="1"/>
  <c r="P119" i="2"/>
  <c r="O119"/>
  <c r="N119"/>
  <c r="L119"/>
  <c r="K119"/>
  <c r="L35" i="5" s="1"/>
  <c r="J119" i="2"/>
  <c r="K35" i="5" s="1"/>
  <c r="G119" i="2"/>
  <c r="H35" i="5" s="1"/>
  <c r="E119" i="2"/>
  <c r="F35" i="5" s="1"/>
  <c r="D119" i="2"/>
  <c r="C119"/>
  <c r="B119"/>
  <c r="A119" s="1"/>
  <c r="A35" i="5" s="1"/>
  <c r="J35" s="1"/>
  <c r="Q118" i="2"/>
  <c r="R34" i="5" s="1"/>
  <c r="R162" s="1"/>
  <c r="P118" i="2"/>
  <c r="O118"/>
  <c r="N118"/>
  <c r="M118"/>
  <c r="N34" i="5" s="1"/>
  <c r="N162" s="1"/>
  <c r="L23" i="3" s="1"/>
  <c r="L118" i="2"/>
  <c r="K118"/>
  <c r="J118"/>
  <c r="I118"/>
  <c r="J34" i="5" s="1"/>
  <c r="J162" s="1"/>
  <c r="H23" i="3" s="1"/>
  <c r="G118" i="2"/>
  <c r="E118"/>
  <c r="F34" i="5" s="1"/>
  <c r="D118" i="2"/>
  <c r="C118"/>
  <c r="Q117"/>
  <c r="P117"/>
  <c r="O117"/>
  <c r="P33" i="5" s="1"/>
  <c r="P160" s="1"/>
  <c r="N21" i="3" s="1"/>
  <c r="N117" i="2"/>
  <c r="M117"/>
  <c r="L117"/>
  <c r="K117"/>
  <c r="L33" i="5" s="1"/>
  <c r="J117" i="2"/>
  <c r="I117"/>
  <c r="H117"/>
  <c r="I33" i="5" s="1"/>
  <c r="I160" s="1"/>
  <c r="G117" i="2"/>
  <c r="H33" i="5" s="1"/>
  <c r="H160" s="1"/>
  <c r="F21" i="3" s="1"/>
  <c r="D117" i="2"/>
  <c r="C117"/>
  <c r="Q116"/>
  <c r="R32" i="5" s="1"/>
  <c r="P116" i="2"/>
  <c r="O116"/>
  <c r="N116"/>
  <c r="M116"/>
  <c r="N32" i="5" s="1"/>
  <c r="L116" i="2"/>
  <c r="K116"/>
  <c r="J116"/>
  <c r="I116"/>
  <c r="G116"/>
  <c r="E116"/>
  <c r="F32" i="5" s="1"/>
  <c r="D116" i="2"/>
  <c r="C116"/>
  <c r="B116"/>
  <c r="C32" i="5" s="1"/>
  <c r="Q115" i="2"/>
  <c r="R31" i="5" s="1"/>
  <c r="P115" i="2"/>
  <c r="O115"/>
  <c r="N115"/>
  <c r="M115"/>
  <c r="N31" i="5" s="1"/>
  <c r="L115" i="2"/>
  <c r="K115"/>
  <c r="J115"/>
  <c r="I115"/>
  <c r="H115"/>
  <c r="I31" i="5" s="1"/>
  <c r="I161" s="1"/>
  <c r="G115" i="2"/>
  <c r="E115"/>
  <c r="D115"/>
  <c r="C115"/>
  <c r="D31" i="5" s="1"/>
  <c r="D161" s="1"/>
  <c r="B115" i="2"/>
  <c r="Q114"/>
  <c r="P114"/>
  <c r="O114"/>
  <c r="P30" i="5" s="1"/>
  <c r="N114" i="2"/>
  <c r="M114"/>
  <c r="L114"/>
  <c r="K114"/>
  <c r="J114"/>
  <c r="I114"/>
  <c r="G114"/>
  <c r="E114"/>
  <c r="D114"/>
  <c r="C114"/>
  <c r="D30" i="5" s="1"/>
  <c r="Q113" i="2"/>
  <c r="R29" i="5" s="1"/>
  <c r="P113" i="2"/>
  <c r="O113"/>
  <c r="N113"/>
  <c r="M113"/>
  <c r="L113"/>
  <c r="K113"/>
  <c r="J113"/>
  <c r="H113"/>
  <c r="I29" i="5" s="1"/>
  <c r="G113" i="2"/>
  <c r="E113"/>
  <c r="B113"/>
  <c r="A113" s="1"/>
  <c r="A29" i="5" s="1"/>
  <c r="M29" s="1"/>
  <c r="Q112" i="2"/>
  <c r="P112"/>
  <c r="O112"/>
  <c r="N112"/>
  <c r="M112"/>
  <c r="N28" i="5" s="1"/>
  <c r="L112" i="2"/>
  <c r="K112"/>
  <c r="J112"/>
  <c r="H112"/>
  <c r="I28" i="5" s="1"/>
  <c r="G112" i="2"/>
  <c r="E112"/>
  <c r="C112"/>
  <c r="D28" i="5" s="1"/>
  <c r="B112" i="2"/>
  <c r="Q111"/>
  <c r="P111"/>
  <c r="O111"/>
  <c r="N111"/>
  <c r="M111"/>
  <c r="L111"/>
  <c r="K111"/>
  <c r="J111"/>
  <c r="H111"/>
  <c r="G111"/>
  <c r="E111"/>
  <c r="C111"/>
  <c r="B111"/>
  <c r="Q110"/>
  <c r="P110"/>
  <c r="O110"/>
  <c r="N110"/>
  <c r="M110"/>
  <c r="L110"/>
  <c r="K110"/>
  <c r="L26" i="5" s="1"/>
  <c r="J110" i="2"/>
  <c r="H110"/>
  <c r="G110"/>
  <c r="H26" i="5" s="1"/>
  <c r="E110" i="2"/>
  <c r="F26" i="5" s="1"/>
  <c r="C110" i="2"/>
  <c r="B110"/>
  <c r="A110" s="1"/>
  <c r="A26" i="5" s="1"/>
  <c r="Q109" i="2"/>
  <c r="R25" i="5" s="1"/>
  <c r="P109" i="2"/>
  <c r="O109"/>
  <c r="N109"/>
  <c r="M109"/>
  <c r="L109"/>
  <c r="M25" i="5" s="1"/>
  <c r="K109" i="2"/>
  <c r="J109"/>
  <c r="H109"/>
  <c r="I25" i="5" s="1"/>
  <c r="G109" i="2"/>
  <c r="H25" i="5" s="1"/>
  <c r="E109" i="2"/>
  <c r="C109"/>
  <c r="B109"/>
  <c r="A109" s="1"/>
  <c r="Q108"/>
  <c r="R24" i="5" s="1"/>
  <c r="P108" i="2"/>
  <c r="O108"/>
  <c r="N108"/>
  <c r="M108"/>
  <c r="N24" i="5" s="1"/>
  <c r="L108" i="2"/>
  <c r="K108"/>
  <c r="J108"/>
  <c r="H108"/>
  <c r="G108"/>
  <c r="E108"/>
  <c r="C108"/>
  <c r="D24" i="5" s="1"/>
  <c r="Q107" i="2"/>
  <c r="P107"/>
  <c r="O107"/>
  <c r="N107"/>
  <c r="M107"/>
  <c r="N23" i="5" s="1"/>
  <c r="N158" s="1"/>
  <c r="L107" i="2"/>
  <c r="K107"/>
  <c r="J107"/>
  <c r="H107"/>
  <c r="I23" i="5" s="1"/>
  <c r="I158" s="1"/>
  <c r="G107" i="2"/>
  <c r="E107"/>
  <c r="C107"/>
  <c r="Q106"/>
  <c r="P106"/>
  <c r="O106"/>
  <c r="N106"/>
  <c r="M106"/>
  <c r="N22" i="5" s="1"/>
  <c r="L106" i="2"/>
  <c r="K106"/>
  <c r="J106"/>
  <c r="H106"/>
  <c r="I22" i="5" s="1"/>
  <c r="G106" i="2"/>
  <c r="E106"/>
  <c r="C106"/>
  <c r="Q105"/>
  <c r="R21" i="5" s="1"/>
  <c r="R155" s="1"/>
  <c r="P105" i="2"/>
  <c r="O105"/>
  <c r="N105"/>
  <c r="M105"/>
  <c r="L105"/>
  <c r="K105"/>
  <c r="J105"/>
  <c r="H105"/>
  <c r="G105"/>
  <c r="E105"/>
  <c r="C105"/>
  <c r="Q104"/>
  <c r="R20" i="5" s="1"/>
  <c r="P104" i="2"/>
  <c r="O104"/>
  <c r="N104"/>
  <c r="M104"/>
  <c r="N20" i="5" s="1"/>
  <c r="L104" i="2"/>
  <c r="K104"/>
  <c r="J104"/>
  <c r="I104"/>
  <c r="I111" s="1"/>
  <c r="H104"/>
  <c r="G104"/>
  <c r="E104"/>
  <c r="D104"/>
  <c r="D112" s="1"/>
  <c r="C104"/>
  <c r="Q103"/>
  <c r="P103"/>
  <c r="O103"/>
  <c r="P19" i="5" s="1"/>
  <c r="N103" i="2"/>
  <c r="M103"/>
  <c r="L103"/>
  <c r="K103"/>
  <c r="J103"/>
  <c r="I103"/>
  <c r="I110" s="1"/>
  <c r="H103"/>
  <c r="G103"/>
  <c r="H19" i="5" s="1"/>
  <c r="E103" i="2"/>
  <c r="D103"/>
  <c r="C103"/>
  <c r="B103"/>
  <c r="C19" i="5" s="1"/>
  <c r="C154" s="1"/>
  <c r="Q102" i="2"/>
  <c r="P102"/>
  <c r="O102"/>
  <c r="P18" i="5" s="1"/>
  <c r="P153" s="1"/>
  <c r="N102" i="2"/>
  <c r="M102"/>
  <c r="L102"/>
  <c r="K102"/>
  <c r="L18" i="5" s="1"/>
  <c r="J102" i="2"/>
  <c r="I102"/>
  <c r="H102"/>
  <c r="G102"/>
  <c r="E102"/>
  <c r="D102"/>
  <c r="C102"/>
  <c r="Q101"/>
  <c r="R17" i="5"/>
  <c r="P101" i="2"/>
  <c r="O101"/>
  <c r="P17" i="5"/>
  <c r="N101" i="2"/>
  <c r="M101"/>
  <c r="N17" i="5"/>
  <c r="L101" i="2"/>
  <c r="K101"/>
  <c r="L17" i="5" s="1"/>
  <c r="J101" i="2"/>
  <c r="I101"/>
  <c r="H101"/>
  <c r="I17" i="5" s="1"/>
  <c r="G101" i="2"/>
  <c r="H17" i="5"/>
  <c r="E101" i="2"/>
  <c r="F17" i="5" s="1"/>
  <c r="D101" i="2"/>
  <c r="C101"/>
  <c r="D17" i="5"/>
  <c r="B101" i="2"/>
  <c r="Q100"/>
  <c r="R16" i="5"/>
  <c r="P100" i="2"/>
  <c r="Q16" i="5" s="1"/>
  <c r="O100" i="2"/>
  <c r="P16" i="5"/>
  <c r="N100" i="2"/>
  <c r="M100"/>
  <c r="N16" i="5" s="1"/>
  <c r="L100" i="2"/>
  <c r="K100"/>
  <c r="L16" i="5"/>
  <c r="J100" i="2"/>
  <c r="I100"/>
  <c r="H100"/>
  <c r="I16" i="5"/>
  <c r="G100" i="2"/>
  <c r="H16" i="5"/>
  <c r="E100" i="2"/>
  <c r="F16" i="5"/>
  <c r="D100" i="2"/>
  <c r="C100"/>
  <c r="D16" i="5"/>
  <c r="B100" i="2"/>
  <c r="A100" s="1"/>
  <c r="A16" i="5" s="1"/>
  <c r="J16" s="1"/>
  <c r="Q99" i="2"/>
  <c r="R15" i="5"/>
  <c r="P99" i="2"/>
  <c r="O99"/>
  <c r="P15" i="5" s="1"/>
  <c r="N99" i="2"/>
  <c r="M99"/>
  <c r="N15" i="5" s="1"/>
  <c r="L99" i="2"/>
  <c r="K99"/>
  <c r="L15" i="5"/>
  <c r="J99" i="2"/>
  <c r="I99"/>
  <c r="H99"/>
  <c r="I15" i="5"/>
  <c r="G99" i="2"/>
  <c r="H15" i="5" s="1"/>
  <c r="E99" i="2"/>
  <c r="F15" i="5"/>
  <c r="D99" i="2"/>
  <c r="E15" i="5" s="1"/>
  <c r="C99" i="2"/>
  <c r="D15" i="5"/>
  <c r="B99" i="2"/>
  <c r="C15" i="5" s="1"/>
  <c r="Q98" i="2"/>
  <c r="R14" i="5" s="1"/>
  <c r="P98" i="2"/>
  <c r="O98"/>
  <c r="P14" i="5"/>
  <c r="N98" i="2"/>
  <c r="M98"/>
  <c r="N14" i="5"/>
  <c r="L98" i="2"/>
  <c r="K98"/>
  <c r="L14" i="5"/>
  <c r="J98" i="2"/>
  <c r="I98"/>
  <c r="H98"/>
  <c r="I14" i="5"/>
  <c r="G98" i="2"/>
  <c r="H14" i="5"/>
  <c r="E98" i="2"/>
  <c r="F14" i="5"/>
  <c r="D98" i="2"/>
  <c r="C98"/>
  <c r="D14" i="5" s="1"/>
  <c r="Q97" i="2"/>
  <c r="R13" i="5"/>
  <c r="P97" i="2"/>
  <c r="O97"/>
  <c r="P13" i="5"/>
  <c r="N97" i="2"/>
  <c r="M97"/>
  <c r="N13" i="5" s="1"/>
  <c r="L97" i="2"/>
  <c r="K97"/>
  <c r="L13" i="5" s="1"/>
  <c r="J97" i="2"/>
  <c r="I97"/>
  <c r="H97"/>
  <c r="I13" i="5" s="1"/>
  <c r="G97" i="2"/>
  <c r="H13" i="5"/>
  <c r="E97" i="2"/>
  <c r="F13" i="5" s="1"/>
  <c r="D97" i="2"/>
  <c r="C97"/>
  <c r="D13" i="5"/>
  <c r="B97" i="2"/>
  <c r="Q96"/>
  <c r="R12" i="5"/>
  <c r="P96" i="2"/>
  <c r="O96"/>
  <c r="P12" i="5" s="1"/>
  <c r="N96" i="2"/>
  <c r="M96"/>
  <c r="N12" i="5" s="1"/>
  <c r="L96" i="2"/>
  <c r="K96"/>
  <c r="L12" i="5"/>
  <c r="J96" i="2"/>
  <c r="I96"/>
  <c r="H96"/>
  <c r="I12" i="5"/>
  <c r="G96" i="2"/>
  <c r="H12" i="5" s="1"/>
  <c r="H151" s="1"/>
  <c r="F12" i="3" s="1"/>
  <c r="E96" i="2"/>
  <c r="F12" i="5" s="1"/>
  <c r="D96" i="2"/>
  <c r="C96"/>
  <c r="D12" i="5" s="1"/>
  <c r="Q95" i="2"/>
  <c r="R11" i="5"/>
  <c r="R152"/>
  <c r="P95" i="2"/>
  <c r="O95"/>
  <c r="P11" i="5"/>
  <c r="P152"/>
  <c r="N13" i="3" s="1"/>
  <c r="N95" i="2"/>
  <c r="M95"/>
  <c r="N11" i="5"/>
  <c r="N152" s="1"/>
  <c r="L13" i="3" s="1"/>
  <c r="L95" i="2"/>
  <c r="K95"/>
  <c r="L11" i="5" s="1"/>
  <c r="L152" s="1"/>
  <c r="J13" i="3" s="1"/>
  <c r="J95" i="2"/>
  <c r="I95"/>
  <c r="H95"/>
  <c r="I11" i="5"/>
  <c r="I152"/>
  <c r="G95" i="2"/>
  <c r="H11" i="5" s="1"/>
  <c r="E95" i="2"/>
  <c r="F11" i="5"/>
  <c r="F152" s="1"/>
  <c r="D13" i="3" s="1"/>
  <c r="D95" i="2"/>
  <c r="C95"/>
  <c r="D11" i="5"/>
  <c r="D152" s="1"/>
  <c r="B13" i="3" s="1"/>
  <c r="B95" i="2"/>
  <c r="Q94"/>
  <c r="R10" i="5" s="1"/>
  <c r="R151" s="1"/>
  <c r="P94" i="2"/>
  <c r="O94"/>
  <c r="P10" i="5" s="1"/>
  <c r="P151" s="1"/>
  <c r="N12" i="3" s="1"/>
  <c r="N94" i="2"/>
  <c r="O10" i="5" s="1"/>
  <c r="M94" i="2"/>
  <c r="N10" i="5"/>
  <c r="N151"/>
  <c r="L12" i="3"/>
  <c r="L94" i="2"/>
  <c r="K94"/>
  <c r="L10" i="5"/>
  <c r="L151"/>
  <c r="J12" i="3" s="1"/>
  <c r="J94" i="2"/>
  <c r="I94"/>
  <c r="H94"/>
  <c r="I10" i="5" s="1"/>
  <c r="I151" s="1"/>
  <c r="G94" i="2"/>
  <c r="H10" i="5"/>
  <c r="H150" s="1"/>
  <c r="F11" i="3" s="1"/>
  <c r="E94" i="2"/>
  <c r="F10" i="5"/>
  <c r="F151"/>
  <c r="D12" i="3"/>
  <c r="D94" i="2"/>
  <c r="C94"/>
  <c r="D10" i="5"/>
  <c r="D151"/>
  <c r="B12" i="3" s="1"/>
  <c r="B94" i="2"/>
  <c r="Q93"/>
  <c r="R9" i="5"/>
  <c r="R150" s="1"/>
  <c r="P93" i="2"/>
  <c r="O93"/>
  <c r="P9" i="5" s="1"/>
  <c r="P150" s="1"/>
  <c r="N11" i="3" s="1"/>
  <c r="N93" i="2"/>
  <c r="M93"/>
  <c r="N9" i="5" s="1"/>
  <c r="N150" s="1"/>
  <c r="L11" i="3"/>
  <c r="L93" i="2"/>
  <c r="K93"/>
  <c r="L9" i="5"/>
  <c r="L150"/>
  <c r="J11" i="3" s="1"/>
  <c r="J93" i="2"/>
  <c r="I93"/>
  <c r="H93"/>
  <c r="I9" i="5" s="1"/>
  <c r="I150" s="1"/>
  <c r="G93" i="2"/>
  <c r="H9" i="5"/>
  <c r="H149"/>
  <c r="F10" i="3" s="1"/>
  <c r="E93" i="2"/>
  <c r="F9" i="5"/>
  <c r="F150"/>
  <c r="D11" i="3" s="1"/>
  <c r="D93" i="2"/>
  <c r="C93"/>
  <c r="D9" i="5"/>
  <c r="D149" s="1"/>
  <c r="B10" i="3" s="1"/>
  <c r="Q92" i="2"/>
  <c r="P92"/>
  <c r="O92"/>
  <c r="P8" i="5" s="1"/>
  <c r="N92" i="2"/>
  <c r="M92"/>
  <c r="L92"/>
  <c r="K92"/>
  <c r="L8" i="5" s="1"/>
  <c r="J92" i="2"/>
  <c r="I92"/>
  <c r="H92"/>
  <c r="G92"/>
  <c r="H8" i="5" s="1"/>
  <c r="E92" i="2"/>
  <c r="F8" i="5" s="1"/>
  <c r="F149" s="1"/>
  <c r="D92" i="2"/>
  <c r="C92"/>
  <c r="Q91"/>
  <c r="P91"/>
  <c r="Q7" i="5" s="1"/>
  <c r="O91" i="2"/>
  <c r="N91"/>
  <c r="M91"/>
  <c r="N7" i="5" s="1"/>
  <c r="L91" i="2"/>
  <c r="M7" i="5" s="1"/>
  <c r="K91" i="2"/>
  <c r="J91"/>
  <c r="K7" i="5" s="1"/>
  <c r="I91" i="2"/>
  <c r="J7" i="5" s="1"/>
  <c r="H91" i="2"/>
  <c r="I7" i="5" s="1"/>
  <c r="G91" i="2"/>
  <c r="E91"/>
  <c r="D91"/>
  <c r="C91"/>
  <c r="D7" i="5" s="1"/>
  <c r="B91" i="2"/>
  <c r="Q7"/>
  <c r="Q90"/>
  <c r="P7"/>
  <c r="P90" s="1"/>
  <c r="O7"/>
  <c r="O90"/>
  <c r="P6" i="5" s="1"/>
  <c r="N7" i="2"/>
  <c r="N90" s="1"/>
  <c r="M7"/>
  <c r="M90"/>
  <c r="L7"/>
  <c r="L90" s="1"/>
  <c r="M6" i="5" s="1"/>
  <c r="M147" s="1"/>
  <c r="K8" i="3" s="1"/>
  <c r="K7" i="2"/>
  <c r="K90"/>
  <c r="J7"/>
  <c r="J90" s="1"/>
  <c r="I7"/>
  <c r="I90"/>
  <c r="H7"/>
  <c r="H90" s="1"/>
  <c r="G7"/>
  <c r="G90"/>
  <c r="E7"/>
  <c r="E90" s="1"/>
  <c r="F6" i="5" s="1"/>
  <c r="D7" i="2"/>
  <c r="D90"/>
  <c r="C7"/>
  <c r="C90" s="1"/>
  <c r="D6" i="5" s="1"/>
  <c r="D147" s="1"/>
  <c r="B7" i="2"/>
  <c r="B90"/>
  <c r="A90" s="1"/>
  <c r="I108"/>
  <c r="I109"/>
  <c r="C26" i="5"/>
  <c r="C41"/>
  <c r="A125" i="2"/>
  <c r="A41" i="5" s="1"/>
  <c r="E41" s="1"/>
  <c r="F106" i="2"/>
  <c r="F105"/>
  <c r="C7" i="5"/>
  <c r="C148"/>
  <c r="A9" i="3"/>
  <c r="A91" i="2"/>
  <c r="A7" i="5"/>
  <c r="A99" i="2"/>
  <c r="A15" i="5" s="1"/>
  <c r="M15" s="1"/>
  <c r="C25"/>
  <c r="C158" s="1"/>
  <c r="A19" i="3" s="1"/>
  <c r="A25" i="5"/>
  <c r="O25" s="1"/>
  <c r="C29"/>
  <c r="Q29"/>
  <c r="C48"/>
  <c r="A132" i="2"/>
  <c r="A48" i="5" s="1"/>
  <c r="A39" i="3"/>
  <c r="A151" i="2"/>
  <c r="A67" i="5" s="1"/>
  <c r="J67" s="1"/>
  <c r="A153" i="2"/>
  <c r="A69" i="5" s="1"/>
  <c r="J69" s="1"/>
  <c r="G35"/>
  <c r="K29"/>
  <c r="C10"/>
  <c r="C151"/>
  <c r="A12" i="3" s="1"/>
  <c r="A94" i="2"/>
  <c r="A10" i="5"/>
  <c r="M10" s="1"/>
  <c r="G10"/>
  <c r="C16"/>
  <c r="A15" i="3"/>
  <c r="A103" i="2"/>
  <c r="A19" i="5" s="1"/>
  <c r="J19" s="1"/>
  <c r="J154" s="1"/>
  <c r="H15" i="3" s="1"/>
  <c r="D111" i="2"/>
  <c r="E27" i="5" s="1"/>
  <c r="I112" i="2"/>
  <c r="I113"/>
  <c r="J29" i="5" s="1"/>
  <c r="A129" i="2"/>
  <c r="A45" i="5" s="1"/>
  <c r="A134" i="2"/>
  <c r="A50" i="5"/>
  <c r="E50" s="1"/>
  <c r="F111" i="2"/>
  <c r="G27" i="5" s="1"/>
  <c r="F112" i="2"/>
  <c r="F113"/>
  <c r="K25" i="5"/>
  <c r="O7"/>
  <c r="O35"/>
  <c r="C6"/>
  <c r="C147" s="1"/>
  <c r="A8" i="3" s="1"/>
  <c r="A6" i="5"/>
  <c r="K6" s="1"/>
  <c r="K147" s="1"/>
  <c r="I8" i="3" s="1"/>
  <c r="J6" i="5"/>
  <c r="J147" s="1"/>
  <c r="H8" i="3" s="1"/>
  <c r="D109" i="2"/>
  <c r="E25" i="5" s="1"/>
  <c r="D110" i="2"/>
  <c r="E26" i="5"/>
  <c r="D108" i="2"/>
  <c r="E24" i="5" s="1"/>
  <c r="A116" i="2"/>
  <c r="A32" i="5"/>
  <c r="M32" s="1"/>
  <c r="C11"/>
  <c r="C152" s="1"/>
  <c r="A13" i="3" s="1"/>
  <c r="A95" i="2"/>
  <c r="A11" i="5" s="1"/>
  <c r="C17"/>
  <c r="A101" i="2"/>
  <c r="A17" i="5"/>
  <c r="O17" s="1"/>
  <c r="D105" i="2"/>
  <c r="D106"/>
  <c r="D107"/>
  <c r="I106"/>
  <c r="I107"/>
  <c r="I105"/>
  <c r="J21" i="5" s="1"/>
  <c r="J155" s="1"/>
  <c r="H16" i="3" s="1"/>
  <c r="C27" i="5"/>
  <c r="A111" i="2"/>
  <c r="A27" i="5"/>
  <c r="K27"/>
  <c r="C31"/>
  <c r="C161" s="1"/>
  <c r="A22" i="3" s="1"/>
  <c r="A115" i="2"/>
  <c r="A31" i="5" s="1"/>
  <c r="A124" i="2"/>
  <c r="A40" i="5"/>
  <c r="O40" s="1"/>
  <c r="J40"/>
  <c r="C40"/>
  <c r="C164"/>
  <c r="A25" i="3" s="1"/>
  <c r="K40" i="5"/>
  <c r="E7"/>
  <c r="K16"/>
  <c r="K26"/>
  <c r="O26"/>
  <c r="B141" i="2"/>
  <c r="R8" i="5"/>
  <c r="R149" s="1"/>
  <c r="R71"/>
  <c r="R37"/>
  <c r="R59"/>
  <c r="R6"/>
  <c r="R147" s="1"/>
  <c r="R18"/>
  <c r="R153"/>
  <c r="R22"/>
  <c r="R26"/>
  <c r="R30"/>
  <c r="R159"/>
  <c r="R51"/>
  <c r="R169" s="1"/>
  <c r="R60"/>
  <c r="H50"/>
  <c r="R28"/>
  <c r="R42"/>
  <c r="R165"/>
  <c r="R46"/>
  <c r="R33"/>
  <c r="R43"/>
  <c r="R47"/>
  <c r="R65"/>
  <c r="R69"/>
  <c r="R67"/>
  <c r="R178"/>
  <c r="R7"/>
  <c r="R148" s="1"/>
  <c r="R19"/>
  <c r="R154"/>
  <c r="R23"/>
  <c r="R158" s="1"/>
  <c r="R27"/>
  <c r="R161"/>
  <c r="R35"/>
  <c r="R39"/>
  <c r="R163"/>
  <c r="R45"/>
  <c r="R53"/>
  <c r="R63"/>
  <c r="R175"/>
  <c r="R58"/>
  <c r="A46" i="2"/>
  <c r="B144"/>
  <c r="A62"/>
  <c r="N6" i="5"/>
  <c r="N147"/>
  <c r="L8" i="3" s="1"/>
  <c r="F7" i="5"/>
  <c r="F148"/>
  <c r="D9" i="3" s="1"/>
  <c r="P149" i="5"/>
  <c r="N10" i="3" s="1"/>
  <c r="L45" i="5"/>
  <c r="A12" i="2"/>
  <c r="A9"/>
  <c r="B92"/>
  <c r="L149" i="5"/>
  <c r="J10" i="3"/>
  <c r="N18" i="5"/>
  <c r="N153"/>
  <c r="L14" i="3"/>
  <c r="F19" i="5"/>
  <c r="F154" s="1"/>
  <c r="D15" i="3" s="1"/>
  <c r="A21" i="2"/>
  <c r="B104"/>
  <c r="H20" i="5"/>
  <c r="L20"/>
  <c r="P20"/>
  <c r="D21"/>
  <c r="D155" s="1"/>
  <c r="B16" i="3" s="1"/>
  <c r="I21" i="5"/>
  <c r="I155"/>
  <c r="F23"/>
  <c r="F158"/>
  <c r="D19" i="3"/>
  <c r="B108" i="2"/>
  <c r="A25"/>
  <c r="H24" i="5"/>
  <c r="L24"/>
  <c r="P24"/>
  <c r="D25"/>
  <c r="D158"/>
  <c r="B19" i="3"/>
  <c r="N26" i="5"/>
  <c r="F27"/>
  <c r="H28"/>
  <c r="L28"/>
  <c r="P28"/>
  <c r="C113" i="2"/>
  <c r="A30"/>
  <c r="N30" i="5"/>
  <c r="N159"/>
  <c r="L20" i="3" s="1"/>
  <c r="F31" i="5"/>
  <c r="F161"/>
  <c r="D22" i="3"/>
  <c r="H32" i="5"/>
  <c r="H161" s="1"/>
  <c r="F22" i="3" s="1"/>
  <c r="L32" i="5"/>
  <c r="P32"/>
  <c r="D33"/>
  <c r="D160" s="1"/>
  <c r="B120" i="2"/>
  <c r="A37"/>
  <c r="H36" i="5"/>
  <c r="L36"/>
  <c r="P36"/>
  <c r="D37"/>
  <c r="F39"/>
  <c r="F163" s="1"/>
  <c r="D24" i="3" s="1"/>
  <c r="H40" i="5"/>
  <c r="L40"/>
  <c r="L164"/>
  <c r="J25" i="3" s="1"/>
  <c r="P40" i="5"/>
  <c r="P164"/>
  <c r="N25" i="3" s="1"/>
  <c r="D41" i="5"/>
  <c r="B139" i="2"/>
  <c r="A56"/>
  <c r="B140"/>
  <c r="A57"/>
  <c r="F47" i="5"/>
  <c r="A43" i="2"/>
  <c r="B126"/>
  <c r="L42" i="5"/>
  <c r="L165"/>
  <c r="J26" i="3"/>
  <c r="N26"/>
  <c r="D43" i="5"/>
  <c r="D167" s="1"/>
  <c r="B28" i="3" s="1"/>
  <c r="N44" i="5"/>
  <c r="N168"/>
  <c r="L29" i="3" s="1"/>
  <c r="F45" i="5"/>
  <c r="B130" i="2"/>
  <c r="A47"/>
  <c r="L46" i="5"/>
  <c r="I47"/>
  <c r="L37"/>
  <c r="B8" i="3"/>
  <c r="I6" i="5"/>
  <c r="I147" s="1"/>
  <c r="N148"/>
  <c r="L9" i="3" s="1"/>
  <c r="D10"/>
  <c r="D18" i="5"/>
  <c r="D153" s="1"/>
  <c r="B14" i="3" s="1"/>
  <c r="I18" i="5"/>
  <c r="I153" s="1"/>
  <c r="N19"/>
  <c r="N154"/>
  <c r="L15" i="3"/>
  <c r="F20" i="5"/>
  <c r="A22" i="2"/>
  <c r="B105"/>
  <c r="H21" i="5"/>
  <c r="H155" s="1"/>
  <c r="F16" i="3" s="1"/>
  <c r="L21" i="5"/>
  <c r="L155"/>
  <c r="J16" i="3" s="1"/>
  <c r="P21" i="5"/>
  <c r="P155"/>
  <c r="N16" i="3"/>
  <c r="D22" i="5"/>
  <c r="D156" s="1"/>
  <c r="B17" i="3" s="1"/>
  <c r="L19"/>
  <c r="F24" i="5"/>
  <c r="N39"/>
  <c r="N163" s="1"/>
  <c r="L24" i="3" s="1"/>
  <c r="P41" i="5"/>
  <c r="L41"/>
  <c r="A38" i="2"/>
  <c r="P25" i="5"/>
  <c r="D26"/>
  <c r="L29"/>
  <c r="D159"/>
  <c r="B20" i="3" s="1"/>
  <c r="D34" i="5"/>
  <c r="N35"/>
  <c r="F40"/>
  <c r="F164"/>
  <c r="D25" i="3"/>
  <c r="H41" i="5"/>
  <c r="H164" s="1"/>
  <c r="P43"/>
  <c r="P166" s="1"/>
  <c r="N27" i="3" s="1"/>
  <c r="I44" i="5"/>
  <c r="I168"/>
  <c r="N45"/>
  <c r="F46"/>
  <c r="P47"/>
  <c r="F147"/>
  <c r="D8" i="3" s="1"/>
  <c r="H7" i="5"/>
  <c r="L7"/>
  <c r="L148"/>
  <c r="J9" i="3" s="1"/>
  <c r="P7" i="5"/>
  <c r="P148"/>
  <c r="N9" i="3"/>
  <c r="D8" i="5"/>
  <c r="I8"/>
  <c r="I149"/>
  <c r="F18"/>
  <c r="F153" s="1"/>
  <c r="D14" i="3" s="1"/>
  <c r="L19" i="5"/>
  <c r="L154"/>
  <c r="J15" i="3" s="1"/>
  <c r="P154" i="5"/>
  <c r="N15" i="3" s="1"/>
  <c r="D20" i="5"/>
  <c r="I20"/>
  <c r="N21"/>
  <c r="N155" s="1"/>
  <c r="L16" i="3" s="1"/>
  <c r="F22" i="5"/>
  <c r="H23"/>
  <c r="H156" s="1"/>
  <c r="F17" i="3" s="1"/>
  <c r="L23" i="5"/>
  <c r="L158" s="1"/>
  <c r="J19" i="3" s="1"/>
  <c r="P23" i="5"/>
  <c r="P158"/>
  <c r="N19" i="3" s="1"/>
  <c r="I24" i="5"/>
  <c r="N25"/>
  <c r="H27"/>
  <c r="L27"/>
  <c r="P27"/>
  <c r="N29"/>
  <c r="F30"/>
  <c r="F159" s="1"/>
  <c r="D20" i="3" s="1"/>
  <c r="H31" i="5"/>
  <c r="L31"/>
  <c r="L161" s="1"/>
  <c r="J22" i="3" s="1"/>
  <c r="P31" i="5"/>
  <c r="P161" s="1"/>
  <c r="N22" i="3" s="1"/>
  <c r="D32" i="5"/>
  <c r="N33"/>
  <c r="P35"/>
  <c r="N37"/>
  <c r="F38"/>
  <c r="L163"/>
  <c r="J24" i="3"/>
  <c r="N24"/>
  <c r="D40" i="5"/>
  <c r="D164" s="1"/>
  <c r="B25" i="3" s="1"/>
  <c r="I40" i="5"/>
  <c r="I164"/>
  <c r="D165"/>
  <c r="B26" i="3" s="1"/>
  <c r="F44" i="5"/>
  <c r="F168"/>
  <c r="D29" i="3" s="1"/>
  <c r="D46" i="5"/>
  <c r="A34" i="2"/>
  <c r="B117"/>
  <c r="A70"/>
  <c r="B121"/>
  <c r="L25" i="5"/>
  <c r="I26"/>
  <c r="N27"/>
  <c r="F28"/>
  <c r="H29"/>
  <c r="P29"/>
  <c r="N161"/>
  <c r="L22" i="3" s="1"/>
  <c r="F36" i="5"/>
  <c r="L43"/>
  <c r="L167" s="1"/>
  <c r="J28" i="3" s="1"/>
  <c r="H6" i="5"/>
  <c r="H147" s="1"/>
  <c r="F8" i="3" s="1"/>
  <c r="L6" i="5"/>
  <c r="L147" s="1"/>
  <c r="J8" i="3" s="1"/>
  <c r="P147" i="5"/>
  <c r="N8" i="3" s="1"/>
  <c r="I148" i="5"/>
  <c r="N8"/>
  <c r="N149" s="1"/>
  <c r="L10" i="3" s="1"/>
  <c r="H18" i="5"/>
  <c r="H153" s="1"/>
  <c r="F14" i="3" s="1"/>
  <c r="L153" i="5"/>
  <c r="J14" i="3" s="1"/>
  <c r="N14"/>
  <c r="D19" i="5"/>
  <c r="D154" s="1"/>
  <c r="B15" i="3" s="1"/>
  <c r="I19" i="5"/>
  <c r="I154" s="1"/>
  <c r="F21"/>
  <c r="F155"/>
  <c r="D16" i="3"/>
  <c r="H22" i="5"/>
  <c r="L22"/>
  <c r="P22"/>
  <c r="P156" s="1"/>
  <c r="N17" i="3" s="1"/>
  <c r="D23" i="5"/>
  <c r="F25"/>
  <c r="P26"/>
  <c r="D27"/>
  <c r="I27"/>
  <c r="F29"/>
  <c r="H30"/>
  <c r="H159" s="1"/>
  <c r="F20" i="3" s="1"/>
  <c r="L30" i="5"/>
  <c r="L159" s="1"/>
  <c r="J20" i="3" s="1"/>
  <c r="P159" i="5"/>
  <c r="N20" i="3" s="1"/>
  <c r="B22"/>
  <c r="F33" i="5"/>
  <c r="H34"/>
  <c r="L34"/>
  <c r="P34"/>
  <c r="D35"/>
  <c r="H38"/>
  <c r="L38"/>
  <c r="P38"/>
  <c r="D39"/>
  <c r="D163"/>
  <c r="B24" i="3" s="1"/>
  <c r="N40" i="5"/>
  <c r="N164" s="1"/>
  <c r="L25" i="3" s="1"/>
  <c r="N42" i="5"/>
  <c r="N165" s="1"/>
  <c r="L26" i="3" s="1"/>
  <c r="L44" i="5"/>
  <c r="L168"/>
  <c r="J29" i="3" s="1"/>
  <c r="P44" i="5"/>
  <c r="P168"/>
  <c r="N29" i="3"/>
  <c r="I45" i="5"/>
  <c r="A44" i="2"/>
  <c r="A13"/>
  <c r="A17"/>
  <c r="A23"/>
  <c r="A27"/>
  <c r="A31"/>
  <c r="A39"/>
  <c r="A49"/>
  <c r="H65" i="5"/>
  <c r="B127" i="2"/>
  <c r="A127" s="1"/>
  <c r="A43" i="5" s="1"/>
  <c r="D53"/>
  <c r="I57"/>
  <c r="P58"/>
  <c r="L61"/>
  <c r="N69"/>
  <c r="F69"/>
  <c r="P65"/>
  <c r="P63"/>
  <c r="P175" s="1"/>
  <c r="N36" i="3" s="1"/>
  <c r="F169" i="5"/>
  <c r="D30" i="3" s="1"/>
  <c r="D31"/>
  <c r="N52" i="5"/>
  <c r="N170" s="1"/>
  <c r="L31" i="3" s="1"/>
  <c r="P53" i="5"/>
  <c r="D55"/>
  <c r="P62"/>
  <c r="N63"/>
  <c r="N175" s="1"/>
  <c r="L36" i="3" s="1"/>
  <c r="F64" i="5"/>
  <c r="F177" s="1"/>
  <c r="D38" i="3" s="1"/>
  <c r="F65" i="5"/>
  <c r="P70"/>
  <c r="N30" i="3"/>
  <c r="L52" i="5"/>
  <c r="L170" s="1"/>
  <c r="J31" i="3" s="1"/>
  <c r="N35"/>
  <c r="D63" i="5"/>
  <c r="D175"/>
  <c r="B36" i="3" s="1"/>
  <c r="N177" i="5"/>
  <c r="L38" i="3" s="1"/>
  <c r="L65" i="5"/>
  <c r="F67"/>
  <c r="F178"/>
  <c r="D39" i="3" s="1"/>
  <c r="P67" i="5"/>
  <c r="P178"/>
  <c r="N39" i="3"/>
  <c r="L69" i="5"/>
  <c r="F71"/>
  <c r="L71"/>
  <c r="N169"/>
  <c r="L30" i="3"/>
  <c r="B31"/>
  <c r="I52" i="5"/>
  <c r="I170" s="1"/>
  <c r="H54"/>
  <c r="H171"/>
  <c r="F32" i="3" s="1"/>
  <c r="P54" i="5"/>
  <c r="P171"/>
  <c r="N32" i="3" s="1"/>
  <c r="F174" i="5"/>
  <c r="D35" i="3" s="1"/>
  <c r="L35"/>
  <c r="N57" i="5"/>
  <c r="D59"/>
  <c r="F61"/>
  <c r="P61"/>
  <c r="L66"/>
  <c r="D67"/>
  <c r="D178" s="1"/>
  <c r="B39" i="3" s="1"/>
  <c r="N67" i="5"/>
  <c r="N178"/>
  <c r="L39" i="3" s="1"/>
  <c r="N68" i="5"/>
  <c r="P71"/>
  <c r="P69"/>
  <c r="L177"/>
  <c r="J38" i="3" s="1"/>
  <c r="P59" i="5"/>
  <c r="I53"/>
  <c r="D51"/>
  <c r="L55"/>
  <c r="N58"/>
  <c r="I61"/>
  <c r="L62"/>
  <c r="L63"/>
  <c r="L175"/>
  <c r="J36" i="3"/>
  <c r="F62" i="5"/>
  <c r="N31" i="3"/>
  <c r="D32"/>
  <c r="N54" i="5"/>
  <c r="N171" s="1"/>
  <c r="L32" i="3" s="1"/>
  <c r="P55" i="5"/>
  <c r="P172" s="1"/>
  <c r="L56"/>
  <c r="L174"/>
  <c r="J35" i="3"/>
  <c r="L57" i="5"/>
  <c r="B35" i="3"/>
  <c r="I58" i="5"/>
  <c r="L60"/>
  <c r="D61"/>
  <c r="F63"/>
  <c r="F175"/>
  <c r="D36" i="3" s="1"/>
  <c r="L67" i="5"/>
  <c r="L178"/>
  <c r="J39" i="3"/>
  <c r="N71" i="5"/>
  <c r="N65"/>
  <c r="A19" i="2"/>
  <c r="B102"/>
  <c r="A35"/>
  <c r="B118"/>
  <c r="B93"/>
  <c r="A10"/>
  <c r="B107"/>
  <c r="A24"/>
  <c r="B123"/>
  <c r="A40"/>
  <c r="B147"/>
  <c r="C63" i="5" s="1"/>
  <c r="C175" s="1"/>
  <c r="A36" i="3" s="1"/>
  <c r="A64" i="2"/>
  <c r="B138"/>
  <c r="A66"/>
  <c r="A60"/>
  <c r="A41"/>
  <c r="A33"/>
  <c r="A26"/>
  <c r="A20"/>
  <c r="A16"/>
  <c r="A8"/>
  <c r="B146"/>
  <c r="B114"/>
  <c r="A114" s="1"/>
  <c r="A30" i="5" s="1"/>
  <c r="B106" i="2"/>
  <c r="B96"/>
  <c r="B128"/>
  <c r="A59"/>
  <c r="A72"/>
  <c r="A32"/>
  <c r="A14"/>
  <c r="A15"/>
  <c r="A29"/>
  <c r="A53"/>
  <c r="A68"/>
  <c r="A51"/>
  <c r="A42"/>
  <c r="A36"/>
  <c r="A28"/>
  <c r="A18"/>
  <c r="A11"/>
  <c r="B122"/>
  <c r="B98"/>
  <c r="A98" s="1"/>
  <c r="A14" i="5" s="1"/>
  <c r="E10"/>
  <c r="Q40"/>
  <c r="O29"/>
  <c r="J10"/>
  <c r="K10"/>
  <c r="K15"/>
  <c r="G29"/>
  <c r="C37"/>
  <c r="A121" i="2"/>
  <c r="A37" i="5" s="1"/>
  <c r="J37" s="1"/>
  <c r="C42"/>
  <c r="C165"/>
  <c r="A26" i="3"/>
  <c r="A126" i="2"/>
  <c r="A42" i="5"/>
  <c r="C36"/>
  <c r="A120" i="2"/>
  <c r="A36" i="5" s="1"/>
  <c r="J36" s="1"/>
  <c r="C20"/>
  <c r="A104" i="2"/>
  <c r="A20" i="5"/>
  <c r="C38"/>
  <c r="A122" i="2"/>
  <c r="A38" i="5"/>
  <c r="J38" s="1"/>
  <c r="C174"/>
  <c r="A35" i="3"/>
  <c r="A142" i="2"/>
  <c r="A58" i="5" s="1"/>
  <c r="G58" s="1"/>
  <c r="C12"/>
  <c r="A96" i="2"/>
  <c r="A12" i="5"/>
  <c r="M12" s="1"/>
  <c r="M151" s="1"/>
  <c r="K12" i="3" s="1"/>
  <c r="C54" i="5"/>
  <c r="C171" s="1"/>
  <c r="A32" i="3"/>
  <c r="A138" i="2"/>
  <c r="A54" i="5"/>
  <c r="E54" s="1"/>
  <c r="E171" s="1"/>
  <c r="C32" i="3" s="1"/>
  <c r="C23" i="5"/>
  <c r="A107" i="2"/>
  <c r="A23" i="5"/>
  <c r="C60"/>
  <c r="A144" i="2"/>
  <c r="A60" i="5" s="1"/>
  <c r="Q60" s="1"/>
  <c r="O50"/>
  <c r="M50"/>
  <c r="K50"/>
  <c r="E67"/>
  <c r="K67"/>
  <c r="K48"/>
  <c r="M48"/>
  <c r="M16"/>
  <c r="O16"/>
  <c r="E16"/>
  <c r="J23"/>
  <c r="M27"/>
  <c r="J27"/>
  <c r="Q10"/>
  <c r="O6"/>
  <c r="O147" s="1"/>
  <c r="M8" i="3" s="1"/>
  <c r="J26" i="5"/>
  <c r="C43"/>
  <c r="C24"/>
  <c r="A108" i="2"/>
  <c r="A24" i="5"/>
  <c r="C14"/>
  <c r="C62"/>
  <c r="A146" i="2"/>
  <c r="A62" i="5" s="1"/>
  <c r="C34"/>
  <c r="C162" s="1"/>
  <c r="A23" i="3" s="1"/>
  <c r="A118" i="2"/>
  <c r="A34" i="5"/>
  <c r="C33"/>
  <c r="C160" s="1"/>
  <c r="A21" i="3" s="1"/>
  <c r="A117" i="2"/>
  <c r="A33" i="5" s="1"/>
  <c r="C55"/>
  <c r="A139" i="2"/>
  <c r="A55" i="5"/>
  <c r="M55" s="1"/>
  <c r="M172" s="1"/>
  <c r="K33" i="3" s="1"/>
  <c r="E23" i="5"/>
  <c r="G40"/>
  <c r="E40"/>
  <c r="E164" s="1"/>
  <c r="E17"/>
  <c r="C18"/>
  <c r="C153" s="1"/>
  <c r="A14" i="3" s="1"/>
  <c r="A102" i="2"/>
  <c r="A18" i="5" s="1"/>
  <c r="C56"/>
  <c r="A140" i="2"/>
  <c r="A56" i="5"/>
  <c r="C44"/>
  <c r="C168"/>
  <c r="A29" i="3" s="1"/>
  <c r="A128" i="2"/>
  <c r="A44" i="5"/>
  <c r="Q44" s="1"/>
  <c r="Q166" s="1"/>
  <c r="O27" i="3" s="1"/>
  <c r="C39" i="5"/>
  <c r="C163" s="1"/>
  <c r="A24" i="3" s="1"/>
  <c r="A123" i="2"/>
  <c r="A39" i="5"/>
  <c r="G39" s="1"/>
  <c r="G163" s="1"/>
  <c r="E24" i="3" s="1"/>
  <c r="C9" i="5"/>
  <c r="A93" i="2"/>
  <c r="A9" i="5" s="1"/>
  <c r="Q9" s="1"/>
  <c r="Q149" s="1"/>
  <c r="O10" i="3" s="1"/>
  <c r="C21" i="5"/>
  <c r="C155"/>
  <c r="A16" i="3" s="1"/>
  <c r="A105" i="2"/>
  <c r="A21" i="5"/>
  <c r="M21" s="1"/>
  <c r="C46"/>
  <c r="A130" i="2"/>
  <c r="A46" i="5" s="1"/>
  <c r="C8"/>
  <c r="A92" i="2"/>
  <c r="A8" i="5"/>
  <c r="J8" s="1"/>
  <c r="J148" s="1"/>
  <c r="H9" i="3" s="1"/>
  <c r="C57" i="5"/>
  <c r="A141" i="2"/>
  <c r="A57" i="5" s="1"/>
  <c r="O59"/>
  <c r="K69"/>
  <c r="Q69"/>
  <c r="O27"/>
  <c r="Q27"/>
  <c r="M40"/>
  <c r="E32"/>
  <c r="J25"/>
  <c r="F167"/>
  <c r="D28" i="3" s="1"/>
  <c r="F166" i="5"/>
  <c r="D27" i="3" s="1"/>
  <c r="R167" i="5"/>
  <c r="R166"/>
  <c r="P167"/>
  <c r="N28" i="3" s="1"/>
  <c r="L166" i="5"/>
  <c r="J27" i="3" s="1"/>
  <c r="N167" i="5"/>
  <c r="L28" i="3" s="1"/>
  <c r="N166" i="5"/>
  <c r="L27" i="3"/>
  <c r="H154" i="5"/>
  <c r="F15" i="3" s="1"/>
  <c r="D169" i="5"/>
  <c r="B30" i="3" s="1"/>
  <c r="N160" i="5"/>
  <c r="L21" i="3" s="1"/>
  <c r="D173" i="5"/>
  <c r="B34" i="3" s="1"/>
  <c r="D172" i="5"/>
  <c r="B33" i="3" s="1"/>
  <c r="H163" i="5"/>
  <c r="F24" i="3"/>
  <c r="F162" i="5"/>
  <c r="D23" i="3" s="1"/>
  <c r="L160" i="5"/>
  <c r="J21" i="3" s="1"/>
  <c r="R173" i="5"/>
  <c r="F173"/>
  <c r="D34" i="3"/>
  <c r="F172" i="5"/>
  <c r="D33" i="3" s="1"/>
  <c r="P176" i="5"/>
  <c r="N37" i="3" s="1"/>
  <c r="L176" i="5"/>
  <c r="J37" i="3" s="1"/>
  <c r="F160" i="5"/>
  <c r="D21" i="3"/>
  <c r="F25"/>
  <c r="R160" i="5"/>
  <c r="P173"/>
  <c r="N34" i="3" s="1"/>
  <c r="N33"/>
  <c r="L173" i="5"/>
  <c r="J34" i="3"/>
  <c r="L172" i="5"/>
  <c r="J33" i="3"/>
  <c r="I173" i="5"/>
  <c r="I172"/>
  <c r="L162"/>
  <c r="J23" i="3" s="1"/>
  <c r="N176" i="5"/>
  <c r="L37" i="3" s="1"/>
  <c r="D176" i="5"/>
  <c r="B37" i="3" s="1"/>
  <c r="P162" i="5"/>
  <c r="N23" i="3"/>
  <c r="D162" i="5"/>
  <c r="B23" i="3" s="1"/>
  <c r="B21"/>
  <c r="P157" i="5"/>
  <c r="N18" i="3" s="1"/>
  <c r="I157" i="5"/>
  <c r="I156"/>
  <c r="R157"/>
  <c r="R156"/>
  <c r="L157"/>
  <c r="J18" i="3" s="1"/>
  <c r="L156" i="5"/>
  <c r="J17" i="3" s="1"/>
  <c r="D148" i="5"/>
  <c r="B9" i="3" s="1"/>
  <c r="F157" i="5"/>
  <c r="D18" i="3"/>
  <c r="F156" i="5"/>
  <c r="D17" i="3" s="1"/>
  <c r="H148" i="5"/>
  <c r="F9" i="3" s="1"/>
  <c r="D157" i="5"/>
  <c r="B18" i="3" s="1"/>
  <c r="N156" i="5"/>
  <c r="L17" i="3" s="1"/>
  <c r="N157" i="5"/>
  <c r="L18" i="3" s="1"/>
  <c r="H162" i="5"/>
  <c r="F23" i="3" s="1"/>
  <c r="H158" i="5"/>
  <c r="F19" i="3"/>
  <c r="H157" i="5"/>
  <c r="F18" i="3" s="1"/>
  <c r="H46" i="5"/>
  <c r="H168" s="1"/>
  <c r="F29" i="3" s="1"/>
  <c r="H42" i="5"/>
  <c r="H165"/>
  <c r="F26" i="3" s="1"/>
  <c r="H52" i="5"/>
  <c r="H170"/>
  <c r="F31" i="3" s="1"/>
  <c r="H177" i="5"/>
  <c r="F38" i="3" s="1"/>
  <c r="H44" i="5"/>
  <c r="H47"/>
  <c r="D29"/>
  <c r="H43"/>
  <c r="H166"/>
  <c r="F27" i="3"/>
  <c r="H48" i="5"/>
  <c r="H63"/>
  <c r="H175" s="1"/>
  <c r="F36" i="3" s="1"/>
  <c r="H69" i="5"/>
  <c r="H57"/>
  <c r="H71"/>
  <c r="H55"/>
  <c r="H172" s="1"/>
  <c r="F33" i="3" s="1"/>
  <c r="H67" i="5"/>
  <c r="H51"/>
  <c r="H169"/>
  <c r="F30" i="3" s="1"/>
  <c r="M155" i="5"/>
  <c r="K16" i="3" s="1"/>
  <c r="O21" i="5"/>
  <c r="O155" s="1"/>
  <c r="M16" i="3" s="1"/>
  <c r="K21" i="5"/>
  <c r="K155" s="1"/>
  <c r="I16" i="3" s="1"/>
  <c r="K56" i="5"/>
  <c r="M56"/>
  <c r="K62"/>
  <c r="O24"/>
  <c r="O157" s="1"/>
  <c r="M18" i="3" s="1"/>
  <c r="M24" i="5"/>
  <c r="M157" s="1"/>
  <c r="K18" i="3" s="1"/>
  <c r="O60" i="5"/>
  <c r="E58"/>
  <c r="O58"/>
  <c r="Q58"/>
  <c r="O36"/>
  <c r="K36"/>
  <c r="M36"/>
  <c r="Q37"/>
  <c r="M37"/>
  <c r="E37"/>
  <c r="O37"/>
  <c r="G37"/>
  <c r="C149"/>
  <c r="A10" i="3"/>
  <c r="C150" i="5"/>
  <c r="A11" i="3"/>
  <c r="C173" i="5"/>
  <c r="A34" i="3"/>
  <c r="C172" i="5"/>
  <c r="A33" i="3"/>
  <c r="C166" i="5"/>
  <c r="A27" i="3"/>
  <c r="C167" i="5"/>
  <c r="A28" i="3"/>
  <c r="E21" i="5"/>
  <c r="E155" s="1"/>
  <c r="C16" i="3" s="1"/>
  <c r="E8" i="5"/>
  <c r="E148" s="1"/>
  <c r="C9" i="3" s="1"/>
  <c r="Q8" i="5"/>
  <c r="Q148" s="1"/>
  <c r="O9" i="3" s="1"/>
  <c r="M8" i="5"/>
  <c r="M148" s="1"/>
  <c r="K9" i="3" s="1"/>
  <c r="J46" i="5"/>
  <c r="O46"/>
  <c r="M46"/>
  <c r="G46"/>
  <c r="E46"/>
  <c r="K46"/>
  <c r="M9"/>
  <c r="M149" s="1"/>
  <c r="K10" i="3" s="1"/>
  <c r="G9" i="5"/>
  <c r="G149" s="1"/>
  <c r="E10" i="3" s="1"/>
  <c r="J9" i="5"/>
  <c r="J149" s="1"/>
  <c r="H10" i="3" s="1"/>
  <c r="K44" i="5"/>
  <c r="O44"/>
  <c r="G44"/>
  <c r="E55"/>
  <c r="O34"/>
  <c r="Q34"/>
  <c r="K34"/>
  <c r="M34"/>
  <c r="G34"/>
  <c r="E34"/>
  <c r="G43"/>
  <c r="E43"/>
  <c r="J43"/>
  <c r="M43"/>
  <c r="Q43"/>
  <c r="K43"/>
  <c r="K166"/>
  <c r="I27" i="3" s="1"/>
  <c r="O43" i="5"/>
  <c r="Q23"/>
  <c r="M23"/>
  <c r="O23"/>
  <c r="K23"/>
  <c r="Q12"/>
  <c r="G12"/>
  <c r="G151" s="1"/>
  <c r="E12" i="3" s="1"/>
  <c r="E12" i="5"/>
  <c r="O12"/>
  <c r="E38"/>
  <c r="M38"/>
  <c r="G38"/>
  <c r="G162" s="1"/>
  <c r="E23" i="3" s="1"/>
  <c r="O20" i="5"/>
  <c r="E20"/>
  <c r="M20"/>
  <c r="K20"/>
  <c r="G20"/>
  <c r="Q20"/>
  <c r="J20"/>
  <c r="G42"/>
  <c r="G165"/>
  <c r="E26" i="3" s="1"/>
  <c r="E42" i="5"/>
  <c r="E165" s="1"/>
  <c r="C26" i="3" s="1"/>
  <c r="J42" i="5"/>
  <c r="J165"/>
  <c r="H26" i="3" s="1"/>
  <c r="Q42" i="5"/>
  <c r="Q165" s="1"/>
  <c r="O26" i="3" s="1"/>
  <c r="K42" i="5"/>
  <c r="K165"/>
  <c r="I26" i="3" s="1"/>
  <c r="O42" i="5"/>
  <c r="O165" s="1"/>
  <c r="M26" i="3" s="1"/>
  <c r="M42" i="5"/>
  <c r="M165"/>
  <c r="K26" i="3" s="1"/>
  <c r="J39" i="5"/>
  <c r="J163" s="1"/>
  <c r="H24" i="3" s="1"/>
  <c r="O39" i="5"/>
  <c r="O163" s="1"/>
  <c r="M24" i="3" s="1"/>
  <c r="K39" i="5"/>
  <c r="K163" s="1"/>
  <c r="I24" i="3" s="1"/>
  <c r="G21" i="5"/>
  <c r="G155" s="1"/>
  <c r="E16" i="3" s="1"/>
  <c r="O166" i="5"/>
  <c r="M27" i="3" s="1"/>
  <c r="G166" i="5"/>
  <c r="E27" i="3" s="1"/>
  <c r="A60" i="17"/>
  <c r="G8" i="28" s="1"/>
  <c r="B60" i="17"/>
  <c r="B63"/>
  <c r="A63"/>
  <c r="G11" i="28" s="1"/>
  <c r="B59" i="17"/>
  <c r="H7" i="28" s="1"/>
  <c r="A59" i="17"/>
  <c r="G7" i="28" s="1"/>
  <c r="B58" i="17"/>
  <c r="H6" i="28" s="1"/>
  <c r="A58" i="17"/>
  <c r="G6" i="28" s="1"/>
  <c r="A61" i="17"/>
  <c r="G9" i="28" s="1"/>
  <c r="B61" i="17"/>
  <c r="H9" i="28" s="1"/>
  <c r="A62" i="17"/>
  <c r="G10" i="28" s="1"/>
  <c r="A16"/>
  <c r="A19"/>
  <c r="A18"/>
  <c r="A15"/>
  <c r="A7"/>
  <c r="A8"/>
  <c r="J79" i="19"/>
  <c r="M60" i="27"/>
  <c r="P60"/>
  <c r="U60"/>
  <c r="R60"/>
  <c r="O60"/>
  <c r="H60"/>
  <c r="K60"/>
  <c r="W60"/>
  <c r="I60"/>
  <c r="E60"/>
  <c r="L60"/>
  <c r="Y60"/>
  <c r="W79" i="19" l="1"/>
  <c r="J52" i="26"/>
  <c r="H82" i="25"/>
  <c r="F66"/>
  <c r="N68"/>
  <c r="P58"/>
  <c r="X82"/>
  <c r="W75"/>
  <c r="O82"/>
  <c r="Q51"/>
  <c r="P52" i="26"/>
  <c r="F51"/>
  <c r="F88" s="1"/>
  <c r="O52"/>
  <c r="G75" i="20"/>
  <c r="O69" i="19"/>
  <c r="O106" s="1"/>
  <c r="N51" i="26"/>
  <c r="N88" s="1"/>
  <c r="K52"/>
  <c r="I78" i="17"/>
  <c r="J73" i="19"/>
  <c r="R72" i="20"/>
  <c r="M52" i="26"/>
  <c r="H51"/>
  <c r="H88" s="1"/>
  <c r="R51"/>
  <c r="R88" s="1"/>
  <c r="O51"/>
  <c r="O88" s="1"/>
  <c r="I52"/>
  <c r="T72" i="20"/>
  <c r="M72" i="17"/>
  <c r="M109" s="1"/>
  <c r="E71"/>
  <c r="E108" s="1"/>
  <c r="E147" s="1"/>
  <c r="M73" i="20"/>
  <c r="L51" i="26"/>
  <c r="L88" s="1"/>
  <c r="E51"/>
  <c r="E88" s="1"/>
  <c r="G52"/>
  <c r="Y79" i="19"/>
  <c r="Y71"/>
  <c r="E73" i="20"/>
  <c r="G74"/>
  <c r="G112" s="1"/>
  <c r="G79" i="19"/>
  <c r="M71" i="17"/>
  <c r="Y75" i="20"/>
  <c r="R74" i="17"/>
  <c r="S72" i="20"/>
  <c r="S109" s="1"/>
  <c r="V79" i="19"/>
  <c r="Q78" i="17"/>
  <c r="S75" i="20"/>
  <c r="P75"/>
  <c r="M79" i="19"/>
  <c r="S71" i="17"/>
  <c r="S108" s="1"/>
  <c r="T75" i="20"/>
  <c r="J75"/>
  <c r="I75"/>
  <c r="H79" i="19"/>
  <c r="S79"/>
  <c r="U77" i="17"/>
  <c r="O76"/>
  <c r="W71" i="19"/>
  <c r="H73" i="20"/>
  <c r="O73"/>
  <c r="X75"/>
  <c r="T79" i="19"/>
  <c r="E97" i="27"/>
  <c r="M75" i="20"/>
  <c r="P79" i="19"/>
  <c r="L79"/>
  <c r="U73" i="17"/>
  <c r="Q76"/>
  <c r="E73" i="19"/>
  <c r="X73" i="20"/>
  <c r="U71"/>
  <c r="U108" s="1"/>
  <c r="L74"/>
  <c r="M71" i="25"/>
  <c r="L75"/>
  <c r="M52"/>
  <c r="Y55"/>
  <c r="Q45" i="5"/>
  <c r="G45"/>
  <c r="O45"/>
  <c r="J45"/>
  <c r="J167" s="1"/>
  <c r="H28" i="3" s="1"/>
  <c r="K45" i="5"/>
  <c r="K167" s="1"/>
  <c r="I28" i="3" s="1"/>
  <c r="O14" i="5"/>
  <c r="M14"/>
  <c r="G14"/>
  <c r="E14"/>
  <c r="K14"/>
  <c r="Q14"/>
  <c r="J14"/>
  <c r="Q57"/>
  <c r="Q173" s="1"/>
  <c r="O34" i="3" s="1"/>
  <c r="M57" i="5"/>
  <c r="O57"/>
  <c r="O173" s="1"/>
  <c r="M34" i="3" s="1"/>
  <c r="K57" i="5"/>
  <c r="K173" s="1"/>
  <c r="I34" i="3" s="1"/>
  <c r="Q33" i="5"/>
  <c r="E33"/>
  <c r="J33"/>
  <c r="J160" s="1"/>
  <c r="H21" i="3" s="1"/>
  <c r="M33" i="5"/>
  <c r="M160" s="1"/>
  <c r="K21" i="3" s="1"/>
  <c r="O33" i="5"/>
  <c r="O160" s="1"/>
  <c r="M21" i="3" s="1"/>
  <c r="G33" i="5"/>
  <c r="G160" s="1"/>
  <c r="E21" i="3" s="1"/>
  <c r="K33" i="5"/>
  <c r="K160" s="1"/>
  <c r="I21" i="3" s="1"/>
  <c r="G30" i="5"/>
  <c r="G159" s="1"/>
  <c r="E20" i="3" s="1"/>
  <c r="O30" i="5"/>
  <c r="O159" s="1"/>
  <c r="M20" i="3" s="1"/>
  <c r="M30" i="5"/>
  <c r="M159" s="1"/>
  <c r="K20" i="3" s="1"/>
  <c r="K30" i="5"/>
  <c r="K159" s="1"/>
  <c r="I20" i="3" s="1"/>
  <c r="J30" i="5"/>
  <c r="J159" s="1"/>
  <c r="H20" i="3" s="1"/>
  <c r="Q30" i="5"/>
  <c r="Q159" s="1"/>
  <c r="O20" i="3" s="1"/>
  <c r="E30" i="5"/>
  <c r="E159" s="1"/>
  <c r="C20" i="3" s="1"/>
  <c r="K31" i="5"/>
  <c r="M31"/>
  <c r="M161" s="1"/>
  <c r="K22" i="3" s="1"/>
  <c r="J31" i="5"/>
  <c r="J161" s="1"/>
  <c r="H22" i="3" s="1"/>
  <c r="O31" i="5"/>
  <c r="Q31"/>
  <c r="G31"/>
  <c r="G161" s="1"/>
  <c r="E22" i="3" s="1"/>
  <c r="N172" i="5"/>
  <c r="L33" i="3" s="1"/>
  <c r="N173" i="5"/>
  <c r="L34" i="3" s="1"/>
  <c r="Q18" i="5"/>
  <c r="Q153" s="1"/>
  <c r="O14" i="3" s="1"/>
  <c r="O18" i="5"/>
  <c r="O153" s="1"/>
  <c r="M14" i="3" s="1"/>
  <c r="K18" i="5"/>
  <c r="K153" s="1"/>
  <c r="I14" i="3" s="1"/>
  <c r="M18" i="5"/>
  <c r="M153" s="1"/>
  <c r="K14" i="3" s="1"/>
  <c r="E18" i="5"/>
  <c r="E153" s="1"/>
  <c r="C14" i="3" s="1"/>
  <c r="G18" i="5"/>
  <c r="G153" s="1"/>
  <c r="E14" i="3" s="1"/>
  <c r="J18" i="5"/>
  <c r="J153" s="1"/>
  <c r="H14" i="3" s="1"/>
  <c r="O11" i="5"/>
  <c r="O150" s="1"/>
  <c r="M11" i="3" s="1"/>
  <c r="K11" i="5"/>
  <c r="E11"/>
  <c r="E150" s="1"/>
  <c r="C11" i="3" s="1"/>
  <c r="M11" i="5"/>
  <c r="M150" s="1"/>
  <c r="K11" i="3" s="1"/>
  <c r="Q11" i="5"/>
  <c r="Q150"/>
  <c r="O11" i="3" s="1"/>
  <c r="Q71" i="5"/>
  <c r="E71"/>
  <c r="H178"/>
  <c r="F39" i="3" s="1"/>
  <c r="G65" i="5"/>
  <c r="K63"/>
  <c r="K175" s="1"/>
  <c r="I36" i="3" s="1"/>
  <c r="J173" i="5"/>
  <c r="H34" i="3" s="1"/>
  <c r="E151" i="5"/>
  <c r="C12" i="3" s="1"/>
  <c r="K61" i="5"/>
  <c r="H173"/>
  <c r="F34" i="3" s="1"/>
  <c r="M45" i="5"/>
  <c r="M167" s="1"/>
  <c r="K28" i="3" s="1"/>
  <c r="E45" i="5"/>
  <c r="E167" s="1"/>
  <c r="C28" i="3" s="1"/>
  <c r="E157" i="5"/>
  <c r="C18" i="3" s="1"/>
  <c r="J24" i="5"/>
  <c r="J157" s="1"/>
  <c r="H18" i="3" s="1"/>
  <c r="K24" i="5"/>
  <c r="K157" s="1"/>
  <c r="I18" i="3" s="1"/>
  <c r="Q48" i="5"/>
  <c r="O48"/>
  <c r="L146" i="2"/>
  <c r="M62" i="5" s="1"/>
  <c r="L143" i="2"/>
  <c r="M59" i="5" s="1"/>
  <c r="A71" i="2"/>
  <c r="B154"/>
  <c r="C68" i="5"/>
  <c r="A152" i="2"/>
  <c r="A68" i="5" s="1"/>
  <c r="A67" i="2"/>
  <c r="B150"/>
  <c r="B148"/>
  <c r="A65"/>
  <c r="A58"/>
  <c r="C141"/>
  <c r="D57" i="5" s="1"/>
  <c r="C138" i="2"/>
  <c r="D54" i="5" s="1"/>
  <c r="D171" s="1"/>
  <c r="B32" i="3" s="1"/>
  <c r="A55" i="2"/>
  <c r="A54"/>
  <c r="B137"/>
  <c r="J142"/>
  <c r="K58" i="5" s="1"/>
  <c r="K174" s="1"/>
  <c r="I35" i="3" s="1"/>
  <c r="J143" i="2"/>
  <c r="K59" i="5" s="1"/>
  <c r="G142" i="2"/>
  <c r="H58" i="5" s="1"/>
  <c r="G143" i="2"/>
  <c r="H59" i="5" s="1"/>
  <c r="N140" i="2"/>
  <c r="O56" i="5" s="1"/>
  <c r="N138" i="2"/>
  <c r="O54" i="5" s="1"/>
  <c r="O171" s="1"/>
  <c r="M32" i="3" s="1"/>
  <c r="I139" i="2"/>
  <c r="J55" i="5" s="1"/>
  <c r="J172" s="1"/>
  <c r="H33" i="3" s="1"/>
  <c r="I140" i="2"/>
  <c r="J56" i="5" s="1"/>
  <c r="F139" i="2"/>
  <c r="G55" i="5" s="1"/>
  <c r="F140" i="2"/>
  <c r="G56" i="5" s="1"/>
  <c r="A50" i="2"/>
  <c r="B133"/>
  <c r="S75" i="17"/>
  <c r="W76"/>
  <c r="J76"/>
  <c r="H71"/>
  <c r="H108" s="1"/>
  <c r="W74"/>
  <c r="S73"/>
  <c r="Q75"/>
  <c r="N71"/>
  <c r="V72"/>
  <c r="W73"/>
  <c r="E78"/>
  <c r="P78"/>
  <c r="X75"/>
  <c r="O74"/>
  <c r="V71"/>
  <c r="V108" s="1"/>
  <c r="M76"/>
  <c r="N74"/>
  <c r="G77"/>
  <c r="K77"/>
  <c r="E72"/>
  <c r="E109" s="1"/>
  <c r="E148" s="1"/>
  <c r="A7" i="2"/>
  <c r="H11" i="28"/>
  <c r="Q39" i="5"/>
  <c r="Q163" s="1"/>
  <c r="O24" i="3" s="1"/>
  <c r="E39" i="5"/>
  <c r="E163" s="1"/>
  <c r="K38"/>
  <c r="K162" s="1"/>
  <c r="I23" i="3" s="1"/>
  <c r="Q38" i="5"/>
  <c r="J12"/>
  <c r="K12"/>
  <c r="K151" s="1"/>
  <c r="I12" i="3" s="1"/>
  <c r="K54" i="5"/>
  <c r="K171" s="1"/>
  <c r="I32" i="3" s="1"/>
  <c r="O55" i="5"/>
  <c r="O9"/>
  <c r="O149" s="1"/>
  <c r="M10" i="3" s="1"/>
  <c r="K9" i="5"/>
  <c r="K149" s="1"/>
  <c r="I10" i="3" s="1"/>
  <c r="G8" i="5"/>
  <c r="G148" s="1"/>
  <c r="E9" i="3" s="1"/>
  <c r="O8" i="5"/>
  <c r="O148" s="1"/>
  <c r="M9" i="3" s="1"/>
  <c r="E36" i="5"/>
  <c r="Q36"/>
  <c r="Q24"/>
  <c r="Q157" s="1"/>
  <c r="O18" i="3" s="1"/>
  <c r="Q21" i="5"/>
  <c r="Q155" s="1"/>
  <c r="O16" i="3" s="1"/>
  <c r="D166" i="5"/>
  <c r="B27" i="3" s="1"/>
  <c r="Q32" i="5"/>
  <c r="G59"/>
  <c r="C30"/>
  <c r="C159" s="1"/>
  <c r="A20" i="3" s="1"/>
  <c r="A69" i="2"/>
  <c r="M41" i="5"/>
  <c r="M164" s="1"/>
  <c r="K25" i="3" s="1"/>
  <c r="A149" i="2"/>
  <c r="A65" i="5" s="1"/>
  <c r="K65" s="1"/>
  <c r="E6"/>
  <c r="E147" s="1"/>
  <c r="C8" i="3" s="1"/>
  <c r="H152" i="5"/>
  <c r="F13" i="3" s="1"/>
  <c r="G146" i="2"/>
  <c r="H62" i="5" s="1"/>
  <c r="G6"/>
  <c r="G147" s="1"/>
  <c r="E8" i="3" s="1"/>
  <c r="Q62" i="5"/>
  <c r="G50"/>
  <c r="O180"/>
  <c r="M41" i="3" s="1"/>
  <c r="J183" i="5"/>
  <c r="H44" i="3" s="1"/>
  <c r="G17" i="5"/>
  <c r="Q17"/>
  <c r="K32"/>
  <c r="J32"/>
  <c r="G41"/>
  <c r="G164" s="1"/>
  <c r="E25" i="3" s="1"/>
  <c r="K41" i="5"/>
  <c r="K164" s="1"/>
  <c r="I25" i="3" s="1"/>
  <c r="F109" i="2"/>
  <c r="G25" i="5" s="1"/>
  <c r="G19"/>
  <c r="G154" s="1"/>
  <c r="E15" i="3" s="1"/>
  <c r="F108" i="2"/>
  <c r="G24" i="5" s="1"/>
  <c r="G157" s="1"/>
  <c r="E18" i="3" s="1"/>
  <c r="AX3" i="28"/>
  <c r="AM3"/>
  <c r="BC3"/>
  <c r="BA3"/>
  <c r="AF3"/>
  <c r="AH3"/>
  <c r="AY3"/>
  <c r="BB3"/>
  <c r="AZ3"/>
  <c r="AN3"/>
  <c r="F3"/>
  <c r="AV3"/>
  <c r="AW3"/>
  <c r="AU3"/>
  <c r="AI3"/>
  <c r="AO3"/>
  <c r="AQ3"/>
  <c r="AS3"/>
  <c r="AJ3"/>
  <c r="AK3"/>
  <c r="AP3"/>
  <c r="AG3"/>
  <c r="AL3"/>
  <c r="AT3"/>
  <c r="AQ5"/>
  <c r="AM5"/>
  <c r="BB5"/>
  <c r="AI5"/>
  <c r="AJ5"/>
  <c r="BA5"/>
  <c r="AH5"/>
  <c r="AY5"/>
  <c r="AK5"/>
  <c r="BD5"/>
  <c r="AF5"/>
  <c r="AW5"/>
  <c r="AU5"/>
  <c r="AG5"/>
  <c r="AX5"/>
  <c r="AP5"/>
  <c r="AV5"/>
  <c r="AS5"/>
  <c r="AL5"/>
  <c r="F5"/>
  <c r="AT5"/>
  <c r="AZ5"/>
  <c r="AN5"/>
  <c r="BC5"/>
  <c r="AO5"/>
  <c r="AF19"/>
  <c r="AK19"/>
  <c r="AU19"/>
  <c r="BD19"/>
  <c r="AM19"/>
  <c r="F19"/>
  <c r="AJ19"/>
  <c r="AT19"/>
  <c r="AY19"/>
  <c r="AH19"/>
  <c r="AN19"/>
  <c r="AQ19"/>
  <c r="BA19"/>
  <c r="AL19"/>
  <c r="AW19"/>
  <c r="AG19"/>
  <c r="AP19"/>
  <c r="AI19"/>
  <c r="AO19"/>
  <c r="AS19"/>
  <c r="AX19"/>
  <c r="BC19"/>
  <c r="BB19"/>
  <c r="AV19"/>
  <c r="AZ19"/>
  <c r="K150" i="5"/>
  <c r="I11" i="3" s="1"/>
  <c r="K17" i="5"/>
  <c r="G32"/>
  <c r="G11"/>
  <c r="G150" s="1"/>
  <c r="E11" i="3" s="1"/>
  <c r="L145" i="2"/>
  <c r="M61" i="5" s="1"/>
  <c r="O71"/>
  <c r="G69"/>
  <c r="E69"/>
  <c r="J68"/>
  <c r="G144" i="2"/>
  <c r="H60" i="5" s="1"/>
  <c r="E56"/>
  <c r="E172" s="1"/>
  <c r="C33" i="3" s="1"/>
  <c r="E183" i="5"/>
  <c r="C44" i="3" s="1"/>
  <c r="G184" i="5"/>
  <c r="E45" i="3" s="1"/>
  <c r="A106" i="2"/>
  <c r="A22" i="5" s="1"/>
  <c r="C22"/>
  <c r="O19"/>
  <c r="O154" s="1"/>
  <c r="M15" i="3" s="1"/>
  <c r="K19" i="5"/>
  <c r="K154" s="1"/>
  <c r="I15" i="3" s="1"/>
  <c r="M19" i="5"/>
  <c r="M154" s="1"/>
  <c r="K15" i="3" s="1"/>
  <c r="C52" i="5"/>
  <c r="C170" s="1"/>
  <c r="A31" i="3" s="1"/>
  <c r="A136" i="2"/>
  <c r="A52" i="5" s="1"/>
  <c r="H21" i="28"/>
  <c r="I76" i="19"/>
  <c r="F76"/>
  <c r="L69"/>
  <c r="L106" s="1"/>
  <c r="O73"/>
  <c r="Q77"/>
  <c r="G71"/>
  <c r="P75"/>
  <c r="M71"/>
  <c r="O70"/>
  <c r="U78"/>
  <c r="K76"/>
  <c r="N74"/>
  <c r="I74"/>
  <c r="L78"/>
  <c r="L116" s="1"/>
  <c r="C182" i="5"/>
  <c r="A43" i="3" s="1"/>
  <c r="B99" i="5"/>
  <c r="U78" i="17"/>
  <c r="F78"/>
  <c r="S76"/>
  <c r="W75"/>
  <c r="W112" s="1"/>
  <c r="V74"/>
  <c r="K75"/>
  <c r="Y73"/>
  <c r="E74"/>
  <c r="O71"/>
  <c r="O108" s="1"/>
  <c r="G71"/>
  <c r="G108" s="1"/>
  <c r="P71"/>
  <c r="P108" s="1"/>
  <c r="K72"/>
  <c r="M39" i="5"/>
  <c r="M163" s="1"/>
  <c r="K24" i="3" s="1"/>
  <c r="O38" i="5"/>
  <c r="O162" s="1"/>
  <c r="M23" i="3" s="1"/>
  <c r="M54" i="5"/>
  <c r="M171" s="1"/>
  <c r="K32" i="3" s="1"/>
  <c r="E9" i="5"/>
  <c r="E149" s="1"/>
  <c r="C10" i="3" s="1"/>
  <c r="K8" i="5"/>
  <c r="K148" s="1"/>
  <c r="I9" i="3" s="1"/>
  <c r="I167" i="5"/>
  <c r="J17"/>
  <c r="A147" i="2"/>
  <c r="A63" i="5" s="1"/>
  <c r="M17"/>
  <c r="J52"/>
  <c r="J15"/>
  <c r="O32"/>
  <c r="O15"/>
  <c r="O151" s="1"/>
  <c r="M12" i="3" s="1"/>
  <c r="C59" i="5"/>
  <c r="E19"/>
  <c r="E154" s="1"/>
  <c r="C15" i="3" s="1"/>
  <c r="L144" i="2"/>
  <c r="M60" i="5" s="1"/>
  <c r="D144" i="2"/>
  <c r="E60" i="5" s="1"/>
  <c r="D143" i="2"/>
  <c r="E59" i="5" s="1"/>
  <c r="P138" i="2"/>
  <c r="Q54" i="5" s="1"/>
  <c r="Q171" s="1"/>
  <c r="O32" i="3" s="1"/>
  <c r="H184" i="5"/>
  <c r="F45" i="3" s="1"/>
  <c r="H180" i="5"/>
  <c r="F41" i="3" s="1"/>
  <c r="H179" i="5"/>
  <c r="F40" i="3" s="1"/>
  <c r="K183" i="5"/>
  <c r="I44" i="3" s="1"/>
  <c r="M183" i="5"/>
  <c r="K44" i="3" s="1"/>
  <c r="M180" i="5"/>
  <c r="K41" i="3" s="1"/>
  <c r="A97" i="2"/>
  <c r="A13" i="5" s="1"/>
  <c r="C13"/>
  <c r="A145" i="2"/>
  <c r="A61" i="5" s="1"/>
  <c r="C61"/>
  <c r="M184"/>
  <c r="K45" i="3" s="1"/>
  <c r="K184" i="5"/>
  <c r="I45" i="3" s="1"/>
  <c r="M179" i="5"/>
  <c r="K40" i="3" s="1"/>
  <c r="O179" i="5"/>
  <c r="M40" i="3" s="1"/>
  <c r="K179" i="5"/>
  <c r="I40" i="3" s="1"/>
  <c r="B72" i="5"/>
  <c r="C179"/>
  <c r="A40" i="3" s="1"/>
  <c r="B108" i="5"/>
  <c r="C183"/>
  <c r="A44" i="3" s="1"/>
  <c r="AK16" i="28"/>
  <c r="BC16"/>
  <c r="AL16"/>
  <c r="AW16"/>
  <c r="AO16"/>
  <c r="BD16"/>
  <c r="AM16"/>
  <c r="AJ16"/>
  <c r="AT16"/>
  <c r="AP16"/>
  <c r="AX16"/>
  <c r="AQ16"/>
  <c r="BB16"/>
  <c r="AU16"/>
  <c r="F16"/>
  <c r="AS16"/>
  <c r="AY16"/>
  <c r="AG16"/>
  <c r="AI16"/>
  <c r="Q164" i="5"/>
  <c r="O25" i="3" s="1"/>
  <c r="D150" i="5"/>
  <c r="B11" i="3" s="1"/>
  <c r="D113" i="2"/>
  <c r="E29" i="5" s="1"/>
  <c r="G16"/>
  <c r="C35"/>
  <c r="Q15"/>
  <c r="Q151" s="1"/>
  <c r="O12" i="3" s="1"/>
  <c r="Q19" i="5"/>
  <c r="Q154" s="1"/>
  <c r="O15" i="3" s="1"/>
  <c r="M26" i="5"/>
  <c r="Q26"/>
  <c r="E31"/>
  <c r="E161" s="1"/>
  <c r="C22" i="3" s="1"/>
  <c r="N146" i="2"/>
  <c r="O62" i="5" s="1"/>
  <c r="D145" i="2"/>
  <c r="E61" i="5" s="1"/>
  <c r="E174" s="1"/>
  <c r="C35" i="3" s="1"/>
  <c r="L142" i="2"/>
  <c r="M58" i="5" s="1"/>
  <c r="D141" i="2"/>
  <c r="E57" i="5" s="1"/>
  <c r="P140" i="2"/>
  <c r="Q56" i="5" s="1"/>
  <c r="Q172" s="1"/>
  <c r="O33" i="3" s="1"/>
  <c r="J50" i="5"/>
  <c r="Q41"/>
  <c r="Q180"/>
  <c r="O41" i="3" s="1"/>
  <c r="B77" i="5"/>
  <c r="B73"/>
  <c r="O183"/>
  <c r="M44" i="3" s="1"/>
  <c r="A112" i="2"/>
  <c r="A28" i="5" s="1"/>
  <c r="C28"/>
  <c r="Q35"/>
  <c r="Q162" s="1"/>
  <c r="O23" i="3" s="1"/>
  <c r="E35" i="5"/>
  <c r="E162" s="1"/>
  <c r="C23" i="3" s="1"/>
  <c r="A155" i="2"/>
  <c r="A71" i="5" s="1"/>
  <c r="K71" s="1"/>
  <c r="C71"/>
  <c r="I144" i="2"/>
  <c r="J60" i="5" s="1"/>
  <c r="I145" i="2"/>
  <c r="I146"/>
  <c r="J62" i="5" s="1"/>
  <c r="F144" i="2"/>
  <c r="G60" i="5" s="1"/>
  <c r="G173" s="1"/>
  <c r="E34" i="3" s="1"/>
  <c r="F145" i="2"/>
  <c r="G61" i="5" s="1"/>
  <c r="F146" i="2"/>
  <c r="G62" i="5" s="1"/>
  <c r="B135" i="2"/>
  <c r="A52"/>
  <c r="A48"/>
  <c r="B131"/>
  <c r="A45"/>
  <c r="C128"/>
  <c r="D44" i="5" s="1"/>
  <c r="D168" s="1"/>
  <c r="B29" i="3" s="1"/>
  <c r="D180" i="5"/>
  <c r="B41" i="3" s="1"/>
  <c r="B81" i="5"/>
  <c r="Q6"/>
  <c r="Q147" s="1"/>
  <c r="O8" i="3" s="1"/>
  <c r="J11" i="5"/>
  <c r="J150" s="1"/>
  <c r="H11" i="3" s="1"/>
  <c r="Q25" i="5"/>
  <c r="M35"/>
  <c r="M162" s="1"/>
  <c r="K23" i="3" s="1"/>
  <c r="J41" i="5"/>
  <c r="J164" s="1"/>
  <c r="H25" i="3" s="1"/>
  <c r="O41" i="5"/>
  <c r="O164" s="1"/>
  <c r="M25" i="3" s="1"/>
  <c r="G23" i="5"/>
  <c r="G48"/>
  <c r="X69" i="19"/>
  <c r="X106" s="1"/>
  <c r="Q184" i="5"/>
  <c r="O45" i="3" s="1"/>
  <c r="AF11" i="28"/>
  <c r="AN11"/>
  <c r="AW11"/>
  <c r="AU11"/>
  <c r="F11"/>
  <c r="AQ11"/>
  <c r="AK11"/>
  <c r="AT11"/>
  <c r="BB11"/>
  <c r="AI11"/>
  <c r="AY11"/>
  <c r="AH11"/>
  <c r="AV11"/>
  <c r="AG11"/>
  <c r="AX11"/>
  <c r="AL11"/>
  <c r="AS11"/>
  <c r="AP11"/>
  <c r="AM11"/>
  <c r="AO12"/>
  <c r="BC12"/>
  <c r="AL12"/>
  <c r="AW12"/>
  <c r="AF12"/>
  <c r="AZ12"/>
  <c r="AI12"/>
  <c r="AT12"/>
  <c r="AP12"/>
  <c r="BA12"/>
  <c r="AJ12"/>
  <c r="BD12"/>
  <c r="AM12"/>
  <c r="AG12"/>
  <c r="AU12"/>
  <c r="AN12"/>
  <c r="AQ12"/>
  <c r="AK12"/>
  <c r="AY12"/>
  <c r="AS12"/>
  <c r="AV12"/>
  <c r="AJ11"/>
  <c r="H4"/>
  <c r="Q52" i="26"/>
  <c r="I51"/>
  <c r="I88" s="1"/>
  <c r="S52"/>
  <c r="E52"/>
  <c r="V52"/>
  <c r="V89" s="1"/>
  <c r="L52"/>
  <c r="F52"/>
  <c r="T52"/>
  <c r="X52"/>
  <c r="Q51"/>
  <c r="Q88" s="1"/>
  <c r="U52"/>
  <c r="K51"/>
  <c r="K88" s="1"/>
  <c r="R52"/>
  <c r="J51"/>
  <c r="J88" s="1"/>
  <c r="H52"/>
  <c r="H89" s="1"/>
  <c r="N52"/>
  <c r="N89" s="1"/>
  <c r="M51"/>
  <c r="M88" s="1"/>
  <c r="P51"/>
  <c r="P88" s="1"/>
  <c r="AS10" i="28"/>
  <c r="AX10"/>
  <c r="AG10"/>
  <c r="BC10"/>
  <c r="AL10"/>
  <c r="AV10"/>
  <c r="AW10"/>
  <c r="AF10"/>
  <c r="BB10"/>
  <c r="AK10"/>
  <c r="AP10"/>
  <c r="AZ10"/>
  <c r="AF13"/>
  <c r="AN13"/>
  <c r="AW13"/>
  <c r="F13"/>
  <c r="AU13"/>
  <c r="AV13"/>
  <c r="AK13"/>
  <c r="AT13"/>
  <c r="BB13"/>
  <c r="AI13"/>
  <c r="AY13"/>
  <c r="AH13"/>
  <c r="AZ13"/>
  <c r="AF18"/>
  <c r="AN18"/>
  <c r="AW18"/>
  <c r="BC18"/>
  <c r="AL18"/>
  <c r="AV18"/>
  <c r="AK18"/>
  <c r="AT18"/>
  <c r="BB18"/>
  <c r="AP18"/>
  <c r="AZ18"/>
  <c r="H71" i="19"/>
  <c r="T73"/>
  <c r="I69"/>
  <c r="I106" s="1"/>
  <c r="Y74"/>
  <c r="R74"/>
  <c r="V73" i="20"/>
  <c r="B105" i="5"/>
  <c r="B101"/>
  <c r="S72" i="25"/>
  <c r="S109" s="1"/>
  <c r="A10" i="28"/>
  <c r="AS18"/>
  <c r="BA17"/>
  <c r="BA13"/>
  <c r="AJ13"/>
  <c r="M76" i="19"/>
  <c r="P72"/>
  <c r="P110" s="1"/>
  <c r="K70"/>
  <c r="F77"/>
  <c r="F114" s="1"/>
  <c r="N69"/>
  <c r="N106" s="1"/>
  <c r="V76"/>
  <c r="X73"/>
  <c r="P76"/>
  <c r="Y75"/>
  <c r="M69"/>
  <c r="M106" s="1"/>
  <c r="N70"/>
  <c r="L70"/>
  <c r="L107" s="1"/>
  <c r="O75"/>
  <c r="S72"/>
  <c r="H18" i="28"/>
  <c r="F75" i="19"/>
  <c r="R75"/>
  <c r="Y72"/>
  <c r="J72"/>
  <c r="V77"/>
  <c r="E72"/>
  <c r="E110" s="1"/>
  <c r="E149" s="1"/>
  <c r="S77"/>
  <c r="W77"/>
  <c r="M70"/>
  <c r="U77"/>
  <c r="U76"/>
  <c r="T74"/>
  <c r="X71"/>
  <c r="W76"/>
  <c r="Y72" i="20"/>
  <c r="F71"/>
  <c r="F108" s="1"/>
  <c r="N74"/>
  <c r="K73"/>
  <c r="E71"/>
  <c r="E108" s="1"/>
  <c r="E147" s="1"/>
  <c r="I72"/>
  <c r="H12" i="28"/>
  <c r="S71" i="20"/>
  <c r="S108" s="1"/>
  <c r="J71"/>
  <c r="J108" s="1"/>
  <c r="G72"/>
  <c r="O72"/>
  <c r="V52" i="25"/>
  <c r="O55"/>
  <c r="S51"/>
  <c r="S88" s="1"/>
  <c r="P56"/>
  <c r="G57"/>
  <c r="L77"/>
  <c r="G79"/>
  <c r="M70"/>
  <c r="M108" s="1"/>
  <c r="U60"/>
  <c r="X63"/>
  <c r="Q60"/>
  <c r="P59"/>
  <c r="P96" s="1"/>
  <c r="J65"/>
  <c r="V59"/>
  <c r="N66"/>
  <c r="F62"/>
  <c r="I66"/>
  <c r="E76"/>
  <c r="T71"/>
  <c r="Y61"/>
  <c r="Y70"/>
  <c r="U57"/>
  <c r="I56"/>
  <c r="V53"/>
  <c r="R55"/>
  <c r="L69"/>
  <c r="G82"/>
  <c r="W59"/>
  <c r="U58"/>
  <c r="X80"/>
  <c r="Q64"/>
  <c r="R61"/>
  <c r="J69"/>
  <c r="V60"/>
  <c r="V97" s="1"/>
  <c r="N76"/>
  <c r="K64"/>
  <c r="I60"/>
  <c r="E63"/>
  <c r="H73"/>
  <c r="Y69"/>
  <c r="Y59"/>
  <c r="BD6" i="28"/>
  <c r="AJ6"/>
  <c r="AU6"/>
  <c r="AI6"/>
  <c r="AZ6"/>
  <c r="F6"/>
  <c r="AT6"/>
  <c r="BB6"/>
  <c r="AX6"/>
  <c r="AP6"/>
  <c r="AV6"/>
  <c r="AL8"/>
  <c r="AS8"/>
  <c r="AU8"/>
  <c r="AO8"/>
  <c r="BD8"/>
  <c r="AV8"/>
  <c r="AQ8"/>
  <c r="AM8"/>
  <c r="AN8"/>
  <c r="AP8"/>
  <c r="AK8"/>
  <c r="AF17"/>
  <c r="AN17"/>
  <c r="AW17"/>
  <c r="AU17"/>
  <c r="AZ17"/>
  <c r="AK17"/>
  <c r="AT17"/>
  <c r="BB17"/>
  <c r="AI17"/>
  <c r="AY17"/>
  <c r="AH17"/>
  <c r="BD17"/>
  <c r="AM17"/>
  <c r="F73" i="20"/>
  <c r="E184" i="5"/>
  <c r="C45" i="3" s="1"/>
  <c r="B86" i="5"/>
  <c r="G183"/>
  <c r="E44" i="3" s="1"/>
  <c r="H183" i="5"/>
  <c r="F44" i="3" s="1"/>
  <c r="AX18" i="28"/>
  <c r="AG18"/>
  <c r="AO17"/>
  <c r="AO13"/>
  <c r="Y71" i="20"/>
  <c r="Y108" s="1"/>
  <c r="AH15" i="28"/>
  <c r="AY15"/>
  <c r="AH21"/>
  <c r="AY21"/>
  <c r="AO21"/>
  <c r="AJ21"/>
  <c r="BB20"/>
  <c r="AT20"/>
  <c r="BB15"/>
  <c r="AT15"/>
  <c r="AK15"/>
  <c r="A5"/>
  <c r="P73" i="19"/>
  <c r="Y73" i="20"/>
  <c r="M181" i="5"/>
  <c r="K42" i="3" s="1"/>
  <c r="AW15" i="28"/>
  <c r="AN15"/>
  <c r="J182" i="5"/>
  <c r="H43" i="3" s="1"/>
  <c r="A4" i="28"/>
  <c r="I28" i="27"/>
  <c r="S28"/>
  <c r="O47" i="20"/>
  <c r="A37"/>
  <c r="K28" i="27"/>
  <c r="C37" i="20"/>
  <c r="G21" s="1"/>
  <c r="G24" s="1"/>
  <c r="A27" i="27"/>
  <c r="M28" i="25"/>
  <c r="D47" i="17"/>
  <c r="K181" i="5"/>
  <c r="I42" i="3" s="1"/>
  <c r="A19" i="25"/>
  <c r="A27"/>
  <c r="L28"/>
  <c r="N47" i="20"/>
  <c r="U28" i="25"/>
  <c r="G47" i="20"/>
  <c r="W47"/>
  <c r="T28" i="25"/>
  <c r="F47" i="20"/>
  <c r="V47"/>
  <c r="A37" i="19"/>
  <c r="H47" i="17"/>
  <c r="P47"/>
  <c r="A37"/>
  <c r="Q181" i="5"/>
  <c r="O42" i="3" s="1"/>
  <c r="H181" i="5"/>
  <c r="F42" i="3" s="1"/>
  <c r="Q28" i="25"/>
  <c r="J28" i="27"/>
  <c r="R28"/>
  <c r="G47" i="17"/>
  <c r="O47"/>
  <c r="W47"/>
  <c r="K47" i="20"/>
  <c r="S47"/>
  <c r="H28" i="25"/>
  <c r="G28" i="27"/>
  <c r="A21"/>
  <c r="P28" i="25"/>
  <c r="X28"/>
  <c r="O28" i="27"/>
  <c r="W28"/>
  <c r="L47" i="17"/>
  <c r="T47"/>
  <c r="J47" i="20"/>
  <c r="R47"/>
  <c r="F28" i="25"/>
  <c r="A42" i="17"/>
  <c r="E28" i="27"/>
  <c r="I97"/>
  <c r="C45" i="23"/>
  <c r="J45" s="1"/>
  <c r="E125" i="1" s="1"/>
  <c r="G75" i="5" s="1"/>
  <c r="C50" i="23"/>
  <c r="J50" s="1"/>
  <c r="E130" i="1" s="1"/>
  <c r="G80" i="5" s="1"/>
  <c r="O181"/>
  <c r="M42" i="3" s="1"/>
  <c r="E89" i="27"/>
  <c r="Q93"/>
  <c r="E180" i="5"/>
  <c r="C41" i="3" s="1"/>
  <c r="N28" i="27"/>
  <c r="V28"/>
  <c r="K47" i="17"/>
  <c r="S47"/>
  <c r="E47" i="19"/>
  <c r="I47"/>
  <c r="M47"/>
  <c r="Q47"/>
  <c r="U47"/>
  <c r="H47"/>
  <c r="L47"/>
  <c r="P47"/>
  <c r="T47"/>
  <c r="X47"/>
  <c r="F47"/>
  <c r="J47"/>
  <c r="N47"/>
  <c r="R47"/>
  <c r="V47"/>
  <c r="C37"/>
  <c r="L21" s="1"/>
  <c r="A42"/>
  <c r="D47"/>
  <c r="G47"/>
  <c r="K47"/>
  <c r="O47"/>
  <c r="S47"/>
  <c r="H47" i="20"/>
  <c r="L47"/>
  <c r="P47"/>
  <c r="T47"/>
  <c r="X47"/>
  <c r="A42"/>
  <c r="E47"/>
  <c r="I47"/>
  <c r="M47"/>
  <c r="Q47"/>
  <c r="E47" i="17"/>
  <c r="I47"/>
  <c r="M47"/>
  <c r="Q47"/>
  <c r="U47"/>
  <c r="C37"/>
  <c r="I21" s="1"/>
  <c r="F47"/>
  <c r="J47"/>
  <c r="N47"/>
  <c r="R47"/>
  <c r="V47"/>
  <c r="O97" i="27"/>
  <c r="M28"/>
  <c r="Q28"/>
  <c r="U28"/>
  <c r="L28"/>
  <c r="P28"/>
  <c r="T28"/>
  <c r="X28"/>
  <c r="H28"/>
  <c r="L28" i="26"/>
  <c r="P28"/>
  <c r="T28"/>
  <c r="X28"/>
  <c r="I28"/>
  <c r="G28"/>
  <c r="E28"/>
  <c r="A19"/>
  <c r="A27"/>
  <c r="K28"/>
  <c r="O28"/>
  <c r="S28"/>
  <c r="W28"/>
  <c r="J28"/>
  <c r="N28"/>
  <c r="R28"/>
  <c r="V28"/>
  <c r="H28"/>
  <c r="F28"/>
  <c r="M28"/>
  <c r="Q28"/>
  <c r="J28" i="25"/>
  <c r="N28"/>
  <c r="R28"/>
  <c r="V28"/>
  <c r="K28"/>
  <c r="O28"/>
  <c r="S28"/>
  <c r="W28"/>
  <c r="I28"/>
  <c r="G28"/>
  <c r="I90" i="27"/>
  <c r="J180" i="5"/>
  <c r="H41" i="3" s="1"/>
  <c r="C48" i="23"/>
  <c r="J48" s="1"/>
  <c r="E128" i="1" s="1"/>
  <c r="G78" i="5" s="1"/>
  <c r="C42" i="23"/>
  <c r="J42" s="1"/>
  <c r="E122" i="1" s="1"/>
  <c r="G72" i="5" s="1"/>
  <c r="C43" i="23"/>
  <c r="J43" s="1"/>
  <c r="E123" i="1" s="1"/>
  <c r="G73" i="5" s="1"/>
  <c r="H182"/>
  <c r="F43" i="3" s="1"/>
  <c r="E182" i="5"/>
  <c r="C43" i="3" s="1"/>
  <c r="Q94" i="27"/>
  <c r="C44" i="23"/>
  <c r="J44" s="1"/>
  <c r="E124" i="1" s="1"/>
  <c r="G74" i="5" s="1"/>
  <c r="C46" i="23"/>
  <c r="J46" s="1"/>
  <c r="E126" i="1" s="1"/>
  <c r="G76" i="5" s="1"/>
  <c r="J179"/>
  <c r="H40" i="3" s="1"/>
  <c r="T95" i="27"/>
  <c r="U75" i="20"/>
  <c r="X79" i="19"/>
  <c r="F75" i="20"/>
  <c r="O75"/>
  <c r="N75"/>
  <c r="M78" i="17"/>
  <c r="E75" i="20"/>
  <c r="R97" i="27"/>
  <c r="K79" i="19"/>
  <c r="I79"/>
  <c r="Q79"/>
  <c r="E79"/>
  <c r="R76" i="17"/>
  <c r="V75"/>
  <c r="V112" s="1"/>
  <c r="T77"/>
  <c r="E76"/>
  <c r="L76"/>
  <c r="H73"/>
  <c r="O73"/>
  <c r="J73"/>
  <c r="O75"/>
  <c r="T71"/>
  <c r="T108" s="1"/>
  <c r="F76"/>
  <c r="I71"/>
  <c r="I108" s="1"/>
  <c r="M73"/>
  <c r="F73"/>
  <c r="U71"/>
  <c r="U108" s="1"/>
  <c r="U72"/>
  <c r="O76" i="19"/>
  <c r="T75"/>
  <c r="T112" s="1"/>
  <c r="W72"/>
  <c r="G72"/>
  <c r="L71"/>
  <c r="P78"/>
  <c r="P116" s="1"/>
  <c r="S75"/>
  <c r="X74"/>
  <c r="H74"/>
  <c r="K71"/>
  <c r="K108" s="1"/>
  <c r="P70"/>
  <c r="P77"/>
  <c r="O74"/>
  <c r="L72"/>
  <c r="V70"/>
  <c r="K69"/>
  <c r="K106" s="1"/>
  <c r="U73"/>
  <c r="U74"/>
  <c r="Q73"/>
  <c r="Q78"/>
  <c r="M75"/>
  <c r="I75"/>
  <c r="I113" s="1"/>
  <c r="I70"/>
  <c r="S73"/>
  <c r="O77"/>
  <c r="Y69"/>
  <c r="Y106" s="1"/>
  <c r="Y77"/>
  <c r="H76"/>
  <c r="K77"/>
  <c r="E74"/>
  <c r="E111" s="1"/>
  <c r="E150" s="1"/>
  <c r="O78"/>
  <c r="S74"/>
  <c r="S111" s="1"/>
  <c r="M72"/>
  <c r="W70"/>
  <c r="W108" s="1"/>
  <c r="V72"/>
  <c r="V73"/>
  <c r="R76"/>
  <c r="R77"/>
  <c r="N78"/>
  <c r="J78"/>
  <c r="J116" s="1"/>
  <c r="J69"/>
  <c r="J106" s="1"/>
  <c r="F72"/>
  <c r="F73"/>
  <c r="K74"/>
  <c r="S70"/>
  <c r="U71"/>
  <c r="F71"/>
  <c r="H77"/>
  <c r="H114" s="1"/>
  <c r="H72"/>
  <c r="G69"/>
  <c r="G106" s="1"/>
  <c r="W74"/>
  <c r="G78"/>
  <c r="P69"/>
  <c r="W78"/>
  <c r="H19" i="28"/>
  <c r="L73" i="20"/>
  <c r="M72"/>
  <c r="X72"/>
  <c r="X110" s="1"/>
  <c r="H72"/>
  <c r="H110" s="1"/>
  <c r="I71"/>
  <c r="I108" s="1"/>
  <c r="J73"/>
  <c r="N73"/>
  <c r="H71"/>
  <c r="H108" s="1"/>
  <c r="Q74"/>
  <c r="K71"/>
  <c r="K108" s="1"/>
  <c r="R73"/>
  <c r="R110" s="1"/>
  <c r="V71"/>
  <c r="V108" s="1"/>
  <c r="N72"/>
  <c r="J74"/>
  <c r="Q73"/>
  <c r="F74"/>
  <c r="P74"/>
  <c r="W74"/>
  <c r="O71"/>
  <c r="O108" s="1"/>
  <c r="G71"/>
  <c r="H15" i="28"/>
  <c r="Y78" i="25"/>
  <c r="Y75"/>
  <c r="Y82"/>
  <c r="Y80"/>
  <c r="T77"/>
  <c r="T59"/>
  <c r="T78"/>
  <c r="H63"/>
  <c r="H81"/>
  <c r="H119" s="1"/>
  <c r="H75"/>
  <c r="E61"/>
  <c r="E67"/>
  <c r="E65"/>
  <c r="I68"/>
  <c r="I71"/>
  <c r="I80"/>
  <c r="F58"/>
  <c r="F63"/>
  <c r="F82"/>
  <c r="F68"/>
  <c r="F106" s="1"/>
  <c r="K75"/>
  <c r="K73"/>
  <c r="K66"/>
  <c r="N67"/>
  <c r="N75"/>
  <c r="N72"/>
  <c r="V78"/>
  <c r="V58"/>
  <c r="V62"/>
  <c r="J58"/>
  <c r="J81"/>
  <c r="J68"/>
  <c r="P71"/>
  <c r="P70"/>
  <c r="P67"/>
  <c r="P105" s="1"/>
  <c r="R75"/>
  <c r="R70"/>
  <c r="R62"/>
  <c r="R82"/>
  <c r="Q73"/>
  <c r="Q74"/>
  <c r="Q75"/>
  <c r="X78"/>
  <c r="X73"/>
  <c r="X61"/>
  <c r="U75"/>
  <c r="U70"/>
  <c r="U69"/>
  <c r="M68"/>
  <c r="M59"/>
  <c r="M61"/>
  <c r="W68"/>
  <c r="W81"/>
  <c r="W119" s="1"/>
  <c r="W64"/>
  <c r="G77"/>
  <c r="G58"/>
  <c r="G81"/>
  <c r="G63"/>
  <c r="G101" s="1"/>
  <c r="L80"/>
  <c r="L58"/>
  <c r="O60"/>
  <c r="O68"/>
  <c r="S51" i="26"/>
  <c r="S88" s="1"/>
  <c r="W52"/>
  <c r="W89" s="1"/>
  <c r="U51"/>
  <c r="U88" s="1"/>
  <c r="G51"/>
  <c r="G88" s="1"/>
  <c r="S70" i="25"/>
  <c r="S108" s="1"/>
  <c r="S60"/>
  <c r="S57"/>
  <c r="H57"/>
  <c r="R52"/>
  <c r="V55"/>
  <c r="T52"/>
  <c r="V54"/>
  <c r="J54"/>
  <c r="F56"/>
  <c r="X51"/>
  <c r="X88" s="1"/>
  <c r="Y56"/>
  <c r="U51"/>
  <c r="U88" s="1"/>
  <c r="I54"/>
  <c r="Q52"/>
  <c r="Q89" s="1"/>
  <c r="F52"/>
  <c r="V75" i="20"/>
  <c r="W75"/>
  <c r="U79" i="19"/>
  <c r="N78" i="17"/>
  <c r="K75" i="20"/>
  <c r="L75"/>
  <c r="R75"/>
  <c r="H75"/>
  <c r="R78" i="17"/>
  <c r="Q75" i="20"/>
  <c r="R79" i="19"/>
  <c r="N79"/>
  <c r="O79"/>
  <c r="R75" i="17"/>
  <c r="V77"/>
  <c r="T75"/>
  <c r="Y76"/>
  <c r="P75"/>
  <c r="I73"/>
  <c r="W72"/>
  <c r="W110" s="1"/>
  <c r="E75"/>
  <c r="U74"/>
  <c r="Q72"/>
  <c r="Y74"/>
  <c r="Y111" s="1"/>
  <c r="Q77"/>
  <c r="T74"/>
  <c r="N76"/>
  <c r="Q73"/>
  <c r="I77"/>
  <c r="F75"/>
  <c r="Q71"/>
  <c r="Q108" s="1"/>
  <c r="G73"/>
  <c r="S76" i="19"/>
  <c r="X75"/>
  <c r="H75"/>
  <c r="K72"/>
  <c r="P71"/>
  <c r="T78"/>
  <c r="W75"/>
  <c r="G75"/>
  <c r="L74"/>
  <c r="O71"/>
  <c r="T70"/>
  <c r="K78"/>
  <c r="J75"/>
  <c r="T72"/>
  <c r="I71"/>
  <c r="S69"/>
  <c r="S106" s="1"/>
  <c r="U69"/>
  <c r="U106" s="1"/>
  <c r="U70"/>
  <c r="Q69"/>
  <c r="Q106" s="1"/>
  <c r="Q74"/>
  <c r="M77"/>
  <c r="M78"/>
  <c r="I77"/>
  <c r="K73"/>
  <c r="K110" s="1"/>
  <c r="X76"/>
  <c r="E69"/>
  <c r="E106" s="1"/>
  <c r="E145" s="1"/>
  <c r="E77"/>
  <c r="E75"/>
  <c r="G77"/>
  <c r="Y70"/>
  <c r="Y78"/>
  <c r="N75"/>
  <c r="U72"/>
  <c r="J71"/>
  <c r="T69"/>
  <c r="T106" s="1"/>
  <c r="V74"/>
  <c r="V69"/>
  <c r="V106" s="1"/>
  <c r="R72"/>
  <c r="R73"/>
  <c r="N76"/>
  <c r="N113" s="1"/>
  <c r="N77"/>
  <c r="J74"/>
  <c r="F74"/>
  <c r="F69"/>
  <c r="F106" s="1"/>
  <c r="V75"/>
  <c r="N71"/>
  <c r="L73"/>
  <c r="Q72"/>
  <c r="S78"/>
  <c r="S116" s="1"/>
  <c r="X72"/>
  <c r="W69"/>
  <c r="W106" s="1"/>
  <c r="X77"/>
  <c r="J70"/>
  <c r="V71"/>
  <c r="P73" i="20"/>
  <c r="Q72"/>
  <c r="L72"/>
  <c r="M71"/>
  <c r="M108" s="1"/>
  <c r="E74"/>
  <c r="T71"/>
  <c r="T108" s="1"/>
  <c r="I74"/>
  <c r="X71"/>
  <c r="X108" s="1"/>
  <c r="W72"/>
  <c r="P71"/>
  <c r="P108" s="1"/>
  <c r="M74"/>
  <c r="V74"/>
  <c r="R71"/>
  <c r="R108" s="1"/>
  <c r="J72"/>
  <c r="I73"/>
  <c r="X74"/>
  <c r="H74"/>
  <c r="W73"/>
  <c r="S74"/>
  <c r="S112" s="1"/>
  <c r="G73"/>
  <c r="I91" i="27"/>
  <c r="Y66" i="25"/>
  <c r="Y79"/>
  <c r="Y81"/>
  <c r="Y67"/>
  <c r="T76"/>
  <c r="T64"/>
  <c r="T63"/>
  <c r="H68"/>
  <c r="H60"/>
  <c r="H58"/>
  <c r="E60"/>
  <c r="E59"/>
  <c r="E78"/>
  <c r="E82"/>
  <c r="I58"/>
  <c r="I65"/>
  <c r="I82"/>
  <c r="F60"/>
  <c r="F78"/>
  <c r="F64"/>
  <c r="K63"/>
  <c r="K59"/>
  <c r="K80"/>
  <c r="K118" s="1"/>
  <c r="N73"/>
  <c r="N71"/>
  <c r="N109" s="1"/>
  <c r="N65"/>
  <c r="V64"/>
  <c r="V68"/>
  <c r="V79"/>
  <c r="J59"/>
  <c r="J72"/>
  <c r="J74"/>
  <c r="P75"/>
  <c r="P63"/>
  <c r="P80"/>
  <c r="R73"/>
  <c r="R77"/>
  <c r="R115" s="1"/>
  <c r="R81"/>
  <c r="R60"/>
  <c r="Q58"/>
  <c r="Q78"/>
  <c r="Q59"/>
  <c r="X66"/>
  <c r="X62"/>
  <c r="X77"/>
  <c r="U66"/>
  <c r="U82"/>
  <c r="U76"/>
  <c r="M72"/>
  <c r="M109" s="1"/>
  <c r="M60"/>
  <c r="M76"/>
  <c r="W79"/>
  <c r="W62"/>
  <c r="W78"/>
  <c r="W58"/>
  <c r="G67"/>
  <c r="G72"/>
  <c r="G59"/>
  <c r="L79"/>
  <c r="L71"/>
  <c r="O70"/>
  <c r="O76"/>
  <c r="O73"/>
  <c r="S66"/>
  <c r="S59"/>
  <c r="S77"/>
  <c r="W57"/>
  <c r="G53"/>
  <c r="G54"/>
  <c r="Q56"/>
  <c r="X52"/>
  <c r="L55"/>
  <c r="N57"/>
  <c r="I57"/>
  <c r="E53"/>
  <c r="J51"/>
  <c r="J88" s="1"/>
  <c r="M54"/>
  <c r="M57"/>
  <c r="P51"/>
  <c r="P88" s="1"/>
  <c r="G76" i="19"/>
  <c r="L75"/>
  <c r="O72"/>
  <c r="T71"/>
  <c r="X78"/>
  <c r="H78"/>
  <c r="H116" s="1"/>
  <c r="K75"/>
  <c r="P74"/>
  <c r="S71"/>
  <c r="X70"/>
  <c r="H70"/>
  <c r="E76"/>
  <c r="G73"/>
  <c r="Q71"/>
  <c r="F70"/>
  <c r="U75"/>
  <c r="Q75"/>
  <c r="Q70"/>
  <c r="M73"/>
  <c r="M74"/>
  <c r="I73"/>
  <c r="I111" s="1"/>
  <c r="I78"/>
  <c r="L76"/>
  <c r="Y73"/>
  <c r="W73"/>
  <c r="T76"/>
  <c r="T114" s="1"/>
  <c r="E70"/>
  <c r="E78"/>
  <c r="Y76"/>
  <c r="H73"/>
  <c r="R71"/>
  <c r="G70"/>
  <c r="V78"/>
  <c r="R78"/>
  <c r="R69"/>
  <c r="R106" s="1"/>
  <c r="N72"/>
  <c r="N73"/>
  <c r="J76"/>
  <c r="J77"/>
  <c r="F78"/>
  <c r="L77"/>
  <c r="I72"/>
  <c r="H69"/>
  <c r="H106" s="1"/>
  <c r="Q76"/>
  <c r="G74"/>
  <c r="R70"/>
  <c r="E71"/>
  <c r="E108" s="1"/>
  <c r="E147" s="1"/>
  <c r="T73" i="20"/>
  <c r="T110" s="1"/>
  <c r="U72"/>
  <c r="E72"/>
  <c r="P72"/>
  <c r="Q71"/>
  <c r="Q108" s="1"/>
  <c r="U74"/>
  <c r="Y74"/>
  <c r="K72"/>
  <c r="K74"/>
  <c r="L71"/>
  <c r="L108" s="1"/>
  <c r="V72"/>
  <c r="R74"/>
  <c r="N71"/>
  <c r="N108" s="1"/>
  <c r="F72"/>
  <c r="T74"/>
  <c r="T112" s="1"/>
  <c r="U73"/>
  <c r="W71"/>
  <c r="W108" s="1"/>
  <c r="S73"/>
  <c r="O74"/>
  <c r="T65" i="25"/>
  <c r="T58"/>
  <c r="T70"/>
  <c r="T108" s="1"/>
  <c r="H74"/>
  <c r="H111" s="1"/>
  <c r="H70"/>
  <c r="H62"/>
  <c r="E64"/>
  <c r="E69"/>
  <c r="E107" s="1"/>
  <c r="E74"/>
  <c r="I81"/>
  <c r="I118" s="1"/>
  <c r="I78"/>
  <c r="I73"/>
  <c r="F80"/>
  <c r="F76"/>
  <c r="F74"/>
  <c r="K76"/>
  <c r="K68"/>
  <c r="K74"/>
  <c r="N77"/>
  <c r="N114" s="1"/>
  <c r="N78"/>
  <c r="N60"/>
  <c r="V63"/>
  <c r="V66"/>
  <c r="V73"/>
  <c r="V70"/>
  <c r="J82"/>
  <c r="J75"/>
  <c r="J79"/>
  <c r="P74"/>
  <c r="P66"/>
  <c r="P81"/>
  <c r="R72"/>
  <c r="R69"/>
  <c r="R65"/>
  <c r="Q79"/>
  <c r="Q65"/>
  <c r="Q102" s="1"/>
  <c r="Q67"/>
  <c r="Q105" s="1"/>
  <c r="X81"/>
  <c r="X74"/>
  <c r="X67"/>
  <c r="X75"/>
  <c r="U72"/>
  <c r="U67"/>
  <c r="U80"/>
  <c r="M64"/>
  <c r="M102" s="1"/>
  <c r="M75"/>
  <c r="M79"/>
  <c r="W60"/>
  <c r="W73"/>
  <c r="W67"/>
  <c r="G75"/>
  <c r="G66"/>
  <c r="G69"/>
  <c r="L74"/>
  <c r="L82"/>
  <c r="L67"/>
  <c r="O69"/>
  <c r="O62"/>
  <c r="S76"/>
  <c r="S58"/>
  <c r="S56"/>
  <c r="K53"/>
  <c r="K91" s="1"/>
  <c r="J55"/>
  <c r="R51"/>
  <c r="R88" s="1"/>
  <c r="E52"/>
  <c r="P55"/>
  <c r="R53"/>
  <c r="Q57"/>
  <c r="H54"/>
  <c r="H53"/>
  <c r="M55"/>
  <c r="W52"/>
  <c r="K52"/>
  <c r="J56"/>
  <c r="F51"/>
  <c r="F88" s="1"/>
  <c r="R56"/>
  <c r="R93" s="1"/>
  <c r="K51"/>
  <c r="K88" s="1"/>
  <c r="W55"/>
  <c r="Y54"/>
  <c r="E55"/>
  <c r="I55"/>
  <c r="M51"/>
  <c r="M88" s="1"/>
  <c r="U54"/>
  <c r="O51"/>
  <c r="O88" s="1"/>
  <c r="X53"/>
  <c r="L57"/>
  <c r="H51"/>
  <c r="H88" s="1"/>
  <c r="I52"/>
  <c r="M53"/>
  <c r="X54"/>
  <c r="N56"/>
  <c r="Y57"/>
  <c r="J57"/>
  <c r="N53"/>
  <c r="R54"/>
  <c r="R92" s="1"/>
  <c r="H55"/>
  <c r="L56"/>
  <c r="P52"/>
  <c r="X55"/>
  <c r="J52"/>
  <c r="F55"/>
  <c r="G51"/>
  <c r="G88" s="1"/>
  <c r="W51"/>
  <c r="W88" s="1"/>
  <c r="Y52"/>
  <c r="O54"/>
  <c r="E56"/>
  <c r="P57"/>
  <c r="P94" s="1"/>
  <c r="O53"/>
  <c r="K57"/>
  <c r="G56"/>
  <c r="W56"/>
  <c r="S79"/>
  <c r="S80"/>
  <c r="S74"/>
  <c r="S69"/>
  <c r="S82"/>
  <c r="S61"/>
  <c r="O66"/>
  <c r="O79"/>
  <c r="O117" s="1"/>
  <c r="O63"/>
  <c r="O78"/>
  <c r="O77"/>
  <c r="O65"/>
  <c r="O74"/>
  <c r="L76"/>
  <c r="L70"/>
  <c r="L66"/>
  <c r="L64"/>
  <c r="L59"/>
  <c r="L63"/>
  <c r="G73"/>
  <c r="G71"/>
  <c r="G61"/>
  <c r="G80"/>
  <c r="G70"/>
  <c r="G62"/>
  <c r="W72"/>
  <c r="W76"/>
  <c r="W113" s="1"/>
  <c r="W80"/>
  <c r="W117" s="1"/>
  <c r="W63"/>
  <c r="W71"/>
  <c r="W61"/>
  <c r="M81"/>
  <c r="M82"/>
  <c r="M62"/>
  <c r="M78"/>
  <c r="M74"/>
  <c r="M73"/>
  <c r="M77"/>
  <c r="U71"/>
  <c r="U64"/>
  <c r="U101" s="1"/>
  <c r="U65"/>
  <c r="U73"/>
  <c r="U68"/>
  <c r="U79"/>
  <c r="X59"/>
  <c r="X71"/>
  <c r="X108" s="1"/>
  <c r="X58"/>
  <c r="X76"/>
  <c r="X68"/>
  <c r="X72"/>
  <c r="X109" s="1"/>
  <c r="Q81"/>
  <c r="Q69"/>
  <c r="Q106" s="1"/>
  <c r="Q61"/>
  <c r="Q76"/>
  <c r="Q70"/>
  <c r="Q77"/>
  <c r="Q71"/>
  <c r="R71"/>
  <c r="R59"/>
  <c r="R96" s="1"/>
  <c r="R66"/>
  <c r="R67"/>
  <c r="R64"/>
  <c r="P61"/>
  <c r="P72"/>
  <c r="P109" s="1"/>
  <c r="P65"/>
  <c r="P76"/>
  <c r="P73"/>
  <c r="P69"/>
  <c r="P107" s="1"/>
  <c r="P77"/>
  <c r="J66"/>
  <c r="J71"/>
  <c r="J62"/>
  <c r="J73"/>
  <c r="J76"/>
  <c r="J80"/>
  <c r="V65"/>
  <c r="V67"/>
  <c r="V72"/>
  <c r="V80"/>
  <c r="V71"/>
  <c r="V81"/>
  <c r="N74"/>
  <c r="N82"/>
  <c r="N62"/>
  <c r="N61"/>
  <c r="N69"/>
  <c r="N70"/>
  <c r="K67"/>
  <c r="K71"/>
  <c r="K108" s="1"/>
  <c r="K60"/>
  <c r="K79"/>
  <c r="K58"/>
  <c r="K78"/>
  <c r="K82"/>
  <c r="K119" s="1"/>
  <c r="F81"/>
  <c r="F71"/>
  <c r="F77"/>
  <c r="F61"/>
  <c r="F79"/>
  <c r="F70"/>
  <c r="F107" s="1"/>
  <c r="F59"/>
  <c r="I70"/>
  <c r="I72"/>
  <c r="I75"/>
  <c r="I79"/>
  <c r="I59"/>
  <c r="I76"/>
  <c r="E81"/>
  <c r="E62"/>
  <c r="E66"/>
  <c r="E68"/>
  <c r="E77"/>
  <c r="E80"/>
  <c r="H76"/>
  <c r="H67"/>
  <c r="H104" s="1"/>
  <c r="H59"/>
  <c r="H71"/>
  <c r="H61"/>
  <c r="H72"/>
  <c r="H65"/>
  <c r="H103" s="1"/>
  <c r="T66"/>
  <c r="T60"/>
  <c r="T80"/>
  <c r="T117" s="1"/>
  <c r="T74"/>
  <c r="T73"/>
  <c r="T69"/>
  <c r="T81"/>
  <c r="Y63"/>
  <c r="Y74"/>
  <c r="Y72"/>
  <c r="T54"/>
  <c r="Y53"/>
  <c r="G55"/>
  <c r="E57"/>
  <c r="L54"/>
  <c r="E54"/>
  <c r="Y51"/>
  <c r="I51"/>
  <c r="I88" s="1"/>
  <c r="Q54"/>
  <c r="U55"/>
  <c r="U92" s="1"/>
  <c r="T51"/>
  <c r="T88" s="1"/>
  <c r="S54"/>
  <c r="T57"/>
  <c r="N51"/>
  <c r="N88" s="1"/>
  <c r="N52"/>
  <c r="U53"/>
  <c r="K55"/>
  <c r="K92" s="1"/>
  <c r="V56"/>
  <c r="F57"/>
  <c r="J53"/>
  <c r="N54"/>
  <c r="N91" s="1"/>
  <c r="V57"/>
  <c r="H56"/>
  <c r="H93" s="1"/>
  <c r="L52"/>
  <c r="T55"/>
  <c r="X56"/>
  <c r="U52"/>
  <c r="N55"/>
  <c r="L51"/>
  <c r="L88" s="1"/>
  <c r="G52"/>
  <c r="G90" s="1"/>
  <c r="L53"/>
  <c r="W54"/>
  <c r="M56"/>
  <c r="X57"/>
  <c r="S53"/>
  <c r="O57"/>
  <c r="K56"/>
  <c r="S67"/>
  <c r="S104" s="1"/>
  <c r="S68"/>
  <c r="S65"/>
  <c r="S63"/>
  <c r="S62"/>
  <c r="S78"/>
  <c r="S75"/>
  <c r="O75"/>
  <c r="O72"/>
  <c r="O58"/>
  <c r="O81"/>
  <c r="O64"/>
  <c r="O71"/>
  <c r="L62"/>
  <c r="L60"/>
  <c r="L97" s="1"/>
  <c r="L68"/>
  <c r="L72"/>
  <c r="L61"/>
  <c r="L73"/>
  <c r="L65"/>
  <c r="G76"/>
  <c r="G60"/>
  <c r="G78"/>
  <c r="G116" s="1"/>
  <c r="G65"/>
  <c r="G102" s="1"/>
  <c r="G74"/>
  <c r="G111" s="1"/>
  <c r="G68"/>
  <c r="W74"/>
  <c r="W112" s="1"/>
  <c r="W69"/>
  <c r="W65"/>
  <c r="W102" s="1"/>
  <c r="W70"/>
  <c r="W77"/>
  <c r="W66"/>
  <c r="M66"/>
  <c r="M58"/>
  <c r="M67"/>
  <c r="M80"/>
  <c r="M69"/>
  <c r="M107" s="1"/>
  <c r="M63"/>
  <c r="U78"/>
  <c r="U59"/>
  <c r="U77"/>
  <c r="U74"/>
  <c r="U62"/>
  <c r="U100" s="1"/>
  <c r="U61"/>
  <c r="U81"/>
  <c r="X64"/>
  <c r="X69"/>
  <c r="X79"/>
  <c r="X65"/>
  <c r="X60"/>
  <c r="X97" s="1"/>
  <c r="Q66"/>
  <c r="Q82"/>
  <c r="Q119" s="1"/>
  <c r="Q62"/>
  <c r="Q63"/>
  <c r="Q72"/>
  <c r="Q80"/>
  <c r="R76"/>
  <c r="R79"/>
  <c r="R116" s="1"/>
  <c r="R80"/>
  <c r="R74"/>
  <c r="R68"/>
  <c r="R63"/>
  <c r="P82"/>
  <c r="P60"/>
  <c r="P62"/>
  <c r="P79"/>
  <c r="P64"/>
  <c r="P78"/>
  <c r="J77"/>
  <c r="J63"/>
  <c r="J101" s="1"/>
  <c r="J67"/>
  <c r="J60"/>
  <c r="J70"/>
  <c r="J107" s="1"/>
  <c r="J61"/>
  <c r="J78"/>
  <c r="V82"/>
  <c r="V75"/>
  <c r="V113" s="1"/>
  <c r="V61"/>
  <c r="V69"/>
  <c r="V77"/>
  <c r="V114" s="1"/>
  <c r="V74"/>
  <c r="N81"/>
  <c r="N118" s="1"/>
  <c r="N63"/>
  <c r="N59"/>
  <c r="N64"/>
  <c r="N58"/>
  <c r="N79"/>
  <c r="N117" s="1"/>
  <c r="K77"/>
  <c r="K65"/>
  <c r="K102" s="1"/>
  <c r="K61"/>
  <c r="K72"/>
  <c r="K69"/>
  <c r="K107" s="1"/>
  <c r="K62"/>
  <c r="F72"/>
  <c r="F65"/>
  <c r="F73"/>
  <c r="F75"/>
  <c r="F67"/>
  <c r="I61"/>
  <c r="I74"/>
  <c r="I62"/>
  <c r="I64"/>
  <c r="I101" s="1"/>
  <c r="I77"/>
  <c r="I69"/>
  <c r="I67"/>
  <c r="E73"/>
  <c r="E72"/>
  <c r="E58"/>
  <c r="E75"/>
  <c r="E79"/>
  <c r="E71"/>
  <c r="E108" s="1"/>
  <c r="H69"/>
  <c r="H80"/>
  <c r="H64"/>
  <c r="H79"/>
  <c r="H77"/>
  <c r="H78"/>
  <c r="T75"/>
  <c r="T61"/>
  <c r="T98" s="1"/>
  <c r="T62"/>
  <c r="T72"/>
  <c r="T109" s="1"/>
  <c r="T68"/>
  <c r="T105" s="1"/>
  <c r="T82"/>
  <c r="Y65"/>
  <c r="Y76"/>
  <c r="Y58"/>
  <c r="Y73"/>
  <c r="Y68"/>
  <c r="Y60"/>
  <c r="L97" i="27"/>
  <c r="X78" i="17"/>
  <c r="V78"/>
  <c r="X60" i="27"/>
  <c r="G78" i="17"/>
  <c r="S60" i="27"/>
  <c r="N60"/>
  <c r="J78" i="17"/>
  <c r="L78"/>
  <c r="Q60" i="27"/>
  <c r="V76" i="17"/>
  <c r="U75"/>
  <c r="X77"/>
  <c r="W77"/>
  <c r="W114" s="1"/>
  <c r="Y77"/>
  <c r="P74"/>
  <c r="P77"/>
  <c r="I72"/>
  <c r="I74"/>
  <c r="X74"/>
  <c r="S74"/>
  <c r="S111" s="1"/>
  <c r="Q74"/>
  <c r="P76"/>
  <c r="R71"/>
  <c r="R108" s="1"/>
  <c r="K76"/>
  <c r="H77"/>
  <c r="L73"/>
  <c r="E77"/>
  <c r="E115" s="1"/>
  <c r="E154" s="1"/>
  <c r="Y71"/>
  <c r="Y108" s="1"/>
  <c r="G72"/>
  <c r="I75"/>
  <c r="I112" s="1"/>
  <c r="H72"/>
  <c r="F77"/>
  <c r="T73"/>
  <c r="L71"/>
  <c r="L108" s="1"/>
  <c r="P72"/>
  <c r="P109" s="1"/>
  <c r="M74"/>
  <c r="X73"/>
  <c r="G76"/>
  <c r="G114" s="1"/>
  <c r="N108"/>
  <c r="R72"/>
  <c r="R73"/>
  <c r="L77"/>
  <c r="P73"/>
  <c r="P111" s="1"/>
  <c r="L74"/>
  <c r="V73"/>
  <c r="M75"/>
  <c r="L72"/>
  <c r="H8" i="28"/>
  <c r="Y58" i="27"/>
  <c r="Y59"/>
  <c r="I57"/>
  <c r="I94" s="1"/>
  <c r="I51"/>
  <c r="I88" s="1"/>
  <c r="E56"/>
  <c r="L51"/>
  <c r="L88" s="1"/>
  <c r="L54"/>
  <c r="L92" s="1"/>
  <c r="Q53"/>
  <c r="Q90" s="1"/>
  <c r="U53"/>
  <c r="U91" s="1"/>
  <c r="M58"/>
  <c r="M54"/>
  <c r="M91" s="1"/>
  <c r="V59"/>
  <c r="V58"/>
  <c r="V95" s="1"/>
  <c r="P56"/>
  <c r="O53"/>
  <c r="O90" s="1"/>
  <c r="W59"/>
  <c r="W97" s="1"/>
  <c r="G51"/>
  <c r="G88" s="1"/>
  <c r="R53"/>
  <c r="R57"/>
  <c r="X54"/>
  <c r="X91" s="1"/>
  <c r="S58"/>
  <c r="S95" s="1"/>
  <c r="K51"/>
  <c r="K88" s="1"/>
  <c r="H55"/>
  <c r="N53"/>
  <c r="N90" s="1"/>
  <c r="J56"/>
  <c r="T52"/>
  <c r="H5" i="28"/>
  <c r="F58" i="27"/>
  <c r="F56"/>
  <c r="F93" s="1"/>
  <c r="T59"/>
  <c r="T96" s="1"/>
  <c r="T55"/>
  <c r="T53"/>
  <c r="J53"/>
  <c r="J91" s="1"/>
  <c r="J58"/>
  <c r="N54"/>
  <c r="N56"/>
  <c r="H53"/>
  <c r="H58"/>
  <c r="H96" s="1"/>
  <c r="K52"/>
  <c r="K90" s="1"/>
  <c r="K57"/>
  <c r="K95" s="1"/>
  <c r="K59"/>
  <c r="K96" s="1"/>
  <c r="S59"/>
  <c r="S55"/>
  <c r="X59"/>
  <c r="X55"/>
  <c r="R58"/>
  <c r="R96" s="1"/>
  <c r="R56"/>
  <c r="R55"/>
  <c r="G58"/>
  <c r="G57"/>
  <c r="W53"/>
  <c r="W52"/>
  <c r="O56"/>
  <c r="O54"/>
  <c r="P52"/>
  <c r="P57"/>
  <c r="P95" s="1"/>
  <c r="P59"/>
  <c r="P96" s="1"/>
  <c r="F54"/>
  <c r="F91" s="1"/>
  <c r="F59"/>
  <c r="F57"/>
  <c r="T54"/>
  <c r="T51"/>
  <c r="T88" s="1"/>
  <c r="J51"/>
  <c r="J88" s="1"/>
  <c r="J57"/>
  <c r="J59"/>
  <c r="N59"/>
  <c r="N58"/>
  <c r="H54"/>
  <c r="H51"/>
  <c r="H88" s="1"/>
  <c r="K54"/>
  <c r="K91" s="1"/>
  <c r="K56"/>
  <c r="S56"/>
  <c r="S94" s="1"/>
  <c r="S54"/>
  <c r="S53"/>
  <c r="S90" s="1"/>
  <c r="X52"/>
  <c r="X58"/>
  <c r="X95" s="1"/>
  <c r="R52"/>
  <c r="R54"/>
  <c r="G56"/>
  <c r="G55"/>
  <c r="G92" s="1"/>
  <c r="G52"/>
  <c r="G90" s="1"/>
  <c r="W54"/>
  <c r="W58"/>
  <c r="W95" s="1"/>
  <c r="O57"/>
  <c r="O51"/>
  <c r="O88" s="1"/>
  <c r="P55"/>
  <c r="P54"/>
  <c r="P53"/>
  <c r="V54"/>
  <c r="V91" s="1"/>
  <c r="V52"/>
  <c r="V89" s="1"/>
  <c r="M52"/>
  <c r="M89" s="1"/>
  <c r="M55"/>
  <c r="U51"/>
  <c r="U88" s="1"/>
  <c r="U57"/>
  <c r="U94" s="1"/>
  <c r="U59"/>
  <c r="U96" s="1"/>
  <c r="Q58"/>
  <c r="Q95" s="1"/>
  <c r="Q54"/>
  <c r="L57"/>
  <c r="L53"/>
  <c r="L56"/>
  <c r="L93" s="1"/>
  <c r="E53"/>
  <c r="E90" s="1"/>
  <c r="E54"/>
  <c r="U92"/>
  <c r="T78" i="17"/>
  <c r="W78"/>
  <c r="H78"/>
  <c r="S78"/>
  <c r="O78"/>
  <c r="J60" i="27"/>
  <c r="K78" i="17"/>
  <c r="K115" s="1"/>
  <c r="G60" i="27"/>
  <c r="T60"/>
  <c r="F60"/>
  <c r="V60"/>
  <c r="Y78" i="17"/>
  <c r="R77"/>
  <c r="S77"/>
  <c r="U76"/>
  <c r="X76"/>
  <c r="T76"/>
  <c r="Y75"/>
  <c r="J71"/>
  <c r="J108" s="1"/>
  <c r="O72"/>
  <c r="O109" s="1"/>
  <c r="Y72"/>
  <c r="J77"/>
  <c r="K73"/>
  <c r="I76"/>
  <c r="G75"/>
  <c r="X71"/>
  <c r="X108" s="1"/>
  <c r="T72"/>
  <c r="J72"/>
  <c r="J110" s="1"/>
  <c r="K71"/>
  <c r="K108" s="1"/>
  <c r="G74"/>
  <c r="F71"/>
  <c r="F108" s="1"/>
  <c r="F147" s="1"/>
  <c r="G147" s="1"/>
  <c r="H147" s="1"/>
  <c r="N72"/>
  <c r="N73"/>
  <c r="O77"/>
  <c r="O114" s="1"/>
  <c r="X72"/>
  <c r="E73"/>
  <c r="E110" s="1"/>
  <c r="J75"/>
  <c r="S72"/>
  <c r="F74"/>
  <c r="N77"/>
  <c r="N75"/>
  <c r="F72"/>
  <c r="J74"/>
  <c r="H74"/>
  <c r="H75"/>
  <c r="W71"/>
  <c r="W108" s="1"/>
  <c r="K74"/>
  <c r="K112" s="1"/>
  <c r="M77"/>
  <c r="M114" s="1"/>
  <c r="L75"/>
  <c r="H76"/>
  <c r="Y52" i="27"/>
  <c r="Y53"/>
  <c r="Y56"/>
  <c r="I55"/>
  <c r="I92" s="1"/>
  <c r="I58"/>
  <c r="E55"/>
  <c r="E57"/>
  <c r="E95" s="1"/>
  <c r="L58"/>
  <c r="L96" s="1"/>
  <c r="L52"/>
  <c r="Q51"/>
  <c r="Q88" s="1"/>
  <c r="Q59"/>
  <c r="U52"/>
  <c r="M59"/>
  <c r="M97" s="1"/>
  <c r="M57"/>
  <c r="M94" s="1"/>
  <c r="V56"/>
  <c r="V94" s="1"/>
  <c r="V55"/>
  <c r="P51"/>
  <c r="P88" s="1"/>
  <c r="O55"/>
  <c r="W51"/>
  <c r="W88" s="1"/>
  <c r="W55"/>
  <c r="W93" s="1"/>
  <c r="G59"/>
  <c r="R51"/>
  <c r="R88" s="1"/>
  <c r="X56"/>
  <c r="X94" s="1"/>
  <c r="S51"/>
  <c r="S88" s="1"/>
  <c r="K55"/>
  <c r="H52"/>
  <c r="N57"/>
  <c r="N55"/>
  <c r="J55"/>
  <c r="J92" s="1"/>
  <c r="T56"/>
  <c r="T94" s="1"/>
  <c r="F51"/>
  <c r="F88" s="1"/>
  <c r="L81" i="25"/>
  <c r="L78"/>
  <c r="O59"/>
  <c r="O67"/>
  <c r="O61"/>
  <c r="S81"/>
  <c r="S73"/>
  <c r="S110" s="1"/>
  <c r="S64"/>
  <c r="O56"/>
  <c r="W53"/>
  <c r="U56"/>
  <c r="T53"/>
  <c r="P53"/>
  <c r="P91" s="1"/>
  <c r="T56"/>
  <c r="H52"/>
  <c r="R57"/>
  <c r="R95" s="1"/>
  <c r="F53"/>
  <c r="S55"/>
  <c r="S52"/>
  <c r="O52"/>
  <c r="Q55"/>
  <c r="E51"/>
  <c r="E88" s="1"/>
  <c r="V51"/>
  <c r="V89" s="1"/>
  <c r="Q53"/>
  <c r="I53"/>
  <c r="T89" i="26"/>
  <c r="O21" i="19"/>
  <c r="H21"/>
  <c r="J21"/>
  <c r="E21"/>
  <c r="V88" i="26"/>
  <c r="O96" i="27"/>
  <c r="G91"/>
  <c r="F21" i="19"/>
  <c r="P113"/>
  <c r="N107"/>
  <c r="H21" i="17"/>
  <c r="E17" i="28"/>
  <c r="E13"/>
  <c r="E14"/>
  <c r="E16"/>
  <c r="H97" i="27"/>
  <c r="M116" i="19"/>
  <c r="N89" i="27"/>
  <c r="J102" i="25"/>
  <c r="K21" i="17"/>
  <c r="M21"/>
  <c r="N21"/>
  <c r="R21"/>
  <c r="J109" i="19"/>
  <c r="D15" i="23"/>
  <c r="D13"/>
  <c r="D14"/>
  <c r="M108" i="17"/>
  <c r="E15" i="23"/>
  <c r="D62" s="1"/>
  <c r="E13"/>
  <c r="D60" s="1"/>
  <c r="E14"/>
  <c r="D61" s="1"/>
  <c r="C57"/>
  <c r="J57" s="1"/>
  <c r="E137" i="1" s="1"/>
  <c r="G87" i="5" s="1"/>
  <c r="C53" i="23"/>
  <c r="J53" s="1"/>
  <c r="E133" i="1" s="1"/>
  <c r="G83" i="5" s="1"/>
  <c r="C56" i="23"/>
  <c r="J56" s="1"/>
  <c r="E136" i="1" s="1"/>
  <c r="G86" i="5" s="1"/>
  <c r="C59" i="23"/>
  <c r="J59" s="1"/>
  <c r="E139" i="1" s="1"/>
  <c r="G89" i="5" s="1"/>
  <c r="C51" i="23"/>
  <c r="J51" s="1"/>
  <c r="E131" i="1" s="1"/>
  <c r="G81" i="5" s="1"/>
  <c r="C58" i="23"/>
  <c r="J58" s="1"/>
  <c r="E138" i="1" s="1"/>
  <c r="G88" i="5" s="1"/>
  <c r="C54" i="23"/>
  <c r="J54" s="1"/>
  <c r="E134" i="1" s="1"/>
  <c r="G84" i="5" s="1"/>
  <c r="C52" i="23"/>
  <c r="J52" s="1"/>
  <c r="E132" i="1" s="1"/>
  <c r="G82" i="5" s="1"/>
  <c r="C55" i="23"/>
  <c r="J55" s="1"/>
  <c r="E135" i="1" s="1"/>
  <c r="G85" i="5" s="1"/>
  <c r="J184"/>
  <c r="H45" i="3" s="1"/>
  <c r="G108" i="20"/>
  <c r="M182" i="5"/>
  <c r="K43" i="3" s="1"/>
  <c r="K182" i="5"/>
  <c r="I43" i="3" s="1"/>
  <c r="G182" i="5"/>
  <c r="E43" i="3" s="1"/>
  <c r="Q182" i="5"/>
  <c r="O43" i="3" s="1"/>
  <c r="O182" i="5"/>
  <c r="M43" i="3" s="1"/>
  <c r="U93" i="27"/>
  <c r="X89" i="26"/>
  <c r="X88"/>
  <c r="W94" i="27"/>
  <c r="H94"/>
  <c r="Q88" i="25"/>
  <c r="E3" i="28"/>
  <c r="E4"/>
  <c r="J181" i="5"/>
  <c r="H42" i="3" s="1"/>
  <c r="E89" i="26"/>
  <c r="E96" i="27"/>
  <c r="E181" i="5"/>
  <c r="C42" i="3" s="1"/>
  <c r="E179" i="5"/>
  <c r="C40" i="3" s="1"/>
  <c r="E18" i="28"/>
  <c r="E19"/>
  <c r="H21" i="20"/>
  <c r="F90" i="27"/>
  <c r="E10" i="28"/>
  <c r="E8"/>
  <c r="E7"/>
  <c r="E21"/>
  <c r="E15"/>
  <c r="M110" i="20" l="1"/>
  <c r="W116" i="19"/>
  <c r="U115" i="17"/>
  <c r="L114" i="25"/>
  <c r="O110" i="19"/>
  <c r="M111" i="20"/>
  <c r="P109" i="19"/>
  <c r="S114"/>
  <c r="Q114" i="17"/>
  <c r="E112"/>
  <c r="E151" s="1"/>
  <c r="J110" i="19"/>
  <c r="O119" i="25"/>
  <c r="N106"/>
  <c r="O92"/>
  <c r="I111" i="17"/>
  <c r="N105" i="25"/>
  <c r="P112" i="20"/>
  <c r="L111"/>
  <c r="G116" i="19"/>
  <c r="S110"/>
  <c r="W114"/>
  <c r="O107"/>
  <c r="H109" i="20"/>
  <c r="Y110" i="17"/>
  <c r="O89" i="26"/>
  <c r="M90" i="25"/>
  <c r="V109" i="17"/>
  <c r="L112" i="25"/>
  <c r="G111" i="20"/>
  <c r="J111" i="19"/>
  <c r="T116"/>
  <c r="U111" i="17"/>
  <c r="R112"/>
  <c r="K114"/>
  <c r="W109" i="19"/>
  <c r="R89" i="26"/>
  <c r="F90" i="25"/>
  <c r="S109" i="17"/>
  <c r="M113"/>
  <c r="I106" i="25"/>
  <c r="U98"/>
  <c r="U96"/>
  <c r="F110" i="20"/>
  <c r="U109"/>
  <c r="L115" i="19"/>
  <c r="V115"/>
  <c r="Y113"/>
  <c r="W111"/>
  <c r="I103" i="25"/>
  <c r="H111" i="20"/>
  <c r="E111"/>
  <c r="E150" s="1"/>
  <c r="F112" i="19"/>
  <c r="U116"/>
  <c r="M110" i="17"/>
  <c r="F89" i="26"/>
  <c r="G115" i="17"/>
  <c r="U112" i="25"/>
  <c r="Q98"/>
  <c r="H108" i="19"/>
  <c r="I94" i="25"/>
  <c r="Q97"/>
  <c r="N103"/>
  <c r="I110" i="20"/>
  <c r="I112"/>
  <c r="I115" i="17"/>
  <c r="O111"/>
  <c r="Q114" i="19"/>
  <c r="P111"/>
  <c r="X112" i="20"/>
  <c r="X110" i="19"/>
  <c r="N108"/>
  <c r="Y108"/>
  <c r="O108"/>
  <c r="Q115"/>
  <c r="X111"/>
  <c r="U113" i="25"/>
  <c r="N110"/>
  <c r="F101"/>
  <c r="R111" i="19"/>
  <c r="I114"/>
  <c r="G119" i="25"/>
  <c r="N113"/>
  <c r="H109" i="19"/>
  <c r="O112" i="17"/>
  <c r="Y109" i="19"/>
  <c r="L89" i="26"/>
  <c r="W113" i="17"/>
  <c r="H113" i="19"/>
  <c r="R112"/>
  <c r="F111" i="20"/>
  <c r="I107" i="19"/>
  <c r="V90" i="25"/>
  <c r="U115" i="19"/>
  <c r="P89" i="25"/>
  <c r="P118"/>
  <c r="W113" i="19"/>
  <c r="U95" i="25"/>
  <c r="F147" i="20"/>
  <c r="G147" s="1"/>
  <c r="H147" s="1"/>
  <c r="Y109"/>
  <c r="U114" i="19"/>
  <c r="V114"/>
  <c r="Y112"/>
  <c r="M108"/>
  <c r="W111" i="17"/>
  <c r="S113"/>
  <c r="Q113"/>
  <c r="O110" i="20"/>
  <c r="L107" i="25"/>
  <c r="X118"/>
  <c r="Y111" i="19"/>
  <c r="U113"/>
  <c r="L112" i="20"/>
  <c r="V96" i="25"/>
  <c r="P89" i="26"/>
  <c r="J112" i="20"/>
  <c r="M109" i="19"/>
  <c r="O111"/>
  <c r="V110" i="17"/>
  <c r="E101" i="25"/>
  <c r="S110" i="20"/>
  <c r="N111" i="19"/>
  <c r="X100" i="25"/>
  <c r="Y110" i="20"/>
  <c r="T111" i="19"/>
  <c r="F113"/>
  <c r="N112" i="17"/>
  <c r="N111"/>
  <c r="L106" i="25"/>
  <c r="M107" i="19"/>
  <c r="J89" i="26"/>
  <c r="O93" i="25"/>
  <c r="I89" i="26"/>
  <c r="L115" i="25"/>
  <c r="J111" i="17"/>
  <c r="I147"/>
  <c r="J147" s="1"/>
  <c r="K110"/>
  <c r="U114"/>
  <c r="X112"/>
  <c r="V98" i="25"/>
  <c r="X101"/>
  <c r="E100"/>
  <c r="O111" i="20"/>
  <c r="E109"/>
  <c r="E148" s="1"/>
  <c r="J109"/>
  <c r="V111" i="19"/>
  <c r="N112"/>
  <c r="Q112" i="25"/>
  <c r="G109" i="20"/>
  <c r="Q89" i="26"/>
  <c r="K13" i="5"/>
  <c r="K152" s="1"/>
  <c r="I13" i="3" s="1"/>
  <c r="G13" i="5"/>
  <c r="G152" s="1"/>
  <c r="E13" i="3" s="1"/>
  <c r="O13" i="5"/>
  <c r="O152" s="1"/>
  <c r="M13" i="3" s="1"/>
  <c r="J13" i="5"/>
  <c r="J152" s="1"/>
  <c r="H13" i="3" s="1"/>
  <c r="E13" i="5"/>
  <c r="E152" s="1"/>
  <c r="C13" i="3" s="1"/>
  <c r="M13" i="5"/>
  <c r="M152" s="1"/>
  <c r="K13" i="3" s="1"/>
  <c r="Q13" i="5"/>
  <c r="Q152" s="1"/>
  <c r="O13" i="3" s="1"/>
  <c r="Q52" i="5"/>
  <c r="O52"/>
  <c r="C49"/>
  <c r="A133" i="2"/>
  <c r="A49" i="5" s="1"/>
  <c r="M68"/>
  <c r="Q68"/>
  <c r="K68"/>
  <c r="G68"/>
  <c r="O68"/>
  <c r="E68"/>
  <c r="C47"/>
  <c r="A131" i="2"/>
  <c r="A47" i="5" s="1"/>
  <c r="J63"/>
  <c r="J175" s="1"/>
  <c r="H36" i="3" s="1"/>
  <c r="M63" i="5"/>
  <c r="M175" s="1"/>
  <c r="K36" i="3" s="1"/>
  <c r="O63" i="5"/>
  <c r="O175" s="1"/>
  <c r="M36" i="3" s="1"/>
  <c r="G63" i="5"/>
  <c r="G175" s="1"/>
  <c r="E36" i="3" s="1"/>
  <c r="Q63" i="5"/>
  <c r="Q175" s="1"/>
  <c r="O36" i="3" s="1"/>
  <c r="X94" i="25"/>
  <c r="W97"/>
  <c r="Y111" i="20"/>
  <c r="X108" i="19"/>
  <c r="K101" i="25"/>
  <c r="V91"/>
  <c r="R99"/>
  <c r="F100"/>
  <c r="P114" i="19"/>
  <c r="G109"/>
  <c r="M174" i="5"/>
  <c r="K35" i="3" s="1"/>
  <c r="G174" i="5"/>
  <c r="E35" i="3" s="1"/>
  <c r="M52" i="5"/>
  <c r="Q160"/>
  <c r="O21" i="3" s="1"/>
  <c r="Q167" i="5"/>
  <c r="O28" i="3" s="1"/>
  <c r="K89" i="26"/>
  <c r="J114" i="17"/>
  <c r="S114"/>
  <c r="X92" i="27"/>
  <c r="F115" i="17"/>
  <c r="F154" s="1"/>
  <c r="I98" i="25"/>
  <c r="I97"/>
  <c r="F99"/>
  <c r="J103"/>
  <c r="O106"/>
  <c r="K110" i="20"/>
  <c r="P110"/>
  <c r="M114" i="19"/>
  <c r="K112" i="20"/>
  <c r="R113" i="19"/>
  <c r="K114"/>
  <c r="M113"/>
  <c r="L108"/>
  <c r="O113"/>
  <c r="N112" i="20"/>
  <c r="J61" i="5"/>
  <c r="J174" s="1"/>
  <c r="H35" i="3" s="1"/>
  <c r="E173" i="5"/>
  <c r="C34" i="3" s="1"/>
  <c r="O172" i="5"/>
  <c r="M33" i="3" s="1"/>
  <c r="G172" i="5"/>
  <c r="E33" i="3" s="1"/>
  <c r="K52" i="5"/>
  <c r="E63"/>
  <c r="E175" s="1"/>
  <c r="C36" i="3" s="1"/>
  <c r="O161" i="5"/>
  <c r="M22" i="3" s="1"/>
  <c r="E160" i="5"/>
  <c r="C21" i="3" s="1"/>
  <c r="M173" i="5"/>
  <c r="K34" i="3" s="1"/>
  <c r="G167" i="5"/>
  <c r="E28" i="3" s="1"/>
  <c r="A135" i="2"/>
  <c r="A51" i="5" s="1"/>
  <c r="C51"/>
  <c r="C169" s="1"/>
  <c r="A30" i="3" s="1"/>
  <c r="J71" i="5"/>
  <c r="M71"/>
  <c r="G71"/>
  <c r="M28"/>
  <c r="E28"/>
  <c r="E158" s="1"/>
  <c r="C19" i="3" s="1"/>
  <c r="O28" i="5"/>
  <c r="O158" s="1"/>
  <c r="M19" i="3" s="1"/>
  <c r="Q28" i="5"/>
  <c r="Q158" s="1"/>
  <c r="O19" i="3" s="1"/>
  <c r="G28" i="5"/>
  <c r="G158" s="1"/>
  <c r="E19" i="3" s="1"/>
  <c r="K28" i="5"/>
  <c r="K158" s="1"/>
  <c r="I19" i="3" s="1"/>
  <c r="J28" i="5"/>
  <c r="J158" s="1"/>
  <c r="H19" i="3" s="1"/>
  <c r="Q61" i="5"/>
  <c r="Q174" s="1"/>
  <c r="O35" i="3" s="1"/>
  <c r="O61" i="5"/>
  <c r="O174" s="1"/>
  <c r="M35" i="3" s="1"/>
  <c r="J22" i="5"/>
  <c r="J156" s="1"/>
  <c r="H17" i="3" s="1"/>
  <c r="Q22" i="5"/>
  <c r="Q156" s="1"/>
  <c r="O17" i="3" s="1"/>
  <c r="K22" i="5"/>
  <c r="K156" s="1"/>
  <c r="I17" i="3" s="1"/>
  <c r="M22" i="5"/>
  <c r="M156" s="1"/>
  <c r="K17" i="3" s="1"/>
  <c r="G22" i="5"/>
  <c r="G156" s="1"/>
  <c r="E17" i="3" s="1"/>
  <c r="O22" i="5"/>
  <c r="O156" s="1"/>
  <c r="M17" i="3" s="1"/>
  <c r="J65" i="5"/>
  <c r="M65"/>
  <c r="E65"/>
  <c r="Q65"/>
  <c r="A137" i="2"/>
  <c r="A53" i="5" s="1"/>
  <c r="C53"/>
  <c r="C66"/>
  <c r="C176" s="1"/>
  <c r="A37" i="3" s="1"/>
  <c r="A150" i="2"/>
  <c r="A66" i="5" s="1"/>
  <c r="C70"/>
  <c r="A154" i="2"/>
  <c r="A70" i="5" s="1"/>
  <c r="R109" i="20"/>
  <c r="P97" i="25"/>
  <c r="G94"/>
  <c r="K111" i="20"/>
  <c r="F115" i="19"/>
  <c r="W96" i="25"/>
  <c r="R98"/>
  <c r="J110"/>
  <c r="V111" i="20"/>
  <c r="V108" i="19"/>
  <c r="T110"/>
  <c r="X112"/>
  <c r="G95" i="25"/>
  <c r="J106"/>
  <c r="M89" i="26"/>
  <c r="N111" i="20"/>
  <c r="G52" i="5"/>
  <c r="E52"/>
  <c r="J151"/>
  <c r="H12" i="3" s="1"/>
  <c r="E22" i="5"/>
  <c r="E156" s="1"/>
  <c r="C17" i="3" s="1"/>
  <c r="H174" i="5"/>
  <c r="F35" i="3" s="1"/>
  <c r="O65" i="5"/>
  <c r="Q161"/>
  <c r="O22" i="3" s="1"/>
  <c r="K161" i="5"/>
  <c r="I22" i="3" s="1"/>
  <c r="O167" i="5"/>
  <c r="M28" i="3" s="1"/>
  <c r="C157" i="5"/>
  <c r="A18" i="3" s="1"/>
  <c r="C156" i="5"/>
  <c r="A17" i="3" s="1"/>
  <c r="A148" i="2"/>
  <c r="A64" i="5" s="1"/>
  <c r="C64"/>
  <c r="C177" s="1"/>
  <c r="A38" i="3" s="1"/>
  <c r="M158" i="5"/>
  <c r="K19" i="3" s="1"/>
  <c r="J21" i="20"/>
  <c r="J42" s="1"/>
  <c r="M114" i="25"/>
  <c r="R21" i="20"/>
  <c r="E21" i="17"/>
  <c r="E42" s="1"/>
  <c r="H92" i="25"/>
  <c r="Q94"/>
  <c r="V116"/>
  <c r="W110" i="20"/>
  <c r="Q110" i="17"/>
  <c r="P21" i="20"/>
  <c r="P24" s="1"/>
  <c r="X109" i="19"/>
  <c r="P21" i="17"/>
  <c r="P42" s="1"/>
  <c r="S21"/>
  <c r="S24" s="1"/>
  <c r="I21" i="20"/>
  <c r="I42" s="1"/>
  <c r="E112" i="25"/>
  <c r="V108"/>
  <c r="O21" i="20"/>
  <c r="O24" s="1"/>
  <c r="N21"/>
  <c r="N42" s="1"/>
  <c r="F21"/>
  <c r="F42" s="1"/>
  <c r="Q21"/>
  <c r="Q42" s="1"/>
  <c r="S21"/>
  <c r="S42" s="1"/>
  <c r="S21" i="19"/>
  <c r="S24" s="1"/>
  <c r="N21"/>
  <c r="N42" s="1"/>
  <c r="I21"/>
  <c r="I42" s="1"/>
  <c r="L21" i="20"/>
  <c r="L42" s="1"/>
  <c r="E21"/>
  <c r="E24" s="1"/>
  <c r="K21"/>
  <c r="M21" i="19"/>
  <c r="M42" s="1"/>
  <c r="K21"/>
  <c r="K24" s="1"/>
  <c r="M21" i="20"/>
  <c r="M24" s="1"/>
  <c r="M113" i="25"/>
  <c r="U119"/>
  <c r="W94"/>
  <c r="T90"/>
  <c r="P117"/>
  <c r="F114"/>
  <c r="P103"/>
  <c r="O100"/>
  <c r="X104"/>
  <c r="K113"/>
  <c r="S97"/>
  <c r="O107"/>
  <c r="G109"/>
  <c r="T114"/>
  <c r="H90"/>
  <c r="O110"/>
  <c r="M112"/>
  <c r="T119"/>
  <c r="I115"/>
  <c r="V106"/>
  <c r="P119"/>
  <c r="H99"/>
  <c r="J113"/>
  <c r="G96"/>
  <c r="P100"/>
  <c r="U107"/>
  <c r="R119"/>
  <c r="L89" i="27"/>
  <c r="S96"/>
  <c r="F112" i="17"/>
  <c r="F151" s="1"/>
  <c r="T111"/>
  <c r="P113"/>
  <c r="L113" i="19"/>
  <c r="E112"/>
  <c r="E151" s="1"/>
  <c r="F151" s="1"/>
  <c r="K109"/>
  <c r="P112"/>
  <c r="J115"/>
  <c r="K112"/>
  <c r="U109"/>
  <c r="I112"/>
  <c r="T115"/>
  <c r="G110"/>
  <c r="V109" i="20"/>
  <c r="Q110"/>
  <c r="O109"/>
  <c r="F89" i="27"/>
  <c r="R91"/>
  <c r="V110" i="19"/>
  <c r="G113"/>
  <c r="X109" i="20"/>
  <c r="R114" i="25"/>
  <c r="X98"/>
  <c r="N104"/>
  <c r="S93"/>
  <c r="E110"/>
  <c r="J105"/>
  <c r="R101"/>
  <c r="W108"/>
  <c r="W110"/>
  <c r="L96"/>
  <c r="S98"/>
  <c r="F93"/>
  <c r="I92"/>
  <c r="J97"/>
  <c r="R112"/>
  <c r="W106"/>
  <c r="E105"/>
  <c r="U106"/>
  <c r="L95"/>
  <c r="J92"/>
  <c r="X111"/>
  <c r="L113"/>
  <c r="O108"/>
  <c r="I95"/>
  <c r="F91"/>
  <c r="W109" i="17"/>
  <c r="X112" i="25"/>
  <c r="H42" i="17"/>
  <c r="G21" i="19"/>
  <c r="G42" s="1"/>
  <c r="P21"/>
  <c r="Q21"/>
  <c r="Q24" s="1"/>
  <c r="R21"/>
  <c r="R42" s="1"/>
  <c r="X110" i="17"/>
  <c r="T109"/>
  <c r="M111"/>
  <c r="F112" i="25"/>
  <c r="K100"/>
  <c r="R113"/>
  <c r="Q99"/>
  <c r="G113"/>
  <c r="V95"/>
  <c r="V93"/>
  <c r="H97"/>
  <c r="E115"/>
  <c r="Q115"/>
  <c r="X114"/>
  <c r="G110"/>
  <c r="R111" i="20"/>
  <c r="S94" i="25"/>
  <c r="K112"/>
  <c r="G179" i="5"/>
  <c r="E40" i="3" s="1"/>
  <c r="R102" i="25"/>
  <c r="T107"/>
  <c r="P97" i="27"/>
  <c r="I96" i="25"/>
  <c r="O113" i="17"/>
  <c r="V92" i="27"/>
  <c r="U89"/>
  <c r="Y115" i="17"/>
  <c r="H101" i="25"/>
  <c r="F105"/>
  <c r="M95"/>
  <c r="L99"/>
  <c r="S115"/>
  <c r="F94"/>
  <c r="V104"/>
  <c r="P114"/>
  <c r="W105"/>
  <c r="H100"/>
  <c r="N110" i="19"/>
  <c r="G107"/>
  <c r="E113"/>
  <c r="E152" s="1"/>
  <c r="R108" i="25"/>
  <c r="V99"/>
  <c r="F95"/>
  <c r="V88"/>
  <c r="Y88" s="1"/>
  <c r="S93" i="27"/>
  <c r="F92" i="25"/>
  <c r="O118"/>
  <c r="G110" i="20"/>
  <c r="S92" i="25"/>
  <c r="S118"/>
  <c r="P112" i="17"/>
  <c r="U112"/>
  <c r="T100" i="25"/>
  <c r="H114"/>
  <c r="I111"/>
  <c r="F111"/>
  <c r="K114"/>
  <c r="P116"/>
  <c r="Q117"/>
  <c r="W104"/>
  <c r="M94"/>
  <c r="L92"/>
  <c r="F116"/>
  <c r="N119"/>
  <c r="V117"/>
  <c r="J109"/>
  <c r="P110"/>
  <c r="U109"/>
  <c r="M116"/>
  <c r="W99"/>
  <c r="G118"/>
  <c r="L101"/>
  <c r="F109" i="20"/>
  <c r="F148" s="1"/>
  <c r="G148" s="1"/>
  <c r="H148" s="1"/>
  <c r="U110"/>
  <c r="E107" i="19"/>
  <c r="E146" s="1"/>
  <c r="X89" i="25"/>
  <c r="W95"/>
  <c r="U89" i="26"/>
  <c r="G105" i="25"/>
  <c r="E97"/>
  <c r="F111" i="19"/>
  <c r="F150" s="1"/>
  <c r="Y115"/>
  <c r="I108"/>
  <c r="H95" i="25"/>
  <c r="M97"/>
  <c r="Q113"/>
  <c r="J95"/>
  <c r="K111"/>
  <c r="T97"/>
  <c r="N110" i="20"/>
  <c r="Q111"/>
  <c r="S112" i="19"/>
  <c r="U112" i="20"/>
  <c r="J114" i="25"/>
  <c r="S99"/>
  <c r="V102"/>
  <c r="U91"/>
  <c r="T109" i="19"/>
  <c r="Q116" i="25"/>
  <c r="T113"/>
  <c r="Q112" i="19"/>
  <c r="P107"/>
  <c r="U110"/>
  <c r="F42"/>
  <c r="U111" i="25"/>
  <c r="O111"/>
  <c r="S114"/>
  <c r="Y114" i="19"/>
  <c r="W110"/>
  <c r="I110"/>
  <c r="J108"/>
  <c r="P108"/>
  <c r="O116"/>
  <c r="F110"/>
  <c r="F149" s="1"/>
  <c r="P106"/>
  <c r="Q111"/>
  <c r="V107"/>
  <c r="Y107"/>
  <c r="W115"/>
  <c r="I116"/>
  <c r="U108"/>
  <c r="Y110"/>
  <c r="S115"/>
  <c r="E42"/>
  <c r="L114"/>
  <c r="F107"/>
  <c r="L110"/>
  <c r="T107"/>
  <c r="P111" i="20"/>
  <c r="O42"/>
  <c r="K42"/>
  <c r="G42"/>
  <c r="S115" i="17"/>
  <c r="H24"/>
  <c r="H111"/>
  <c r="V113"/>
  <c r="F21"/>
  <c r="F24" s="1"/>
  <c r="O21"/>
  <c r="O24" s="1"/>
  <c r="G21"/>
  <c r="L21"/>
  <c r="L24" s="1"/>
  <c r="J21"/>
  <c r="Q21"/>
  <c r="H110"/>
  <c r="Q109"/>
  <c r="U109"/>
  <c r="W112" i="19"/>
  <c r="J114"/>
  <c r="T108"/>
  <c r="G108"/>
  <c r="Q113"/>
  <c r="V112"/>
  <c r="N114"/>
  <c r="G115"/>
  <c r="J112"/>
  <c r="Y116"/>
  <c r="I95" i="27"/>
  <c r="L91"/>
  <c r="H95"/>
  <c r="K107" i="19"/>
  <c r="F108"/>
  <c r="F147" s="1"/>
  <c r="J96" i="27"/>
  <c r="I109" i="19"/>
  <c r="Q107"/>
  <c r="P109" i="20"/>
  <c r="N109"/>
  <c r="T109"/>
  <c r="G89" i="26"/>
  <c r="Q112" i="20"/>
  <c r="I109"/>
  <c r="U99" i="25"/>
  <c r="O98"/>
  <c r="I113" i="17"/>
  <c r="P99" i="25"/>
  <c r="E91"/>
  <c r="S95"/>
  <c r="K105"/>
  <c r="E114" i="17"/>
  <c r="E153" s="1"/>
  <c r="T96" i="25"/>
  <c r="T114" i="17"/>
  <c r="T115"/>
  <c r="L111"/>
  <c r="E116" i="25"/>
  <c r="M110"/>
  <c r="W101"/>
  <c r="G100"/>
  <c r="J89"/>
  <c r="V100"/>
  <c r="G91"/>
  <c r="P101"/>
  <c r="J96"/>
  <c r="M99"/>
  <c r="Q92"/>
  <c r="H118"/>
  <c r="U114"/>
  <c r="L109"/>
  <c r="W118"/>
  <c r="P111"/>
  <c r="X99"/>
  <c r="F96"/>
  <c r="E114"/>
  <c r="X111" i="17"/>
  <c r="U97" i="25"/>
  <c r="R100"/>
  <c r="U110" i="17"/>
  <c r="O97" i="25"/>
  <c r="G111" i="17"/>
  <c r="Y112"/>
  <c r="G110"/>
  <c r="Q111"/>
  <c r="I109"/>
  <c r="H98" i="25"/>
  <c r="H113"/>
  <c r="U95" i="27"/>
  <c r="X116" i="25"/>
  <c r="M92"/>
  <c r="R90"/>
  <c r="J113" i="19"/>
  <c r="H110"/>
  <c r="L112"/>
  <c r="S96" i="25"/>
  <c r="R114" i="19"/>
  <c r="U111"/>
  <c r="U113" i="17"/>
  <c r="R115"/>
  <c r="L114"/>
  <c r="H108" i="25"/>
  <c r="N98"/>
  <c r="G109" i="17"/>
  <c r="K111"/>
  <c r="F89" i="25"/>
  <c r="L118"/>
  <c r="K92" i="27"/>
  <c r="G96"/>
  <c r="L113" i="17"/>
  <c r="E111" i="25"/>
  <c r="M101"/>
  <c r="G106"/>
  <c r="S106"/>
  <c r="T103"/>
  <c r="O109" i="19"/>
  <c r="J90" i="27"/>
  <c r="O89"/>
  <c r="T113" i="17"/>
  <c r="K113" i="19"/>
  <c r="O109" i="25"/>
  <c r="W90"/>
  <c r="H89" i="27"/>
  <c r="V113" i="19"/>
  <c r="M92" i="27"/>
  <c r="O94"/>
  <c r="R97" i="25"/>
  <c r="P113"/>
  <c r="L93"/>
  <c r="X115" i="19"/>
  <c r="R110"/>
  <c r="N91" i="27"/>
  <c r="T92"/>
  <c r="J93"/>
  <c r="S117" i="25"/>
  <c r="K90"/>
  <c r="F113"/>
  <c r="M111" i="19"/>
  <c r="G104" i="25"/>
  <c r="V105"/>
  <c r="E96"/>
  <c r="T93"/>
  <c r="P98"/>
  <c r="Q118"/>
  <c r="O115"/>
  <c r="L104"/>
  <c r="V110"/>
  <c r="Q108" i="19"/>
  <c r="N101" i="25"/>
  <c r="M91"/>
  <c r="O113"/>
  <c r="U104"/>
  <c r="F97"/>
  <c r="H96"/>
  <c r="T102"/>
  <c r="L109" i="20"/>
  <c r="L111" i="19"/>
  <c r="J91" i="25"/>
  <c r="M98"/>
  <c r="X115"/>
  <c r="K104"/>
  <c r="I108"/>
  <c r="E98"/>
  <c r="T115"/>
  <c r="W111" i="20"/>
  <c r="S107" i="19"/>
  <c r="K115"/>
  <c r="O115"/>
  <c r="H112"/>
  <c r="R113" i="17"/>
  <c r="K116" i="19"/>
  <c r="H105" i="25"/>
  <c r="L94"/>
  <c r="F24" i="19"/>
  <c r="X107"/>
  <c r="O112"/>
  <c r="J107"/>
  <c r="M115"/>
  <c r="P104" i="25"/>
  <c r="M115"/>
  <c r="S113" i="19"/>
  <c r="X117" i="25"/>
  <c r="V110" i="20"/>
  <c r="H111" i="19"/>
  <c r="K113" i="17"/>
  <c r="S91" i="27"/>
  <c r="T90"/>
  <c r="Y114" i="17"/>
  <c r="S97" i="27"/>
  <c r="N95" i="25"/>
  <c r="L100"/>
  <c r="W112" i="20"/>
  <c r="T118" i="25"/>
  <c r="O114" i="19"/>
  <c r="U105" i="25"/>
  <c r="T116"/>
  <c r="U107" i="19"/>
  <c r="T92" i="25"/>
  <c r="S111" i="20"/>
  <c r="O114" i="25"/>
  <c r="X105"/>
  <c r="J89" i="27"/>
  <c r="G114" i="19"/>
  <c r="Y112" i="20"/>
  <c r="M89" i="25"/>
  <c r="J94" i="27"/>
  <c r="W89"/>
  <c r="X115" i="17"/>
  <c r="G97" i="25"/>
  <c r="U89"/>
  <c r="G92"/>
  <c r="E99"/>
  <c r="P115"/>
  <c r="V90" i="27"/>
  <c r="G117" i="25"/>
  <c r="T101"/>
  <c r="L110"/>
  <c r="Q93"/>
  <c r="P102"/>
  <c r="I96" i="27"/>
  <c r="F104" i="25"/>
  <c r="K89"/>
  <c r="U118"/>
  <c r="T113" i="19"/>
  <c r="R94" i="25"/>
  <c r="Q109" i="20"/>
  <c r="E114" i="19"/>
  <c r="E153" s="1"/>
  <c r="L110" i="20"/>
  <c r="U97" i="27"/>
  <c r="V101" i="25"/>
  <c r="M100"/>
  <c r="X119"/>
  <c r="L112" i="17"/>
  <c r="W98" i="25"/>
  <c r="F114" i="17"/>
  <c r="S89" i="26"/>
  <c r="Q91" i="25"/>
  <c r="O90"/>
  <c r="O104"/>
  <c r="N92" i="27"/>
  <c r="W92"/>
  <c r="U112" i="19"/>
  <c r="N115" i="17"/>
  <c r="I114"/>
  <c r="V115"/>
  <c r="H116" i="25"/>
  <c r="F102"/>
  <c r="N100"/>
  <c r="V107"/>
  <c r="J115"/>
  <c r="U115"/>
  <c r="M105"/>
  <c r="W115"/>
  <c r="W111"/>
  <c r="L111"/>
  <c r="S112"/>
  <c r="E94"/>
  <c r="K97"/>
  <c r="U110"/>
  <c r="O116"/>
  <c r="H91"/>
  <c r="N116" i="19"/>
  <c r="E110" i="20"/>
  <c r="E149" s="1"/>
  <c r="O92" i="27"/>
  <c r="M112" i="19"/>
  <c r="T89" i="27"/>
  <c r="J111" i="20"/>
  <c r="R110" i="17"/>
  <c r="K103" i="25"/>
  <c r="N102"/>
  <c r="G114"/>
  <c r="G89"/>
  <c r="E119"/>
  <c r="R103"/>
  <c r="W93"/>
  <c r="R107"/>
  <c r="K109" i="20"/>
  <c r="M110" i="19"/>
  <c r="O110" i="17"/>
  <c r="E111"/>
  <c r="E150" s="1"/>
  <c r="T91" i="25"/>
  <c r="L94" i="27"/>
  <c r="N94"/>
  <c r="Q96"/>
  <c r="K109" i="17"/>
  <c r="L90" i="27"/>
  <c r="P91"/>
  <c r="G93"/>
  <c r="K93"/>
  <c r="N95"/>
  <c r="F96"/>
  <c r="P89"/>
  <c r="W90"/>
  <c r="R93"/>
  <c r="R90"/>
  <c r="P93"/>
  <c r="T110" i="17"/>
  <c r="H114"/>
  <c r="I89" i="27"/>
  <c r="E109" i="25"/>
  <c r="N92"/>
  <c r="L89"/>
  <c r="I107"/>
  <c r="W109"/>
  <c r="G98"/>
  <c r="X111" i="20"/>
  <c r="R89" i="25"/>
  <c r="U108"/>
  <c r="V115"/>
  <c r="F119"/>
  <c r="J110" i="20"/>
  <c r="M109"/>
  <c r="M93" i="25"/>
  <c r="J93"/>
  <c r="U117"/>
  <c r="R109"/>
  <c r="J116"/>
  <c r="N115"/>
  <c r="I110"/>
  <c r="O105"/>
  <c r="M93" i="27"/>
  <c r="O95"/>
  <c r="J112" i="17"/>
  <c r="H115" i="25"/>
  <c r="I112"/>
  <c r="J99"/>
  <c r="M118"/>
  <c r="L103"/>
  <c r="O102"/>
  <c r="W89"/>
  <c r="K106"/>
  <c r="F117"/>
  <c r="R108" i="19"/>
  <c r="H107"/>
  <c r="N109"/>
  <c r="F145"/>
  <c r="G145" s="1"/>
  <c r="H145" s="1"/>
  <c r="I145" s="1"/>
  <c r="J145" s="1"/>
  <c r="P108" i="25"/>
  <c r="H92" i="27"/>
  <c r="H93"/>
  <c r="Y88" i="26"/>
  <c r="H113" i="17"/>
  <c r="F109"/>
  <c r="F148" s="1"/>
  <c r="G97" i="27"/>
  <c r="L95"/>
  <c r="O91"/>
  <c r="J95"/>
  <c r="P114" i="17"/>
  <c r="Q97" i="27"/>
  <c r="O96" i="25"/>
  <c r="L90"/>
  <c r="Q108"/>
  <c r="S116"/>
  <c r="E90"/>
  <c r="L108"/>
  <c r="W116"/>
  <c r="R110"/>
  <c r="J111"/>
  <c r="H106"/>
  <c r="W109" i="20"/>
  <c r="E115" i="19"/>
  <c r="E154" s="1"/>
  <c r="V114" i="17"/>
  <c r="R116" i="19"/>
  <c r="R112" i="20"/>
  <c r="G99" i="25"/>
  <c r="W91"/>
  <c r="Q95"/>
  <c r="E109" i="19"/>
  <c r="E148" s="1"/>
  <c r="J115" i="17"/>
  <c r="H94" i="25"/>
  <c r="E106"/>
  <c r="N96"/>
  <c r="T93" i="27"/>
  <c r="S113" i="25"/>
  <c r="W100"/>
  <c r="R95" i="27"/>
  <c r="K94"/>
  <c r="T97"/>
  <c r="Y109" i="17"/>
  <c r="T89" i="25"/>
  <c r="E89"/>
  <c r="T104"/>
  <c r="K109"/>
  <c r="N116"/>
  <c r="R117"/>
  <c r="Q103"/>
  <c r="X106"/>
  <c r="L98"/>
  <c r="S102"/>
  <c r="O95"/>
  <c r="J90"/>
  <c r="U90"/>
  <c r="S91"/>
  <c r="I89"/>
  <c r="T106"/>
  <c r="X110"/>
  <c r="E118"/>
  <c r="O112"/>
  <c r="V103"/>
  <c r="Q96"/>
  <c r="W103"/>
  <c r="I113"/>
  <c r="O89"/>
  <c r="X107"/>
  <c r="R106"/>
  <c r="F111" i="17"/>
  <c r="J112" i="25"/>
  <c r="L116"/>
  <c r="I102"/>
  <c r="W107" i="19"/>
  <c r="P106" i="25"/>
  <c r="V111" i="17"/>
  <c r="L109"/>
  <c r="U90" i="27"/>
  <c r="S90" i="25"/>
  <c r="M96"/>
  <c r="N110" i="17"/>
  <c r="F97" i="27"/>
  <c r="W115" i="17"/>
  <c r="I93" i="25"/>
  <c r="F98"/>
  <c r="G115"/>
  <c r="G89" i="27"/>
  <c r="T91"/>
  <c r="G95"/>
  <c r="X93"/>
  <c r="H91"/>
  <c r="F94"/>
  <c r="V96"/>
  <c r="L110" i="17"/>
  <c r="L115"/>
  <c r="X97" i="27"/>
  <c r="H107" i="25"/>
  <c r="F110"/>
  <c r="K115"/>
  <c r="N97"/>
  <c r="V119"/>
  <c r="R111"/>
  <c r="M117"/>
  <c r="G103"/>
  <c r="L105"/>
  <c r="O101"/>
  <c r="K94"/>
  <c r="L91"/>
  <c r="I109"/>
  <c r="F118"/>
  <c r="K116"/>
  <c r="N107"/>
  <c r="E93"/>
  <c r="J119"/>
  <c r="T111" i="20"/>
  <c r="M112"/>
  <c r="P112" i="25"/>
  <c r="I119"/>
  <c r="X114" i="19"/>
  <c r="Q109"/>
  <c r="G112"/>
  <c r="T112" i="17"/>
  <c r="H112" i="20"/>
  <c r="V92" i="25"/>
  <c r="Q111"/>
  <c r="F109" i="19"/>
  <c r="R115"/>
  <c r="L109"/>
  <c r="P115"/>
  <c r="F116"/>
  <c r="V116"/>
  <c r="P92" i="25"/>
  <c r="P93"/>
  <c r="S108" i="19"/>
  <c r="S109"/>
  <c r="R89" i="27"/>
  <c r="K89"/>
  <c r="K99" i="25"/>
  <c r="V111"/>
  <c r="R105"/>
  <c r="X102"/>
  <c r="N89"/>
  <c r="T112"/>
  <c r="H102"/>
  <c r="N99"/>
  <c r="J100"/>
  <c r="Q114"/>
  <c r="X113"/>
  <c r="U116"/>
  <c r="M111"/>
  <c r="G107"/>
  <c r="S107"/>
  <c r="R91"/>
  <c r="S112" i="17"/>
  <c r="P115"/>
  <c r="U111" i="20"/>
  <c r="G111" i="19"/>
  <c r="I111" i="20"/>
  <c r="E102" i="25"/>
  <c r="N115" i="19"/>
  <c r="V109"/>
  <c r="Q110"/>
  <c r="F113" i="17"/>
  <c r="Q116" i="19"/>
  <c r="E112" i="20"/>
  <c r="E151" s="1"/>
  <c r="O112"/>
  <c r="X116" i="19"/>
  <c r="Q115" i="17"/>
  <c r="R107" i="19"/>
  <c r="I115"/>
  <c r="L117" i="25"/>
  <c r="R109" i="19"/>
  <c r="X113"/>
  <c r="V112" i="20"/>
  <c r="H112" i="25"/>
  <c r="H115" i="19"/>
  <c r="K111"/>
  <c r="E113" i="17"/>
  <c r="E152" s="1"/>
  <c r="E116" i="19"/>
  <c r="E155" s="1"/>
  <c r="F112" i="20"/>
  <c r="U93" i="25"/>
  <c r="U94"/>
  <c r="X114" i="17"/>
  <c r="X113"/>
  <c r="Q92" i="27"/>
  <c r="Q91"/>
  <c r="Q109" i="25"/>
  <c r="Q110"/>
  <c r="E103"/>
  <c r="E104"/>
  <c r="E92" i="27"/>
  <c r="E91"/>
  <c r="S101" i="25"/>
  <c r="S100"/>
  <c r="H110"/>
  <c r="H109"/>
  <c r="J118"/>
  <c r="J117"/>
  <c r="O99"/>
  <c r="O93" i="27"/>
  <c r="W96"/>
  <c r="E93"/>
  <c r="N109" i="17"/>
  <c r="K97" i="27"/>
  <c r="Q89"/>
  <c r="O94" i="25"/>
  <c r="W114"/>
  <c r="P90"/>
  <c r="R94" i="27"/>
  <c r="P110" i="17"/>
  <c r="S89" i="27"/>
  <c r="F110" i="17"/>
  <c r="H109"/>
  <c r="H117" i="25"/>
  <c r="M106"/>
  <c r="Y113" i="17"/>
  <c r="W91" i="27"/>
  <c r="H90"/>
  <c r="G112" i="25"/>
  <c r="J104"/>
  <c r="V94"/>
  <c r="K110"/>
  <c r="F103"/>
  <c r="M96" i="27"/>
  <c r="H112" i="17"/>
  <c r="G112"/>
  <c r="V97" i="27"/>
  <c r="H115" i="17"/>
  <c r="P92" i="27"/>
  <c r="N96"/>
  <c r="G94"/>
  <c r="Q90" i="25"/>
  <c r="R109" i="17"/>
  <c r="N97" i="27"/>
  <c r="J113" i="17"/>
  <c r="T99" i="25"/>
  <c r="E95"/>
  <c r="K93"/>
  <c r="T94"/>
  <c r="I114"/>
  <c r="J108"/>
  <c r="X95"/>
  <c r="O103"/>
  <c r="S111"/>
  <c r="G93"/>
  <c r="N90"/>
  <c r="W92"/>
  <c r="S110" i="17"/>
  <c r="N108" i="25"/>
  <c r="F92" i="27"/>
  <c r="I110" i="17"/>
  <c r="I90" i="25"/>
  <c r="I91"/>
  <c r="X90" i="27"/>
  <c r="X89"/>
  <c r="I105" i="25"/>
  <c r="I104"/>
  <c r="I99"/>
  <c r="I100"/>
  <c r="K95"/>
  <c r="K96"/>
  <c r="N93"/>
  <c r="N94"/>
  <c r="Q100"/>
  <c r="Q101"/>
  <c r="T111"/>
  <c r="T110"/>
  <c r="I117"/>
  <c r="I116"/>
  <c r="U102"/>
  <c r="U103"/>
  <c r="O115" i="17"/>
  <c r="L119" i="25"/>
  <c r="S92" i="27"/>
  <c r="M95"/>
  <c r="V112" i="25"/>
  <c r="M104"/>
  <c r="F108"/>
  <c r="X93"/>
  <c r="H89"/>
  <c r="Q104"/>
  <c r="Q112" i="17"/>
  <c r="R118" i="25"/>
  <c r="M115" i="17"/>
  <c r="P94" i="27"/>
  <c r="I93"/>
  <c r="Q107" i="25"/>
  <c r="E113"/>
  <c r="R111" i="17"/>
  <c r="X109"/>
  <c r="S89" i="25"/>
  <c r="X92"/>
  <c r="N113" i="17"/>
  <c r="M103" i="25"/>
  <c r="M112" i="17"/>
  <c r="M90" i="27"/>
  <c r="V93"/>
  <c r="E94"/>
  <c r="J109" i="17"/>
  <c r="J97" i="27"/>
  <c r="P90"/>
  <c r="R92"/>
  <c r="X96"/>
  <c r="N93"/>
  <c r="F95"/>
  <c r="P95" i="25"/>
  <c r="G113" i="17"/>
  <c r="T95" i="25"/>
  <c r="N114" i="17"/>
  <c r="F109" i="25"/>
  <c r="K98"/>
  <c r="J98"/>
  <c r="W107"/>
  <c r="S105"/>
  <c r="E117"/>
  <c r="V118"/>
  <c r="R104"/>
  <c r="X96"/>
  <c r="M119"/>
  <c r="G108"/>
  <c r="L102"/>
  <c r="S119"/>
  <c r="E92"/>
  <c r="X103"/>
  <c r="F115"/>
  <c r="R114" i="17"/>
  <c r="N111" i="25"/>
  <c r="N112"/>
  <c r="X91"/>
  <c r="X90"/>
  <c r="V109"/>
  <c r="O91"/>
  <c r="J94"/>
  <c r="S103"/>
  <c r="K117"/>
  <c r="G24" i="19"/>
  <c r="E24"/>
  <c r="J24"/>
  <c r="J42"/>
  <c r="O42"/>
  <c r="O24"/>
  <c r="P24"/>
  <c r="K24" i="20"/>
  <c r="H42" i="19"/>
  <c r="H24"/>
  <c r="S24" i="20"/>
  <c r="N24" i="19"/>
  <c r="L24"/>
  <c r="L42"/>
  <c r="P42"/>
  <c r="Q42"/>
  <c r="E149" i="17"/>
  <c r="N42"/>
  <c r="N24"/>
  <c r="F61" i="23"/>
  <c r="J61" s="1"/>
  <c r="E141" i="1" s="1"/>
  <c r="G91" i="5" s="1"/>
  <c r="D64" i="23"/>
  <c r="F24" i="20"/>
  <c r="R42" i="17"/>
  <c r="R24"/>
  <c r="I24"/>
  <c r="I42"/>
  <c r="R42" i="20"/>
  <c r="R24"/>
  <c r="J24"/>
  <c r="M42" i="17"/>
  <c r="M24"/>
  <c r="E42" i="20"/>
  <c r="F62" i="23"/>
  <c r="J62" s="1"/>
  <c r="E142" i="1" s="1"/>
  <c r="G92" i="5" s="1"/>
  <c r="D65" i="23"/>
  <c r="P42" i="20"/>
  <c r="H42"/>
  <c r="H24"/>
  <c r="D63" i="23"/>
  <c r="F60"/>
  <c r="J60" s="1"/>
  <c r="E140" i="1" s="1"/>
  <c r="G90" i="5" s="1"/>
  <c r="S42" i="17"/>
  <c r="K42"/>
  <c r="K24"/>
  <c r="G180" i="5"/>
  <c r="E41" i="3" s="1"/>
  <c r="Y88" i="27"/>
  <c r="E24" i="17" l="1"/>
  <c r="M24" i="19"/>
  <c r="P24" i="17"/>
  <c r="F149" i="20"/>
  <c r="G149" s="1"/>
  <c r="H149" s="1"/>
  <c r="I149" s="1"/>
  <c r="J149" s="1"/>
  <c r="K149" s="1"/>
  <c r="L149" s="1"/>
  <c r="M149" s="1"/>
  <c r="N149" s="1"/>
  <c r="O149" s="1"/>
  <c r="P149" s="1"/>
  <c r="Q149" s="1"/>
  <c r="R149" s="1"/>
  <c r="S149" s="1"/>
  <c r="T149" s="1"/>
  <c r="U149" s="1"/>
  <c r="V149" s="1"/>
  <c r="W149" s="1"/>
  <c r="X149" s="1"/>
  <c r="G154" i="17"/>
  <c r="H154" s="1"/>
  <c r="I154" s="1"/>
  <c r="J154" s="1"/>
  <c r="K154" s="1"/>
  <c r="L154" s="1"/>
  <c r="M154" s="1"/>
  <c r="N154" s="1"/>
  <c r="O154" s="1"/>
  <c r="P154" s="1"/>
  <c r="Q154" s="1"/>
  <c r="R154" s="1"/>
  <c r="S154" s="1"/>
  <c r="T154" s="1"/>
  <c r="U154" s="1"/>
  <c r="V154" s="1"/>
  <c r="W154" s="1"/>
  <c r="X154" s="1"/>
  <c r="F154" i="19"/>
  <c r="G154" s="1"/>
  <c r="H154" s="1"/>
  <c r="I154" s="1"/>
  <c r="J154" s="1"/>
  <c r="K154" s="1"/>
  <c r="L154" s="1"/>
  <c r="M154" s="1"/>
  <c r="N154" s="1"/>
  <c r="O154" s="1"/>
  <c r="P154" s="1"/>
  <c r="Q154" s="1"/>
  <c r="R154" s="1"/>
  <c r="S154" s="1"/>
  <c r="T154" s="1"/>
  <c r="U154" s="1"/>
  <c r="V154" s="1"/>
  <c r="W154" s="1"/>
  <c r="X154" s="1"/>
  <c r="F146"/>
  <c r="G146" s="1"/>
  <c r="F152"/>
  <c r="G152" s="1"/>
  <c r="H152" s="1"/>
  <c r="I152" s="1"/>
  <c r="J152" s="1"/>
  <c r="K152" s="1"/>
  <c r="L152" s="1"/>
  <c r="M152" s="1"/>
  <c r="N152" s="1"/>
  <c r="O152" s="1"/>
  <c r="P152" s="1"/>
  <c r="Q152" s="1"/>
  <c r="R152" s="1"/>
  <c r="S152" s="1"/>
  <c r="T152" s="1"/>
  <c r="U152" s="1"/>
  <c r="V152" s="1"/>
  <c r="W152" s="1"/>
  <c r="X152" s="1"/>
  <c r="J53" i="5"/>
  <c r="J170" s="1"/>
  <c r="H31" i="3" s="1"/>
  <c r="K53" i="5"/>
  <c r="O53"/>
  <c r="G53"/>
  <c r="E53"/>
  <c r="Q53"/>
  <c r="M53"/>
  <c r="K51"/>
  <c r="K169" s="1"/>
  <c r="I30" i="3" s="1"/>
  <c r="E51" i="5"/>
  <c r="E169" s="1"/>
  <c r="M51"/>
  <c r="M169" s="1"/>
  <c r="K30" i="3" s="1"/>
  <c r="G51" i="5"/>
  <c r="G169" s="1"/>
  <c r="E30" i="3" s="1"/>
  <c r="J51" i="5"/>
  <c r="J169" s="1"/>
  <c r="H30" i="3" s="1"/>
  <c r="Q51" i="5"/>
  <c r="Q169" s="1"/>
  <c r="O30" i="3" s="1"/>
  <c r="O51" i="5"/>
  <c r="O169" s="1"/>
  <c r="M30" i="3" s="1"/>
  <c r="G64" i="5"/>
  <c r="G177" s="1"/>
  <c r="E38" i="3" s="1"/>
  <c r="E64" i="5"/>
  <c r="E177" s="1"/>
  <c r="C38" i="3" s="1"/>
  <c r="O64" i="5"/>
  <c r="O177" s="1"/>
  <c r="M38" i="3" s="1"/>
  <c r="Q64" i="5"/>
  <c r="Q177" s="1"/>
  <c r="O38" i="3" s="1"/>
  <c r="M64" i="5"/>
  <c r="M177" s="1"/>
  <c r="K38" i="3" s="1"/>
  <c r="K64" i="5"/>
  <c r="K177" s="1"/>
  <c r="I38" i="3" s="1"/>
  <c r="J64" i="5"/>
  <c r="J177" s="1"/>
  <c r="H38" i="3" s="1"/>
  <c r="M70" i="5"/>
  <c r="G70"/>
  <c r="Q70"/>
  <c r="Q178" s="1"/>
  <c r="O39" i="3" s="1"/>
  <c r="J70" i="5"/>
  <c r="J178" s="1"/>
  <c r="H39" i="3" s="1"/>
  <c r="E70" i="5"/>
  <c r="K70"/>
  <c r="K178" s="1"/>
  <c r="I39" i="3" s="1"/>
  <c r="O70" i="5"/>
  <c r="E178"/>
  <c r="C39" i="3" s="1"/>
  <c r="O170" i="5"/>
  <c r="M31" i="3" s="1"/>
  <c r="I24" i="19"/>
  <c r="M170" i="5"/>
  <c r="K31" i="3" s="1"/>
  <c r="O47" i="5"/>
  <c r="E47"/>
  <c r="G47"/>
  <c r="G168" s="1"/>
  <c r="E29" i="3" s="1"/>
  <c r="K47" i="5"/>
  <c r="M47"/>
  <c r="J47"/>
  <c r="Q47"/>
  <c r="Q168" s="1"/>
  <c r="O29" i="3" s="1"/>
  <c r="K49" i="5"/>
  <c r="G49"/>
  <c r="O49"/>
  <c r="J49"/>
  <c r="E49"/>
  <c r="Q49"/>
  <c r="M49"/>
  <c r="G170"/>
  <c r="E31" i="3" s="1"/>
  <c r="K170" i="5"/>
  <c r="I31" i="3" s="1"/>
  <c r="G178" i="5"/>
  <c r="E39" i="3" s="1"/>
  <c r="O66" i="5"/>
  <c r="O176" s="1"/>
  <c r="M37" i="3" s="1"/>
  <c r="E66" i="5"/>
  <c r="E176" s="1"/>
  <c r="C37" i="3" s="1"/>
  <c r="J66" i="5"/>
  <c r="J176" s="1"/>
  <c r="H37" i="3" s="1"/>
  <c r="G66" i="5"/>
  <c r="G176" s="1"/>
  <c r="E37" i="3" s="1"/>
  <c r="M66" i="5"/>
  <c r="M176" s="1"/>
  <c r="K37" i="3" s="1"/>
  <c r="Q66" i="5"/>
  <c r="Q176" s="1"/>
  <c r="O37" i="3" s="1"/>
  <c r="K66" i="5"/>
  <c r="K176" s="1"/>
  <c r="I37" i="3" s="1"/>
  <c r="Q24" i="20"/>
  <c r="I24"/>
  <c r="E170" i="5"/>
  <c r="O178"/>
  <c r="M39" i="3" s="1"/>
  <c r="M178" i="5"/>
  <c r="K39" i="3" s="1"/>
  <c r="Q170" i="5"/>
  <c r="O31" i="3" s="1"/>
  <c r="N24" i="20"/>
  <c r="L24"/>
  <c r="K42" i="19"/>
  <c r="S42"/>
  <c r="M42" i="20"/>
  <c r="G148" i="17"/>
  <c r="H148" s="1"/>
  <c r="G149" i="19"/>
  <c r="H149" s="1"/>
  <c r="I149" s="1"/>
  <c r="J149" s="1"/>
  <c r="K149" s="1"/>
  <c r="L149" s="1"/>
  <c r="M149" s="1"/>
  <c r="N149" s="1"/>
  <c r="O149" s="1"/>
  <c r="P149" s="1"/>
  <c r="Q149" s="1"/>
  <c r="R149" s="1"/>
  <c r="S149" s="1"/>
  <c r="T149" s="1"/>
  <c r="U149" s="1"/>
  <c r="V149" s="1"/>
  <c r="W149" s="1"/>
  <c r="X149" s="1"/>
  <c r="G42" i="17"/>
  <c r="G24"/>
  <c r="G150" i="19"/>
  <c r="H150" s="1"/>
  <c r="I150" s="1"/>
  <c r="J150" s="1"/>
  <c r="K150" s="1"/>
  <c r="L150" s="1"/>
  <c r="M150" s="1"/>
  <c r="N150" s="1"/>
  <c r="O150" s="1"/>
  <c r="P150" s="1"/>
  <c r="Q150" s="1"/>
  <c r="R150" s="1"/>
  <c r="S150" s="1"/>
  <c r="T150" s="1"/>
  <c r="U150" s="1"/>
  <c r="V150" s="1"/>
  <c r="W150" s="1"/>
  <c r="X150" s="1"/>
  <c r="L42" i="17"/>
  <c r="R24" i="19"/>
  <c r="V121" i="25"/>
  <c r="Y101"/>
  <c r="J24" i="17"/>
  <c r="Y113" i="25"/>
  <c r="Y118"/>
  <c r="Q42" i="17"/>
  <c r="O42"/>
  <c r="J121" i="25"/>
  <c r="Q24" i="17"/>
  <c r="Y89" i="26"/>
  <c r="G147" i="19"/>
  <c r="H147" s="1"/>
  <c r="I147" s="1"/>
  <c r="J147" s="1"/>
  <c r="K147" s="1"/>
  <c r="L147" s="1"/>
  <c r="M147" s="1"/>
  <c r="N147" s="1"/>
  <c r="O147" s="1"/>
  <c r="P147" s="1"/>
  <c r="Q147" s="1"/>
  <c r="R147" s="1"/>
  <c r="S147" s="1"/>
  <c r="T147" s="1"/>
  <c r="U147" s="1"/>
  <c r="V147" s="1"/>
  <c r="W147" s="1"/>
  <c r="X147" s="1"/>
  <c r="F155"/>
  <c r="G155" s="1"/>
  <c r="H155" s="1"/>
  <c r="I155" s="1"/>
  <c r="J155" s="1"/>
  <c r="K155" s="1"/>
  <c r="L155" s="1"/>
  <c r="M155" s="1"/>
  <c r="N155" s="1"/>
  <c r="O155" s="1"/>
  <c r="P155" s="1"/>
  <c r="Q155" s="1"/>
  <c r="R155" s="1"/>
  <c r="S155" s="1"/>
  <c r="T155" s="1"/>
  <c r="U155" s="1"/>
  <c r="V155" s="1"/>
  <c r="W155" s="1"/>
  <c r="X155" s="1"/>
  <c r="F42" i="17"/>
  <c r="J42"/>
  <c r="G151" i="19"/>
  <c r="H151" s="1"/>
  <c r="I151" s="1"/>
  <c r="J151" s="1"/>
  <c r="K151" s="1"/>
  <c r="L151" s="1"/>
  <c r="M151" s="1"/>
  <c r="N151" s="1"/>
  <c r="O151" s="1"/>
  <c r="P151" s="1"/>
  <c r="Q151" s="1"/>
  <c r="R151" s="1"/>
  <c r="S151" s="1"/>
  <c r="T151" s="1"/>
  <c r="U151" s="1"/>
  <c r="V151" s="1"/>
  <c r="W151" s="1"/>
  <c r="X151" s="1"/>
  <c r="I148" i="20"/>
  <c r="J148" s="1"/>
  <c r="K148" s="1"/>
  <c r="L148" s="1"/>
  <c r="M148" s="1"/>
  <c r="N148" s="1"/>
  <c r="O148" s="1"/>
  <c r="P148" s="1"/>
  <c r="Q148" s="1"/>
  <c r="R148" s="1"/>
  <c r="S148" s="1"/>
  <c r="T148" s="1"/>
  <c r="U148" s="1"/>
  <c r="V148" s="1"/>
  <c r="W148" s="1"/>
  <c r="X148" s="1"/>
  <c r="F150" i="17"/>
  <c r="G150" s="1"/>
  <c r="H150" s="1"/>
  <c r="I150" s="1"/>
  <c r="J150" s="1"/>
  <c r="K150" s="1"/>
  <c r="L150" s="1"/>
  <c r="M150" s="1"/>
  <c r="N150" s="1"/>
  <c r="O150" s="1"/>
  <c r="P150" s="1"/>
  <c r="Q150" s="1"/>
  <c r="R150" s="1"/>
  <c r="S150" s="1"/>
  <c r="T150" s="1"/>
  <c r="U150" s="1"/>
  <c r="V150" s="1"/>
  <c r="W150" s="1"/>
  <c r="X150" s="1"/>
  <c r="F153"/>
  <c r="G153" s="1"/>
  <c r="H153" s="1"/>
  <c r="I153" s="1"/>
  <c r="J153" s="1"/>
  <c r="K153" s="1"/>
  <c r="L153" s="1"/>
  <c r="M153" s="1"/>
  <c r="N153" s="1"/>
  <c r="O153" s="1"/>
  <c r="P153" s="1"/>
  <c r="Q153" s="1"/>
  <c r="R153" s="1"/>
  <c r="S153" s="1"/>
  <c r="T153" s="1"/>
  <c r="U153" s="1"/>
  <c r="V153" s="1"/>
  <c r="W153" s="1"/>
  <c r="X153" s="1"/>
  <c r="K121" i="25"/>
  <c r="Y97"/>
  <c r="Y114"/>
  <c r="Y108"/>
  <c r="F152" i="17"/>
  <c r="G152" s="1"/>
  <c r="H152" s="1"/>
  <c r="I152" s="1"/>
  <c r="J152" s="1"/>
  <c r="K152" s="1"/>
  <c r="L152" s="1"/>
  <c r="M152" s="1"/>
  <c r="N152" s="1"/>
  <c r="O152" s="1"/>
  <c r="P152" s="1"/>
  <c r="Q152" s="1"/>
  <c r="R152" s="1"/>
  <c r="S152" s="1"/>
  <c r="T152" s="1"/>
  <c r="U152" s="1"/>
  <c r="V152" s="1"/>
  <c r="W152" s="1"/>
  <c r="X152" s="1"/>
  <c r="Y109" i="25"/>
  <c r="G151" i="17"/>
  <c r="H151" s="1"/>
  <c r="I151" s="1"/>
  <c r="J151" s="1"/>
  <c r="K151" s="1"/>
  <c r="L151" s="1"/>
  <c r="M151" s="1"/>
  <c r="N151" s="1"/>
  <c r="O151" s="1"/>
  <c r="P151" s="1"/>
  <c r="Q151" s="1"/>
  <c r="R151" s="1"/>
  <c r="S151" s="1"/>
  <c r="T151" s="1"/>
  <c r="U151" s="1"/>
  <c r="V151" s="1"/>
  <c r="W151" s="1"/>
  <c r="X151" s="1"/>
  <c r="H146" i="19"/>
  <c r="I146" s="1"/>
  <c r="J146" s="1"/>
  <c r="K146" s="1"/>
  <c r="L146" s="1"/>
  <c r="M146" s="1"/>
  <c r="N146" s="1"/>
  <c r="O146" s="1"/>
  <c r="P146" s="1"/>
  <c r="Q146" s="1"/>
  <c r="R146" s="1"/>
  <c r="S146" s="1"/>
  <c r="T146" s="1"/>
  <c r="U146" s="1"/>
  <c r="V146" s="1"/>
  <c r="W146" s="1"/>
  <c r="X146" s="1"/>
  <c r="Y116" i="25"/>
  <c r="Y91"/>
  <c r="Y94"/>
  <c r="Y115"/>
  <c r="R121"/>
  <c r="Y107"/>
  <c r="Y89"/>
  <c r="Y95" i="27"/>
  <c r="Y100" i="25"/>
  <c r="O121"/>
  <c r="T121"/>
  <c r="Y112"/>
  <c r="P121"/>
  <c r="Y103"/>
  <c r="U121"/>
  <c r="G121"/>
  <c r="Y102"/>
  <c r="Y99"/>
  <c r="N121"/>
  <c r="Y95"/>
  <c r="Y93"/>
  <c r="Y96" i="27"/>
  <c r="Y106" i="25"/>
  <c r="Y89" i="27"/>
  <c r="W121" i="25"/>
  <c r="Y91" i="27"/>
  <c r="Y94"/>
  <c r="F121" i="25"/>
  <c r="S121"/>
  <c r="X121"/>
  <c r="Y96"/>
  <c r="Y105"/>
  <c r="H121"/>
  <c r="Y93" i="27"/>
  <c r="F151" i="20"/>
  <c r="G151" s="1"/>
  <c r="H151" s="1"/>
  <c r="I151" s="1"/>
  <c r="J151" s="1"/>
  <c r="K151" s="1"/>
  <c r="L151" s="1"/>
  <c r="M151" s="1"/>
  <c r="N151" s="1"/>
  <c r="O151" s="1"/>
  <c r="P151" s="1"/>
  <c r="Q151" s="1"/>
  <c r="R151" s="1"/>
  <c r="S151" s="1"/>
  <c r="T151" s="1"/>
  <c r="U151" s="1"/>
  <c r="V151" s="1"/>
  <c r="W151" s="1"/>
  <c r="X151" s="1"/>
  <c r="Y111" i="25"/>
  <c r="E121"/>
  <c r="E122" s="1"/>
  <c r="Y117"/>
  <c r="Y98"/>
  <c r="Y97" i="27"/>
  <c r="Y90"/>
  <c r="Q121" i="25"/>
  <c r="M121"/>
  <c r="Y119"/>
  <c r="Y110"/>
  <c r="Y92" i="27"/>
  <c r="F148" i="19"/>
  <c r="G148" s="1"/>
  <c r="H148" s="1"/>
  <c r="Y90" i="25"/>
  <c r="Y92"/>
  <c r="I121"/>
  <c r="L121"/>
  <c r="Y104"/>
  <c r="K145" i="19"/>
  <c r="K147" i="17"/>
  <c r="F153" i="19"/>
  <c r="I147" i="20"/>
  <c r="D66" i="23"/>
  <c r="F66" s="1"/>
  <c r="J66" s="1"/>
  <c r="E146" i="1" s="1"/>
  <c r="G96" i="5" s="1"/>
  <c r="F63" i="23"/>
  <c r="J63" s="1"/>
  <c r="E143" i="1" s="1"/>
  <c r="G93" i="5" s="1"/>
  <c r="F150" i="20"/>
  <c r="D68" i="23"/>
  <c r="F68" s="1"/>
  <c r="J68" s="1"/>
  <c r="E148" i="1" s="1"/>
  <c r="G98" i="5" s="1"/>
  <c r="F65" i="23"/>
  <c r="J65" s="1"/>
  <c r="E145" i="1" s="1"/>
  <c r="G95" i="5" s="1"/>
  <c r="D67" i="23"/>
  <c r="F67" s="1"/>
  <c r="J67" s="1"/>
  <c r="E147" i="1" s="1"/>
  <c r="G97" i="5" s="1"/>
  <c r="F64" i="23"/>
  <c r="J64" s="1"/>
  <c r="E144" i="1" s="1"/>
  <c r="G94" i="5" s="1"/>
  <c r="F149" i="17"/>
  <c r="K168" i="5" l="1"/>
  <c r="I29" i="3" s="1"/>
  <c r="M168" i="5"/>
  <c r="K29" i="3" s="1"/>
  <c r="O168" i="5"/>
  <c r="M29" i="3" s="1"/>
  <c r="J168" i="5"/>
  <c r="H29" i="3" s="1"/>
  <c r="E168" i="5"/>
  <c r="C29" i="3" s="1"/>
  <c r="G181" i="5"/>
  <c r="E42" i="3" s="1"/>
  <c r="F122" i="25"/>
  <c r="G122" s="1"/>
  <c r="H122" s="1"/>
  <c r="I122" s="1"/>
  <c r="J122" s="1"/>
  <c r="K122" s="1"/>
  <c r="L122" s="1"/>
  <c r="M122" s="1"/>
  <c r="N122" s="1"/>
  <c r="O122" s="1"/>
  <c r="P122" s="1"/>
  <c r="Q122" s="1"/>
  <c r="R122" s="1"/>
  <c r="S122" s="1"/>
  <c r="T122" s="1"/>
  <c r="U122" s="1"/>
  <c r="V122" s="1"/>
  <c r="W122" s="1"/>
  <c r="X122" s="1"/>
  <c r="Y122"/>
  <c r="G149" i="17"/>
  <c r="I148"/>
  <c r="I148" i="19"/>
  <c r="G150" i="20"/>
  <c r="G153" i="19"/>
  <c r="J147" i="20"/>
  <c r="L147" i="17"/>
  <c r="L145" i="19"/>
  <c r="M147" i="17" l="1"/>
  <c r="J148"/>
  <c r="H150" i="20"/>
  <c r="J148" i="19"/>
  <c r="M145"/>
  <c r="K147" i="20"/>
  <c r="H153" i="19"/>
  <c r="H149" i="17"/>
  <c r="N147" l="1"/>
  <c r="K148"/>
  <c r="I149"/>
  <c r="L147" i="20"/>
  <c r="K148" i="19"/>
  <c r="I153"/>
  <c r="N145"/>
  <c r="I150" i="20"/>
  <c r="L148" i="19" l="1"/>
  <c r="M147" i="20"/>
  <c r="L148" i="17"/>
  <c r="O145" i="19"/>
  <c r="J150" i="20"/>
  <c r="J153" i="19"/>
  <c r="J149" i="17"/>
  <c r="O147"/>
  <c r="K150" i="20" l="1"/>
  <c r="M148" i="17"/>
  <c r="M148" i="19"/>
  <c r="P147" i="17"/>
  <c r="K149"/>
  <c r="K153" i="19"/>
  <c r="P145"/>
  <c r="N147" i="20"/>
  <c r="Q145" i="19" l="1"/>
  <c r="L149" i="17"/>
  <c r="N148" i="19"/>
  <c r="O147" i="20"/>
  <c r="L153" i="19"/>
  <c r="Q147" i="17"/>
  <c r="N148"/>
  <c r="L150" i="20"/>
  <c r="O148" i="19" l="1"/>
  <c r="R145"/>
  <c r="M150" i="20"/>
  <c r="M153" i="19"/>
  <c r="P147" i="20"/>
  <c r="M149" i="17"/>
  <c r="O148"/>
  <c r="R147"/>
  <c r="P148" i="19" l="1"/>
  <c r="N149" i="17"/>
  <c r="P148"/>
  <c r="Q147" i="20"/>
  <c r="N150"/>
  <c r="S145" i="19"/>
  <c r="S147" i="17"/>
  <c r="N153" i="19"/>
  <c r="T147" i="17" l="1"/>
  <c r="O150" i="20"/>
  <c r="Q148" i="19"/>
  <c r="O153"/>
  <c r="T145"/>
  <c r="R147" i="20"/>
  <c r="O149" i="17"/>
  <c r="Q148"/>
  <c r="R148" l="1"/>
  <c r="P149"/>
  <c r="S147" i="20"/>
  <c r="P153" i="19"/>
  <c r="R148"/>
  <c r="U147" i="17"/>
  <c r="P150" i="20"/>
  <c r="U145" i="19"/>
  <c r="T147" i="20" l="1"/>
  <c r="S148" i="17"/>
  <c r="S148" i="19"/>
  <c r="V145"/>
  <c r="Q150" i="20"/>
  <c r="Q153" i="19"/>
  <c r="Q149" i="17"/>
  <c r="V147"/>
  <c r="R149" l="1"/>
  <c r="T148" i="19"/>
  <c r="U147" i="20"/>
  <c r="W147" i="17"/>
  <c r="R153" i="19"/>
  <c r="W145"/>
  <c r="T148" i="17"/>
  <c r="R150" i="20"/>
  <c r="X145" i="19" l="1"/>
  <c r="X147" i="17"/>
  <c r="V147" i="20"/>
  <c r="S149" i="17"/>
  <c r="S150" i="20"/>
  <c r="U148" i="17"/>
  <c r="S153" i="19"/>
  <c r="U148"/>
  <c r="V148" l="1"/>
  <c r="T153"/>
  <c r="V148" i="17"/>
  <c r="T150" i="20"/>
  <c r="W147"/>
  <c r="T149" i="17"/>
  <c r="W148" i="19" l="1"/>
  <c r="U150" i="20"/>
  <c r="U153" i="19"/>
  <c r="U149" i="17"/>
  <c r="X147" i="20"/>
  <c r="W148" i="17"/>
  <c r="X148" i="19" l="1"/>
  <c r="X148" i="17"/>
  <c r="V149"/>
  <c r="V153" i="19"/>
  <c r="V150" i="20"/>
  <c r="W153" i="19" l="1"/>
  <c r="W150" i="20"/>
  <c r="W149" i="17"/>
  <c r="X153" i="19" l="1"/>
  <c r="X149" i="17"/>
  <c r="X150" i="20"/>
  <c r="L13" i="25" l="1"/>
  <c r="O13"/>
  <c r="T13"/>
  <c r="W13"/>
  <c r="J13"/>
  <c r="X13"/>
  <c r="K13"/>
  <c r="G13"/>
  <c r="R13"/>
  <c r="M13"/>
  <c r="E13"/>
  <c r="V13"/>
  <c r="F13"/>
  <c r="U13"/>
  <c r="H13"/>
  <c r="P13"/>
  <c r="N13"/>
  <c r="Q13"/>
  <c r="S13"/>
  <c r="I13"/>
  <c r="L13" i="26"/>
  <c r="O13"/>
  <c r="T13"/>
  <c r="W13"/>
  <c r="J13"/>
  <c r="X13"/>
  <c r="K13"/>
  <c r="G13"/>
  <c r="R13"/>
  <c r="M13"/>
  <c r="E13"/>
  <c r="V13"/>
  <c r="F13"/>
  <c r="U13"/>
  <c r="H13"/>
  <c r="P13"/>
  <c r="N13"/>
  <c r="Q13"/>
  <c r="S13"/>
  <c r="I13"/>
  <c r="L13" i="27"/>
  <c r="O13"/>
  <c r="T13"/>
  <c r="W13"/>
  <c r="J13"/>
  <c r="X13"/>
  <c r="K13"/>
  <c r="G13"/>
  <c r="R13"/>
  <c r="M13"/>
  <c r="E13"/>
  <c r="V13"/>
  <c r="F13"/>
  <c r="U13"/>
  <c r="H13"/>
  <c r="P13"/>
  <c r="N13"/>
  <c r="Q13"/>
  <c r="S13"/>
  <c r="I13"/>
  <c r="M13" i="17"/>
  <c r="R13"/>
  <c r="N13"/>
  <c r="G13"/>
  <c r="U13"/>
  <c r="P13"/>
  <c r="V13"/>
  <c r="H13"/>
  <c r="X13"/>
  <c r="Q13"/>
  <c r="S13"/>
  <c r="I13"/>
  <c r="J13"/>
  <c r="E13"/>
  <c r="F13"/>
  <c r="K13"/>
  <c r="O13"/>
  <c r="L13"/>
  <c r="T13"/>
  <c r="W13"/>
  <c r="M13" i="20"/>
  <c r="R13"/>
  <c r="N13"/>
  <c r="G13"/>
  <c r="U13"/>
  <c r="P13"/>
  <c r="V13"/>
  <c r="H13"/>
  <c r="X13"/>
  <c r="Q13"/>
  <c r="S13"/>
  <c r="I13"/>
  <c r="J13"/>
  <c r="E13"/>
  <c r="F13"/>
  <c r="K13"/>
  <c r="O13"/>
  <c r="L13"/>
  <c r="T13"/>
  <c r="W13"/>
  <c r="M13" i="19"/>
  <c r="R13"/>
  <c r="N13"/>
  <c r="G13"/>
  <c r="U13"/>
  <c r="P13"/>
  <c r="V13"/>
  <c r="H13"/>
  <c r="X13"/>
  <c r="Q13"/>
  <c r="S13"/>
  <c r="I13"/>
  <c r="J13"/>
  <c r="E13"/>
  <c r="F13"/>
  <c r="K13"/>
  <c r="O13"/>
  <c r="L13"/>
  <c r="T13"/>
  <c r="W13"/>
  <c r="F16" i="25" l="1"/>
  <c r="F21"/>
  <c r="J16"/>
  <c r="J21"/>
  <c r="U16"/>
  <c r="U21"/>
  <c r="M16"/>
  <c r="M21"/>
  <c r="O16"/>
  <c r="O21"/>
  <c r="S16"/>
  <c r="S21"/>
  <c r="H16"/>
  <c r="H21"/>
  <c r="E21"/>
  <c r="E16"/>
  <c r="AA13"/>
  <c r="K16"/>
  <c r="K21"/>
  <c r="T16"/>
  <c r="T21"/>
  <c r="N16"/>
  <c r="N21"/>
  <c r="R16"/>
  <c r="R21"/>
  <c r="L16"/>
  <c r="L21"/>
  <c r="Q16"/>
  <c r="Q21"/>
  <c r="X16"/>
  <c r="X21"/>
  <c r="I16"/>
  <c r="I21"/>
  <c r="P16"/>
  <c r="P21"/>
  <c r="V21"/>
  <c r="V16"/>
  <c r="G16"/>
  <c r="G21"/>
  <c r="W16"/>
  <c r="W21"/>
  <c r="R16" i="26"/>
  <c r="R21"/>
  <c r="J16"/>
  <c r="J21"/>
  <c r="Q16"/>
  <c r="Q21"/>
  <c r="U21"/>
  <c r="U16"/>
  <c r="X16"/>
  <c r="X21"/>
  <c r="O16"/>
  <c r="O21"/>
  <c r="S16"/>
  <c r="S21"/>
  <c r="H16"/>
  <c r="H21"/>
  <c r="AA13"/>
  <c r="E21"/>
  <c r="E16"/>
  <c r="K16"/>
  <c r="K21"/>
  <c r="T16"/>
  <c r="T21"/>
  <c r="N16"/>
  <c r="N21"/>
  <c r="F16"/>
  <c r="F21"/>
  <c r="L16"/>
  <c r="L21"/>
  <c r="M16"/>
  <c r="M21"/>
  <c r="I16"/>
  <c r="I21"/>
  <c r="P16"/>
  <c r="P21"/>
  <c r="V16"/>
  <c r="V21"/>
  <c r="G16"/>
  <c r="G21"/>
  <c r="W16"/>
  <c r="W21"/>
  <c r="R16" i="27"/>
  <c r="R21"/>
  <c r="J16"/>
  <c r="J21"/>
  <c r="Q16"/>
  <c r="Q21"/>
  <c r="U16"/>
  <c r="U21"/>
  <c r="X16"/>
  <c r="X21"/>
  <c r="O16"/>
  <c r="O21"/>
  <c r="S16"/>
  <c r="S21"/>
  <c r="H16"/>
  <c r="H21"/>
  <c r="E16"/>
  <c r="E21"/>
  <c r="AA13"/>
  <c r="K16"/>
  <c r="K21"/>
  <c r="T16"/>
  <c r="T21"/>
  <c r="N16"/>
  <c r="N21"/>
  <c r="F16"/>
  <c r="F21"/>
  <c r="L16"/>
  <c r="L21"/>
  <c r="M16"/>
  <c r="M21"/>
  <c r="I21"/>
  <c r="I16"/>
  <c r="P16"/>
  <c r="P21"/>
  <c r="V16"/>
  <c r="V21"/>
  <c r="G16"/>
  <c r="G21"/>
  <c r="W21"/>
  <c r="W16"/>
  <c r="O16" i="17"/>
  <c r="O37"/>
  <c r="O29"/>
  <c r="O32" s="1"/>
  <c r="X16"/>
  <c r="Z37"/>
  <c r="X37"/>
  <c r="M16"/>
  <c r="M37"/>
  <c r="M29"/>
  <c r="M32" s="1"/>
  <c r="L16"/>
  <c r="L37"/>
  <c r="L29"/>
  <c r="L32" s="1"/>
  <c r="E16"/>
  <c r="E37"/>
  <c r="E29"/>
  <c r="E32" s="1"/>
  <c r="P16"/>
  <c r="P37"/>
  <c r="P29"/>
  <c r="P32" s="1"/>
  <c r="R16"/>
  <c r="R29"/>
  <c r="R32" s="1"/>
  <c r="R37"/>
  <c r="T37"/>
  <c r="T16"/>
  <c r="F16"/>
  <c r="F37"/>
  <c r="F29"/>
  <c r="F32" s="1"/>
  <c r="S16"/>
  <c r="S29"/>
  <c r="S32" s="1"/>
  <c r="S37"/>
  <c r="V16"/>
  <c r="V37"/>
  <c r="N16"/>
  <c r="N29"/>
  <c r="N32" s="1"/>
  <c r="N37"/>
  <c r="J16"/>
  <c r="J37"/>
  <c r="J29"/>
  <c r="J32" s="1"/>
  <c r="U16"/>
  <c r="U37"/>
  <c r="Q16"/>
  <c r="Q37"/>
  <c r="Q29"/>
  <c r="Q32" s="1"/>
  <c r="W16"/>
  <c r="W37"/>
  <c r="K16"/>
  <c r="K29"/>
  <c r="K32" s="1"/>
  <c r="K37"/>
  <c r="I16"/>
  <c r="I37"/>
  <c r="I29"/>
  <c r="I32" s="1"/>
  <c r="H16"/>
  <c r="H37"/>
  <c r="H29"/>
  <c r="H32" s="1"/>
  <c r="G16"/>
  <c r="G37"/>
  <c r="G29"/>
  <c r="G32" s="1"/>
  <c r="O16" i="20"/>
  <c r="O37"/>
  <c r="O29"/>
  <c r="O32" s="1"/>
  <c r="X16"/>
  <c r="X37"/>
  <c r="Z37"/>
  <c r="M16"/>
  <c r="M37"/>
  <c r="M29"/>
  <c r="M32" s="1"/>
  <c r="L16"/>
  <c r="L37"/>
  <c r="L29"/>
  <c r="L32" s="1"/>
  <c r="Q16"/>
  <c r="Q37"/>
  <c r="Q29"/>
  <c r="Q32" s="1"/>
  <c r="P16"/>
  <c r="P37"/>
  <c r="P29"/>
  <c r="P32" s="1"/>
  <c r="R16"/>
  <c r="R37"/>
  <c r="R29"/>
  <c r="R32" s="1"/>
  <c r="T16"/>
  <c r="T37"/>
  <c r="F16"/>
  <c r="F37"/>
  <c r="F29"/>
  <c r="F32" s="1"/>
  <c r="S16"/>
  <c r="S37"/>
  <c r="S29"/>
  <c r="S32" s="1"/>
  <c r="V37"/>
  <c r="V16"/>
  <c r="N37"/>
  <c r="N16"/>
  <c r="N29"/>
  <c r="N32" s="1"/>
  <c r="J16"/>
  <c r="J37"/>
  <c r="J29"/>
  <c r="J32" s="1"/>
  <c r="U16"/>
  <c r="U37"/>
  <c r="E16"/>
  <c r="E37"/>
  <c r="E29"/>
  <c r="E32" s="1"/>
  <c r="W16"/>
  <c r="W37"/>
  <c r="K16"/>
  <c r="K37"/>
  <c r="K29"/>
  <c r="K32" s="1"/>
  <c r="I16"/>
  <c r="I37"/>
  <c r="I29"/>
  <c r="I32" s="1"/>
  <c r="H16"/>
  <c r="H37"/>
  <c r="H29"/>
  <c r="H32" s="1"/>
  <c r="G16"/>
  <c r="G37"/>
  <c r="G29"/>
  <c r="G32" s="1"/>
  <c r="O16" i="19"/>
  <c r="O37"/>
  <c r="O29"/>
  <c r="O32" s="1"/>
  <c r="J16"/>
  <c r="J37"/>
  <c r="J29"/>
  <c r="J32" s="1"/>
  <c r="U16"/>
  <c r="U37"/>
  <c r="L16"/>
  <c r="L37"/>
  <c r="L29"/>
  <c r="L32" s="1"/>
  <c r="Q16"/>
  <c r="Q37"/>
  <c r="Q29"/>
  <c r="Q32" s="1"/>
  <c r="R16"/>
  <c r="R37"/>
  <c r="R29"/>
  <c r="R32" s="1"/>
  <c r="T16"/>
  <c r="T37"/>
  <c r="F16"/>
  <c r="F37"/>
  <c r="F29"/>
  <c r="F32" s="1"/>
  <c r="S16"/>
  <c r="S37"/>
  <c r="S29"/>
  <c r="S32" s="1"/>
  <c r="V16"/>
  <c r="V37"/>
  <c r="N16"/>
  <c r="N37"/>
  <c r="N29"/>
  <c r="N32" s="1"/>
  <c r="X16"/>
  <c r="X37"/>
  <c r="Z37"/>
  <c r="M16"/>
  <c r="M37"/>
  <c r="M29"/>
  <c r="M32" s="1"/>
  <c r="E16"/>
  <c r="E37"/>
  <c r="E29"/>
  <c r="E32" s="1"/>
  <c r="P16"/>
  <c r="P37"/>
  <c r="P29"/>
  <c r="P32" s="1"/>
  <c r="W16"/>
  <c r="W37"/>
  <c r="K16"/>
  <c r="K37"/>
  <c r="K29"/>
  <c r="K32" s="1"/>
  <c r="I16"/>
  <c r="I37"/>
  <c r="I29"/>
  <c r="I32" s="1"/>
  <c r="H16"/>
  <c r="H29"/>
  <c r="H32" s="1"/>
  <c r="H37"/>
  <c r="G16"/>
  <c r="G37"/>
  <c r="G29"/>
  <c r="G32" s="1"/>
  <c r="AA16" i="26" l="1"/>
  <c r="I24" i="25"/>
  <c r="I29"/>
  <c r="R24"/>
  <c r="R29"/>
  <c r="K24"/>
  <c r="K29"/>
  <c r="M24"/>
  <c r="M29"/>
  <c r="F24"/>
  <c r="F29"/>
  <c r="V24"/>
  <c r="V29"/>
  <c r="X24"/>
  <c r="X29"/>
  <c r="N24"/>
  <c r="N29"/>
  <c r="P24"/>
  <c r="P29"/>
  <c r="L24"/>
  <c r="L29"/>
  <c r="T24"/>
  <c r="T29"/>
  <c r="AA21"/>
  <c r="E24"/>
  <c r="E29"/>
  <c r="O24"/>
  <c r="O29"/>
  <c r="J24"/>
  <c r="J29"/>
  <c r="W24"/>
  <c r="W29"/>
  <c r="G24"/>
  <c r="G29"/>
  <c r="H24"/>
  <c r="H29"/>
  <c r="Q24"/>
  <c r="Q29"/>
  <c r="S24"/>
  <c r="S29"/>
  <c r="U24"/>
  <c r="U29"/>
  <c r="AA16"/>
  <c r="J24" i="26"/>
  <c r="J29"/>
  <c r="P24"/>
  <c r="P29"/>
  <c r="L24"/>
  <c r="L29"/>
  <c r="T24"/>
  <c r="T29"/>
  <c r="H24"/>
  <c r="H29"/>
  <c r="X24"/>
  <c r="X29"/>
  <c r="U24"/>
  <c r="U29"/>
  <c r="R24"/>
  <c r="R29"/>
  <c r="W24"/>
  <c r="W29"/>
  <c r="I24"/>
  <c r="I29"/>
  <c r="F29"/>
  <c r="F24"/>
  <c r="S24"/>
  <c r="S29"/>
  <c r="V24"/>
  <c r="V29"/>
  <c r="M24"/>
  <c r="M29"/>
  <c r="O24"/>
  <c r="O29"/>
  <c r="G24"/>
  <c r="G29"/>
  <c r="N24"/>
  <c r="N29"/>
  <c r="K24"/>
  <c r="K29"/>
  <c r="E24"/>
  <c r="E29"/>
  <c r="AA21"/>
  <c r="Q29"/>
  <c r="Q24"/>
  <c r="V29" i="27"/>
  <c r="V24"/>
  <c r="O24"/>
  <c r="O29"/>
  <c r="J24"/>
  <c r="J29"/>
  <c r="P24"/>
  <c r="P29"/>
  <c r="K29"/>
  <c r="K24"/>
  <c r="X29"/>
  <c r="X24"/>
  <c r="R29"/>
  <c r="R24"/>
  <c r="G29"/>
  <c r="G24"/>
  <c r="F29"/>
  <c r="F24"/>
  <c r="H24"/>
  <c r="H29"/>
  <c r="U24"/>
  <c r="U29"/>
  <c r="AA16"/>
  <c r="L24"/>
  <c r="L29"/>
  <c r="T24"/>
  <c r="T29"/>
  <c r="I24"/>
  <c r="I29"/>
  <c r="E24"/>
  <c r="E29"/>
  <c r="AA21"/>
  <c r="W24"/>
  <c r="W29"/>
  <c r="M29"/>
  <c r="M24"/>
  <c r="N24"/>
  <c r="N29"/>
  <c r="S29"/>
  <c r="S24"/>
  <c r="Q24"/>
  <c r="Q29"/>
  <c r="R39" i="17"/>
  <c r="R48"/>
  <c r="O39"/>
  <c r="O48"/>
  <c r="J39"/>
  <c r="J48"/>
  <c r="S39"/>
  <c r="S48"/>
  <c r="T39"/>
  <c r="H39"/>
  <c r="H48"/>
  <c r="Q48"/>
  <c r="Q39"/>
  <c r="N39"/>
  <c r="N48"/>
  <c r="V39"/>
  <c r="M39"/>
  <c r="M48"/>
  <c r="I39"/>
  <c r="I48"/>
  <c r="U39"/>
  <c r="P39"/>
  <c r="P48"/>
  <c r="X39"/>
  <c r="F39"/>
  <c r="F48"/>
  <c r="E39"/>
  <c r="E48"/>
  <c r="G39"/>
  <c r="G48"/>
  <c r="K39"/>
  <c r="K48"/>
  <c r="W39"/>
  <c r="L39"/>
  <c r="L48"/>
  <c r="M48" i="20"/>
  <c r="M39"/>
  <c r="I39"/>
  <c r="I48"/>
  <c r="U39"/>
  <c r="S39"/>
  <c r="S48"/>
  <c r="P39"/>
  <c r="P48"/>
  <c r="O39"/>
  <c r="O48"/>
  <c r="K39"/>
  <c r="K48"/>
  <c r="J39"/>
  <c r="J48"/>
  <c r="N39"/>
  <c r="N48"/>
  <c r="F39"/>
  <c r="F48"/>
  <c r="Q39"/>
  <c r="Q48"/>
  <c r="H39"/>
  <c r="H48"/>
  <c r="E39"/>
  <c r="E48"/>
  <c r="R39"/>
  <c r="R48"/>
  <c r="X39"/>
  <c r="G39"/>
  <c r="G48"/>
  <c r="W39"/>
  <c r="V39"/>
  <c r="T39"/>
  <c r="L39"/>
  <c r="L48"/>
  <c r="I39" i="19"/>
  <c r="I48"/>
  <c r="E39"/>
  <c r="E48"/>
  <c r="S39"/>
  <c r="S48"/>
  <c r="Q39"/>
  <c r="Q48"/>
  <c r="O39"/>
  <c r="O48"/>
  <c r="K39"/>
  <c r="K48"/>
  <c r="M39"/>
  <c r="M48"/>
  <c r="X39"/>
  <c r="F39"/>
  <c r="F48"/>
  <c r="L39"/>
  <c r="L48"/>
  <c r="P39"/>
  <c r="P48"/>
  <c r="V39"/>
  <c r="R39"/>
  <c r="R48"/>
  <c r="J39"/>
  <c r="J48"/>
  <c r="H39"/>
  <c r="H48"/>
  <c r="G39"/>
  <c r="G48"/>
  <c r="W39"/>
  <c r="N39"/>
  <c r="N48"/>
  <c r="T39"/>
  <c r="U39"/>
  <c r="T132" i="25" l="1"/>
  <c r="T135" s="1"/>
  <c r="T32"/>
  <c r="T38"/>
  <c r="T45" s="1"/>
  <c r="P32"/>
  <c r="P38"/>
  <c r="P45" s="1"/>
  <c r="P132"/>
  <c r="P135" s="1"/>
  <c r="X32"/>
  <c r="X38"/>
  <c r="X45" s="1"/>
  <c r="X132"/>
  <c r="X135" s="1"/>
  <c r="F32"/>
  <c r="F38"/>
  <c r="F45" s="1"/>
  <c r="F132"/>
  <c r="I38"/>
  <c r="I45" s="1"/>
  <c r="I32"/>
  <c r="I132"/>
  <c r="U132"/>
  <c r="U135" s="1"/>
  <c r="U38"/>
  <c r="U45" s="1"/>
  <c r="U32"/>
  <c r="Q32"/>
  <c r="Q38"/>
  <c r="Q45" s="1"/>
  <c r="Q132"/>
  <c r="Q135" s="1"/>
  <c r="G32"/>
  <c r="G38"/>
  <c r="G45" s="1"/>
  <c r="G132"/>
  <c r="J38"/>
  <c r="J45" s="1"/>
  <c r="J32"/>
  <c r="J132"/>
  <c r="J135" s="1"/>
  <c r="AA29"/>
  <c r="E38"/>
  <c r="E32"/>
  <c r="E132"/>
  <c r="K32"/>
  <c r="K38"/>
  <c r="K45" s="1"/>
  <c r="K132"/>
  <c r="K135" s="1"/>
  <c r="S32"/>
  <c r="S38"/>
  <c r="S45" s="1"/>
  <c r="S132"/>
  <c r="S135" s="1"/>
  <c r="H38"/>
  <c r="H45" s="1"/>
  <c r="H32"/>
  <c r="H132"/>
  <c r="W38"/>
  <c r="W45" s="1"/>
  <c r="W32"/>
  <c r="W132"/>
  <c r="W135" s="1"/>
  <c r="O38"/>
  <c r="O45" s="1"/>
  <c r="O32"/>
  <c r="O132"/>
  <c r="O135" s="1"/>
  <c r="L32"/>
  <c r="L38"/>
  <c r="L45" s="1"/>
  <c r="L132"/>
  <c r="L135" s="1"/>
  <c r="N32"/>
  <c r="N38"/>
  <c r="N45" s="1"/>
  <c r="N132"/>
  <c r="N135" s="1"/>
  <c r="V38"/>
  <c r="V45" s="1"/>
  <c r="V32"/>
  <c r="V132"/>
  <c r="V135" s="1"/>
  <c r="M32"/>
  <c r="M38"/>
  <c r="M45" s="1"/>
  <c r="M132"/>
  <c r="M135" s="1"/>
  <c r="R38"/>
  <c r="R45" s="1"/>
  <c r="R32"/>
  <c r="R132"/>
  <c r="R135" s="1"/>
  <c r="AA24" i="26"/>
  <c r="AA24" i="25"/>
  <c r="F32" i="26"/>
  <c r="F38"/>
  <c r="F39"/>
  <c r="F132"/>
  <c r="E32"/>
  <c r="E38"/>
  <c r="AA29"/>
  <c r="E39"/>
  <c r="E132"/>
  <c r="N39"/>
  <c r="N32"/>
  <c r="N38"/>
  <c r="N132"/>
  <c r="N135" s="1"/>
  <c r="O132"/>
  <c r="O135" s="1"/>
  <c r="O32"/>
  <c r="O38"/>
  <c r="O39"/>
  <c r="V39"/>
  <c r="V32"/>
  <c r="V38"/>
  <c r="V132"/>
  <c r="V135" s="1"/>
  <c r="W38"/>
  <c r="W32"/>
  <c r="W39"/>
  <c r="W132"/>
  <c r="W135" s="1"/>
  <c r="U32"/>
  <c r="U39"/>
  <c r="U38"/>
  <c r="U132"/>
  <c r="U135" s="1"/>
  <c r="H132"/>
  <c r="H32"/>
  <c r="H38"/>
  <c r="H39"/>
  <c r="L38"/>
  <c r="L32"/>
  <c r="L39"/>
  <c r="L132"/>
  <c r="L135" s="1"/>
  <c r="J32"/>
  <c r="J38"/>
  <c r="J39"/>
  <c r="J132"/>
  <c r="J135" s="1"/>
  <c r="Q39"/>
  <c r="Q38"/>
  <c r="Q32"/>
  <c r="Q132"/>
  <c r="Q135" s="1"/>
  <c r="K132"/>
  <c r="K135" s="1"/>
  <c r="K39"/>
  <c r="K32"/>
  <c r="K38"/>
  <c r="G38"/>
  <c r="G32"/>
  <c r="G39"/>
  <c r="G132"/>
  <c r="M132"/>
  <c r="M135" s="1"/>
  <c r="M32"/>
  <c r="M38"/>
  <c r="M39"/>
  <c r="S32"/>
  <c r="S38"/>
  <c r="S39"/>
  <c r="S132"/>
  <c r="S135" s="1"/>
  <c r="I32"/>
  <c r="I39"/>
  <c r="I38"/>
  <c r="I132"/>
  <c r="R32"/>
  <c r="R39"/>
  <c r="R38"/>
  <c r="R132"/>
  <c r="R135" s="1"/>
  <c r="X32"/>
  <c r="X38"/>
  <c r="X39"/>
  <c r="X132"/>
  <c r="X135" s="1"/>
  <c r="T132"/>
  <c r="T135" s="1"/>
  <c r="T32"/>
  <c r="T39"/>
  <c r="T38"/>
  <c r="P39"/>
  <c r="P38"/>
  <c r="P32"/>
  <c r="P132"/>
  <c r="P135" s="1"/>
  <c r="L32" i="27"/>
  <c r="L38"/>
  <c r="L132"/>
  <c r="L135" s="1"/>
  <c r="F132"/>
  <c r="F38"/>
  <c r="F32"/>
  <c r="K38"/>
  <c r="K32"/>
  <c r="K132"/>
  <c r="K135" s="1"/>
  <c r="U38"/>
  <c r="U32"/>
  <c r="U132"/>
  <c r="U135" s="1"/>
  <c r="S32"/>
  <c r="S38"/>
  <c r="S132"/>
  <c r="S135" s="1"/>
  <c r="M38"/>
  <c r="M32"/>
  <c r="M132"/>
  <c r="M135" s="1"/>
  <c r="E32"/>
  <c r="E38"/>
  <c r="AA29"/>
  <c r="E132"/>
  <c r="T38"/>
  <c r="T32"/>
  <c r="T132"/>
  <c r="T135" s="1"/>
  <c r="G132"/>
  <c r="G38"/>
  <c r="G32"/>
  <c r="X38"/>
  <c r="X32"/>
  <c r="X132"/>
  <c r="X135" s="1"/>
  <c r="AA24"/>
  <c r="I38"/>
  <c r="I32"/>
  <c r="I132"/>
  <c r="R32"/>
  <c r="R38"/>
  <c r="R132"/>
  <c r="R135" s="1"/>
  <c r="V132"/>
  <c r="V135" s="1"/>
  <c r="V32"/>
  <c r="V38"/>
  <c r="Q32"/>
  <c r="Q38"/>
  <c r="Q132"/>
  <c r="Q135" s="1"/>
  <c r="N32"/>
  <c r="N38"/>
  <c r="N132"/>
  <c r="N135" s="1"/>
  <c r="W38"/>
  <c r="W32"/>
  <c r="W132"/>
  <c r="W135" s="1"/>
  <c r="J38"/>
  <c r="J32"/>
  <c r="J132"/>
  <c r="J135" s="1"/>
  <c r="H38"/>
  <c r="H32"/>
  <c r="H132"/>
  <c r="P38"/>
  <c r="P32"/>
  <c r="P132"/>
  <c r="P135" s="1"/>
  <c r="O38"/>
  <c r="O32"/>
  <c r="O132"/>
  <c r="O135" s="1"/>
  <c r="Z39" i="17"/>
  <c r="Q50"/>
  <c r="Q63"/>
  <c r="W11" i="28" s="1"/>
  <c r="Q58" i="17"/>
  <c r="Q62"/>
  <c r="W10" i="28" s="1"/>
  <c r="Q60" i="17"/>
  <c r="W8" i="28" s="1"/>
  <c r="Q59" i="17"/>
  <c r="W7" i="28" s="1"/>
  <c r="Q61" i="17"/>
  <c r="W9" i="28" s="1"/>
  <c r="G59" i="17"/>
  <c r="M7" i="28" s="1"/>
  <c r="G50" i="17"/>
  <c r="G60"/>
  <c r="M8" i="28" s="1"/>
  <c r="G61" i="17"/>
  <c r="M9" i="28" s="1"/>
  <c r="G58" i="17"/>
  <c r="G62"/>
  <c r="M10" i="28" s="1"/>
  <c r="G63" i="17"/>
  <c r="M11" i="28" s="1"/>
  <c r="E60" i="17"/>
  <c r="E59"/>
  <c r="E50"/>
  <c r="E62"/>
  <c r="E58"/>
  <c r="E63"/>
  <c r="E61"/>
  <c r="J63"/>
  <c r="P11" i="28" s="1"/>
  <c r="J61" i="17"/>
  <c r="P9" i="28" s="1"/>
  <c r="J50" i="17"/>
  <c r="J59"/>
  <c r="P7" i="28" s="1"/>
  <c r="J62" i="17"/>
  <c r="P10" i="28" s="1"/>
  <c r="J60" i="17"/>
  <c r="P8" i="28" s="1"/>
  <c r="J58" i="17"/>
  <c r="R61"/>
  <c r="X9" i="28" s="1"/>
  <c r="R59" i="17"/>
  <c r="X7" i="28" s="1"/>
  <c r="R63" i="17"/>
  <c r="X11" i="28" s="1"/>
  <c r="R50" i="17"/>
  <c r="R60"/>
  <c r="X8" i="28" s="1"/>
  <c r="R62" i="17"/>
  <c r="X10" i="28" s="1"/>
  <c r="R58" i="17"/>
  <c r="L62"/>
  <c r="R10" i="28" s="1"/>
  <c r="L58" i="17"/>
  <c r="L61"/>
  <c r="R9" i="28" s="1"/>
  <c r="L50" i="17"/>
  <c r="L60"/>
  <c r="R8" i="28" s="1"/>
  <c r="L63" i="17"/>
  <c r="R11" i="28" s="1"/>
  <c r="L59" i="17"/>
  <c r="R7" i="28" s="1"/>
  <c r="K50" i="17"/>
  <c r="K61"/>
  <c r="Q9" i="28" s="1"/>
  <c r="K62" i="17"/>
  <c r="Q10" i="28" s="1"/>
  <c r="K60" i="17"/>
  <c r="Q8" i="28" s="1"/>
  <c r="K63" i="17"/>
  <c r="Q11" i="28" s="1"/>
  <c r="K59" i="17"/>
  <c r="Q7" i="28" s="1"/>
  <c r="K58" i="17"/>
  <c r="F58"/>
  <c r="F59"/>
  <c r="L7" i="28" s="1"/>
  <c r="F63" i="17"/>
  <c r="L11" i="28" s="1"/>
  <c r="F50" i="17"/>
  <c r="F60"/>
  <c r="L8" i="28" s="1"/>
  <c r="F62" i="17"/>
  <c r="L10" i="28" s="1"/>
  <c r="F61" i="17"/>
  <c r="L9" i="28" s="1"/>
  <c r="P60" i="17"/>
  <c r="V8" i="28" s="1"/>
  <c r="P58" i="17"/>
  <c r="P50"/>
  <c r="P63"/>
  <c r="V11" i="28" s="1"/>
  <c r="P59" i="17"/>
  <c r="V7" i="28" s="1"/>
  <c r="P61" i="17"/>
  <c r="V9" i="28" s="1"/>
  <c r="P62" i="17"/>
  <c r="V10" i="28" s="1"/>
  <c r="I62" i="17"/>
  <c r="O10" i="28" s="1"/>
  <c r="I59" i="17"/>
  <c r="O7" i="28" s="1"/>
  <c r="I58" i="17"/>
  <c r="I63"/>
  <c r="O11" i="28" s="1"/>
  <c r="I50" i="17"/>
  <c r="I61"/>
  <c r="O9" i="28" s="1"/>
  <c r="I60" i="17"/>
  <c r="O8" i="28" s="1"/>
  <c r="M63" i="17"/>
  <c r="S11" i="28" s="1"/>
  <c r="M62" i="17"/>
  <c r="S10" i="28" s="1"/>
  <c r="M61" i="17"/>
  <c r="S9" i="28" s="1"/>
  <c r="M58" i="17"/>
  <c r="M50"/>
  <c r="M59"/>
  <c r="S7" i="28" s="1"/>
  <c r="M60" i="17"/>
  <c r="S8" i="28" s="1"/>
  <c r="N60" i="17"/>
  <c r="T8" i="28" s="1"/>
  <c r="N59" i="17"/>
  <c r="T7" i="28" s="1"/>
  <c r="N58" i="17"/>
  <c r="N50"/>
  <c r="N61"/>
  <c r="T9" i="28" s="1"/>
  <c r="N62" i="17"/>
  <c r="T10" i="28" s="1"/>
  <c r="N63" i="17"/>
  <c r="T11" i="28" s="1"/>
  <c r="H60" i="17"/>
  <c r="N8" i="28" s="1"/>
  <c r="H62" i="17"/>
  <c r="N10" i="28" s="1"/>
  <c r="H58" i="17"/>
  <c r="H63"/>
  <c r="N11" i="28" s="1"/>
  <c r="H50" i="17"/>
  <c r="H59"/>
  <c r="N7" i="28" s="1"/>
  <c r="H61" i="17"/>
  <c r="N9" i="28" s="1"/>
  <c r="S63" i="17"/>
  <c r="Y11" i="28" s="1"/>
  <c r="S50" i="17"/>
  <c r="S59"/>
  <c r="Y7" i="28" s="1"/>
  <c r="S60" i="17"/>
  <c r="Y8" i="28" s="1"/>
  <c r="S61" i="17"/>
  <c r="Y9" i="28" s="1"/>
  <c r="S62" i="17"/>
  <c r="Y10" i="28" s="1"/>
  <c r="S58" i="17"/>
  <c r="O61"/>
  <c r="U9" i="28" s="1"/>
  <c r="O50" i="17"/>
  <c r="O58"/>
  <c r="O63"/>
  <c r="U11" i="28" s="1"/>
  <c r="O59" i="17"/>
  <c r="U7" i="28" s="1"/>
  <c r="O62" i="17"/>
  <c r="U10" i="28" s="1"/>
  <c r="O60" i="17"/>
  <c r="U8" i="28" s="1"/>
  <c r="M62" i="20"/>
  <c r="S16" i="28" s="1"/>
  <c r="M58" i="20"/>
  <c r="M61"/>
  <c r="S15" i="28" s="1"/>
  <c r="M50" i="20"/>
  <c r="M63"/>
  <c r="S17" i="28" s="1"/>
  <c r="M59" i="20"/>
  <c r="S13" i="28" s="1"/>
  <c r="M60" i="20"/>
  <c r="S14" i="28" s="1"/>
  <c r="E60" i="20"/>
  <c r="E62"/>
  <c r="E59"/>
  <c r="E58"/>
  <c r="E50"/>
  <c r="E61"/>
  <c r="E63"/>
  <c r="F61"/>
  <c r="L15" i="28" s="1"/>
  <c r="F60" i="20"/>
  <c r="L14" i="28" s="1"/>
  <c r="F58" i="20"/>
  <c r="F63"/>
  <c r="L17" i="28" s="1"/>
  <c r="F50" i="20"/>
  <c r="F59"/>
  <c r="L13" i="28" s="1"/>
  <c r="F62" i="20"/>
  <c r="L16" i="28" s="1"/>
  <c r="J61" i="20"/>
  <c r="P15" i="28" s="1"/>
  <c r="J58" i="20"/>
  <c r="J62"/>
  <c r="P16" i="28" s="1"/>
  <c r="J50" i="20"/>
  <c r="J59"/>
  <c r="P13" i="28" s="1"/>
  <c r="J60" i="20"/>
  <c r="P14" i="28" s="1"/>
  <c r="J63" i="20"/>
  <c r="P17" i="28" s="1"/>
  <c r="O59" i="20"/>
  <c r="U13" i="28" s="1"/>
  <c r="O63" i="20"/>
  <c r="U17" i="28" s="1"/>
  <c r="O61" i="20"/>
  <c r="U15" i="28" s="1"/>
  <c r="O50" i="20"/>
  <c r="O58"/>
  <c r="O62"/>
  <c r="U16" i="28" s="1"/>
  <c r="O60" i="20"/>
  <c r="U14" i="28" s="1"/>
  <c r="P61" i="20"/>
  <c r="V15" i="28" s="1"/>
  <c r="P58" i="20"/>
  <c r="P62"/>
  <c r="V16" i="28" s="1"/>
  <c r="P50" i="20"/>
  <c r="P63"/>
  <c r="V17" i="28" s="1"/>
  <c r="P60" i="20"/>
  <c r="V14" i="28" s="1"/>
  <c r="P59" i="20"/>
  <c r="V13" i="28" s="1"/>
  <c r="L62" i="20"/>
  <c r="R16" i="28" s="1"/>
  <c r="L59" i="20"/>
  <c r="R13" i="28" s="1"/>
  <c r="L61" i="20"/>
  <c r="R15" i="28" s="1"/>
  <c r="L58" i="20"/>
  <c r="L63"/>
  <c r="R17" i="28" s="1"/>
  <c r="L50" i="20"/>
  <c r="L60"/>
  <c r="R14" i="28" s="1"/>
  <c r="G62" i="20"/>
  <c r="M16" i="28" s="1"/>
  <c r="G58" i="20"/>
  <c r="G61"/>
  <c r="M15" i="28" s="1"/>
  <c r="G63" i="20"/>
  <c r="M17" i="28" s="1"/>
  <c r="G60" i="20"/>
  <c r="M14" i="28" s="1"/>
  <c r="G59" i="20"/>
  <c r="M13" i="28" s="1"/>
  <c r="G50" i="20"/>
  <c r="R58"/>
  <c r="R63"/>
  <c r="X17" i="28" s="1"/>
  <c r="R59" i="20"/>
  <c r="X13" i="28" s="1"/>
  <c r="R61" i="20"/>
  <c r="X15" i="28" s="1"/>
  <c r="R50" i="20"/>
  <c r="R60"/>
  <c r="X14" i="28" s="1"/>
  <c r="R62" i="20"/>
  <c r="X16" i="28" s="1"/>
  <c r="H60" i="20"/>
  <c r="N14" i="28" s="1"/>
  <c r="H58" i="20"/>
  <c r="H61"/>
  <c r="N15" i="28" s="1"/>
  <c r="H50" i="20"/>
  <c r="H63"/>
  <c r="N17" i="28" s="1"/>
  <c r="H62" i="20"/>
  <c r="N16" i="28" s="1"/>
  <c r="H59" i="20"/>
  <c r="N13" i="28" s="1"/>
  <c r="Q60" i="20"/>
  <c r="W14" i="28" s="1"/>
  <c r="Q59" i="20"/>
  <c r="W13" i="28" s="1"/>
  <c r="Q63" i="20"/>
  <c r="W17" i="28" s="1"/>
  <c r="Q62" i="20"/>
  <c r="W16" i="28" s="1"/>
  <c r="Q50" i="20"/>
  <c r="Q58"/>
  <c r="Q61"/>
  <c r="W15" i="28" s="1"/>
  <c r="N61" i="20"/>
  <c r="T15" i="28" s="1"/>
  <c r="N62" i="20"/>
  <c r="T16" i="28" s="1"/>
  <c r="N63" i="20"/>
  <c r="T17" i="28" s="1"/>
  <c r="N58" i="20"/>
  <c r="N59"/>
  <c r="T13" i="28" s="1"/>
  <c r="N50" i="20"/>
  <c r="N60"/>
  <c r="T14" i="28" s="1"/>
  <c r="K63" i="20"/>
  <c r="Q17" i="28" s="1"/>
  <c r="K61" i="20"/>
  <c r="Q15" i="28" s="1"/>
  <c r="K58" i="20"/>
  <c r="K59"/>
  <c r="Q13" i="28" s="1"/>
  <c r="K50" i="20"/>
  <c r="K62"/>
  <c r="Q16" i="28" s="1"/>
  <c r="K60" i="20"/>
  <c r="Q14" i="28" s="1"/>
  <c r="S58" i="20"/>
  <c r="S63"/>
  <c r="Y17" i="28" s="1"/>
  <c r="S62" i="20"/>
  <c r="Y16" i="28" s="1"/>
  <c r="S59" i="20"/>
  <c r="Y13" i="28" s="1"/>
  <c r="S60" i="20"/>
  <c r="Y14" i="28" s="1"/>
  <c r="S50" i="20"/>
  <c r="S61"/>
  <c r="Y15" i="28" s="1"/>
  <c r="I62" i="20"/>
  <c r="O16" i="28" s="1"/>
  <c r="I60" i="20"/>
  <c r="O14" i="28" s="1"/>
  <c r="I50" i="20"/>
  <c r="I63"/>
  <c r="O17" i="28" s="1"/>
  <c r="I61" i="20"/>
  <c r="O15" i="28" s="1"/>
  <c r="I59" i="20"/>
  <c r="O13" i="28" s="1"/>
  <c r="I58" i="20"/>
  <c r="Z39"/>
  <c r="P59" i="19"/>
  <c r="V19" i="28" s="1"/>
  <c r="P58" i="19"/>
  <c r="P61"/>
  <c r="V21" i="28" s="1"/>
  <c r="P60" i="19"/>
  <c r="V20" i="28" s="1"/>
  <c r="P50" i="19"/>
  <c r="N59"/>
  <c r="T19" i="28" s="1"/>
  <c r="N61" i="19"/>
  <c r="T21" i="28" s="1"/>
  <c r="N60" i="19"/>
  <c r="T20" i="28" s="1"/>
  <c r="N58" i="19"/>
  <c r="N50"/>
  <c r="G58"/>
  <c r="G61"/>
  <c r="M21" i="28" s="1"/>
  <c r="G50" i="19"/>
  <c r="G59"/>
  <c r="M19" i="28" s="1"/>
  <c r="G60" i="19"/>
  <c r="M20" i="28" s="1"/>
  <c r="J59" i="19"/>
  <c r="P19" i="28" s="1"/>
  <c r="J61" i="19"/>
  <c r="P21" i="28" s="1"/>
  <c r="J58" i="19"/>
  <c r="J60"/>
  <c r="P20" i="28" s="1"/>
  <c r="J50" i="19"/>
  <c r="F50"/>
  <c r="F58"/>
  <c r="F59"/>
  <c r="L19" i="28" s="1"/>
  <c r="F60" i="19"/>
  <c r="L20" i="28" s="1"/>
  <c r="F61" i="19"/>
  <c r="L21" i="28" s="1"/>
  <c r="M59" i="19"/>
  <c r="S19" i="28" s="1"/>
  <c r="M58" i="19"/>
  <c r="M50"/>
  <c r="M60"/>
  <c r="S20" i="28" s="1"/>
  <c r="M61" i="19"/>
  <c r="S21" i="28" s="1"/>
  <c r="O50" i="19"/>
  <c r="O61"/>
  <c r="U21" i="28" s="1"/>
  <c r="O58" i="19"/>
  <c r="O60"/>
  <c r="U20" i="28" s="1"/>
  <c r="O59" i="19"/>
  <c r="U19" i="28" s="1"/>
  <c r="S60" i="19"/>
  <c r="Y20" i="28" s="1"/>
  <c r="S59" i="19"/>
  <c r="Y19" i="28" s="1"/>
  <c r="S58" i="19"/>
  <c r="S61"/>
  <c r="Y21" i="28" s="1"/>
  <c r="S50" i="19"/>
  <c r="I50"/>
  <c r="I60"/>
  <c r="O20" i="28" s="1"/>
  <c r="I58" i="19"/>
  <c r="I61"/>
  <c r="O21" i="28" s="1"/>
  <c r="I59" i="19"/>
  <c r="O19" i="28" s="1"/>
  <c r="H60" i="19"/>
  <c r="N20" i="28" s="1"/>
  <c r="H58" i="19"/>
  <c r="H50"/>
  <c r="H59"/>
  <c r="N19" i="28" s="1"/>
  <c r="H61" i="19"/>
  <c r="N21" i="28" s="1"/>
  <c r="R59" i="19"/>
  <c r="X19" i="28" s="1"/>
  <c r="R58" i="19"/>
  <c r="R50"/>
  <c r="R60"/>
  <c r="X20" i="28" s="1"/>
  <c r="R61" i="19"/>
  <c r="X21" i="28" s="1"/>
  <c r="L61" i="19"/>
  <c r="R21" i="28" s="1"/>
  <c r="L59" i="19"/>
  <c r="R19" i="28" s="1"/>
  <c r="L58" i="19"/>
  <c r="L60"/>
  <c r="R20" i="28" s="1"/>
  <c r="L50" i="19"/>
  <c r="K58"/>
  <c r="K50"/>
  <c r="K60"/>
  <c r="Q20" i="28" s="1"/>
  <c r="K59" i="19"/>
  <c r="Q19" i="28" s="1"/>
  <c r="K61" i="19"/>
  <c r="Q21" i="28" s="1"/>
  <c r="Q50" i="19"/>
  <c r="Q60"/>
  <c r="W20" i="28" s="1"/>
  <c r="Q61" i="19"/>
  <c r="W21" i="28" s="1"/>
  <c r="Q58" i="19"/>
  <c r="Q59"/>
  <c r="W19" i="28" s="1"/>
  <c r="E60" i="19"/>
  <c r="E58"/>
  <c r="E59"/>
  <c r="E61"/>
  <c r="E50"/>
  <c r="Z39"/>
  <c r="AA38" i="25" l="1"/>
  <c r="B45" s="1"/>
  <c r="E45"/>
  <c r="Y38"/>
  <c r="E135"/>
  <c r="AA132"/>
  <c r="T21" i="17"/>
  <c r="I135" i="25"/>
  <c r="X21" i="17"/>
  <c r="H135" i="25"/>
  <c r="W21" i="17"/>
  <c r="V21"/>
  <c r="G135" i="25"/>
  <c r="U21" i="17"/>
  <c r="F135" i="25"/>
  <c r="AA32"/>
  <c r="AA32" i="26"/>
  <c r="X21" i="20"/>
  <c r="I135" i="26"/>
  <c r="M62"/>
  <c r="M67"/>
  <c r="M65"/>
  <c r="M66"/>
  <c r="M63"/>
  <c r="M100" s="1"/>
  <c r="M77"/>
  <c r="M71"/>
  <c r="M81"/>
  <c r="S4" i="28"/>
  <c r="M58" i="26"/>
  <c r="M64"/>
  <c r="M69"/>
  <c r="M79"/>
  <c r="M75"/>
  <c r="M56"/>
  <c r="M55"/>
  <c r="M72"/>
  <c r="M70"/>
  <c r="M80"/>
  <c r="M60"/>
  <c r="M54"/>
  <c r="M61"/>
  <c r="M53"/>
  <c r="M90" s="1"/>
  <c r="M73"/>
  <c r="M57"/>
  <c r="M78"/>
  <c r="M115" s="1"/>
  <c r="M68"/>
  <c r="M105" s="1"/>
  <c r="M76"/>
  <c r="M74"/>
  <c r="M59"/>
  <c r="M96" s="1"/>
  <c r="G135"/>
  <c r="V21" i="20"/>
  <c r="H71" i="26"/>
  <c r="H53"/>
  <c r="H90" s="1"/>
  <c r="H69"/>
  <c r="H66"/>
  <c r="H63"/>
  <c r="H70"/>
  <c r="H55"/>
  <c r="H79"/>
  <c r="H68"/>
  <c r="H72"/>
  <c r="H80"/>
  <c r="H59"/>
  <c r="H76"/>
  <c r="H54"/>
  <c r="H77"/>
  <c r="H65"/>
  <c r="H56"/>
  <c r="H78"/>
  <c r="H60"/>
  <c r="H75"/>
  <c r="H61"/>
  <c r="H81"/>
  <c r="H64"/>
  <c r="H74"/>
  <c r="H67"/>
  <c r="H57"/>
  <c r="H58"/>
  <c r="H62"/>
  <c r="N4" i="28"/>
  <c r="H73" i="26"/>
  <c r="H110" s="1"/>
  <c r="O56"/>
  <c r="O54"/>
  <c r="U4" i="28"/>
  <c r="O75" i="26"/>
  <c r="O69"/>
  <c r="O64"/>
  <c r="O61"/>
  <c r="O74"/>
  <c r="O62"/>
  <c r="O58"/>
  <c r="O78"/>
  <c r="O55"/>
  <c r="O79"/>
  <c r="O53"/>
  <c r="O90" s="1"/>
  <c r="O70"/>
  <c r="O65"/>
  <c r="O77"/>
  <c r="O76"/>
  <c r="O63"/>
  <c r="O60"/>
  <c r="O80"/>
  <c r="O117" s="1"/>
  <c r="O68"/>
  <c r="O71"/>
  <c r="O108" s="1"/>
  <c r="O72"/>
  <c r="O57"/>
  <c r="O94" s="1"/>
  <c r="O81"/>
  <c r="O66"/>
  <c r="O67"/>
  <c r="O73"/>
  <c r="O59"/>
  <c r="O96" s="1"/>
  <c r="T21" i="20"/>
  <c r="E135" i="26"/>
  <c r="AA132"/>
  <c r="Q62"/>
  <c r="Q78"/>
  <c r="Q55"/>
  <c r="Q63"/>
  <c r="Q75"/>
  <c r="Q61"/>
  <c r="Q69"/>
  <c r="Q74"/>
  <c r="W4" i="28"/>
  <c r="Q68" i="26"/>
  <c r="Q54"/>
  <c r="Q73"/>
  <c r="Q79"/>
  <c r="Q59"/>
  <c r="Q76"/>
  <c r="Q72"/>
  <c r="Q65"/>
  <c r="Q80"/>
  <c r="Q60"/>
  <c r="Q56"/>
  <c r="Q71"/>
  <c r="Q66"/>
  <c r="Q67"/>
  <c r="Q77"/>
  <c r="Q53"/>
  <c r="Q90" s="1"/>
  <c r="Q70"/>
  <c r="Q57"/>
  <c r="Q81"/>
  <c r="Q58"/>
  <c r="Q64"/>
  <c r="L82"/>
  <c r="R3" i="28"/>
  <c r="L45" i="26"/>
  <c r="AC3" i="28"/>
  <c r="W45" i="26"/>
  <c r="W82"/>
  <c r="V66"/>
  <c r="AB4" i="28"/>
  <c r="V54" i="26"/>
  <c r="V73"/>
  <c r="V57"/>
  <c r="V80"/>
  <c r="V74"/>
  <c r="V79"/>
  <c r="V78"/>
  <c r="V81"/>
  <c r="V118" s="1"/>
  <c r="V56"/>
  <c r="V75"/>
  <c r="V64"/>
  <c r="V62"/>
  <c r="V72"/>
  <c r="V58"/>
  <c r="V67"/>
  <c r="V104" s="1"/>
  <c r="V59"/>
  <c r="V76"/>
  <c r="V69"/>
  <c r="V63"/>
  <c r="V70"/>
  <c r="V55"/>
  <c r="V92" s="1"/>
  <c r="V61"/>
  <c r="V71"/>
  <c r="V68"/>
  <c r="V53"/>
  <c r="V90" s="1"/>
  <c r="V60"/>
  <c r="V77"/>
  <c r="V65"/>
  <c r="N62"/>
  <c r="N79"/>
  <c r="N70"/>
  <c r="N64"/>
  <c r="N65"/>
  <c r="N54"/>
  <c r="N71"/>
  <c r="N55"/>
  <c r="N78"/>
  <c r="N66"/>
  <c r="N59"/>
  <c r="N77"/>
  <c r="N60"/>
  <c r="N69"/>
  <c r="N58"/>
  <c r="T4" i="28"/>
  <c r="N53" i="26"/>
  <c r="N90" s="1"/>
  <c r="N76"/>
  <c r="N68"/>
  <c r="N80"/>
  <c r="N73"/>
  <c r="N61"/>
  <c r="N75"/>
  <c r="N67"/>
  <c r="N81"/>
  <c r="N63"/>
  <c r="N100" s="1"/>
  <c r="N57"/>
  <c r="N56"/>
  <c r="N93" s="1"/>
  <c r="N74"/>
  <c r="N111" s="1"/>
  <c r="N72"/>
  <c r="F82"/>
  <c r="F45"/>
  <c r="L3" i="28"/>
  <c r="V3"/>
  <c r="P82" i="26"/>
  <c r="P45"/>
  <c r="X82"/>
  <c r="AD3" i="28"/>
  <c r="X45" i="26"/>
  <c r="R55"/>
  <c r="R62"/>
  <c r="R61"/>
  <c r="R65"/>
  <c r="R56"/>
  <c r="R93" s="1"/>
  <c r="X4" i="28"/>
  <c r="R58" i="26"/>
  <c r="R79"/>
  <c r="R80"/>
  <c r="R68"/>
  <c r="R60"/>
  <c r="R78"/>
  <c r="R67"/>
  <c r="R77"/>
  <c r="R73"/>
  <c r="R69"/>
  <c r="R53"/>
  <c r="R90" s="1"/>
  <c r="R75"/>
  <c r="R72"/>
  <c r="R64"/>
  <c r="R66"/>
  <c r="R76"/>
  <c r="R113" s="1"/>
  <c r="R57"/>
  <c r="R63"/>
  <c r="R74"/>
  <c r="R71"/>
  <c r="R81"/>
  <c r="R70"/>
  <c r="R107" s="1"/>
  <c r="R54"/>
  <c r="R91" s="1"/>
  <c r="R59"/>
  <c r="I81"/>
  <c r="I75"/>
  <c r="I79"/>
  <c r="I54"/>
  <c r="I73"/>
  <c r="O4" i="28"/>
  <c r="I69" i="26"/>
  <c r="I63"/>
  <c r="I64"/>
  <c r="I71"/>
  <c r="I55"/>
  <c r="I74"/>
  <c r="I76"/>
  <c r="I56"/>
  <c r="I53"/>
  <c r="I90" s="1"/>
  <c r="I68"/>
  <c r="I61"/>
  <c r="I57"/>
  <c r="I94" s="1"/>
  <c r="I70"/>
  <c r="I107" s="1"/>
  <c r="I72"/>
  <c r="I62"/>
  <c r="I99" s="1"/>
  <c r="I59"/>
  <c r="I67"/>
  <c r="I60"/>
  <c r="I65"/>
  <c r="I102" s="1"/>
  <c r="I80"/>
  <c r="I78"/>
  <c r="I77"/>
  <c r="I58"/>
  <c r="I66"/>
  <c r="S45"/>
  <c r="Y3" i="28"/>
  <c r="S82" i="26"/>
  <c r="K68"/>
  <c r="K70"/>
  <c r="Q4" i="28"/>
  <c r="K61" i="26"/>
  <c r="K64"/>
  <c r="K75"/>
  <c r="K81"/>
  <c r="K66"/>
  <c r="K71"/>
  <c r="K67"/>
  <c r="K72"/>
  <c r="K60"/>
  <c r="K80"/>
  <c r="K74"/>
  <c r="K76"/>
  <c r="K65"/>
  <c r="K55"/>
  <c r="K59"/>
  <c r="K58"/>
  <c r="K63"/>
  <c r="K79"/>
  <c r="K62"/>
  <c r="K57"/>
  <c r="K56"/>
  <c r="K69"/>
  <c r="K106" s="1"/>
  <c r="K54"/>
  <c r="K53"/>
  <c r="K90" s="1"/>
  <c r="K78"/>
  <c r="K77"/>
  <c r="K73"/>
  <c r="W3" i="28"/>
  <c r="Q82" i="26"/>
  <c r="Q119" s="1"/>
  <c r="Q45"/>
  <c r="J45"/>
  <c r="J82"/>
  <c r="P3" i="28"/>
  <c r="AA4"/>
  <c r="U55" i="26"/>
  <c r="U77"/>
  <c r="U76"/>
  <c r="U113" s="1"/>
  <c r="U73"/>
  <c r="U79"/>
  <c r="U75"/>
  <c r="U62"/>
  <c r="U68"/>
  <c r="U70"/>
  <c r="U60"/>
  <c r="U54"/>
  <c r="U63"/>
  <c r="U66"/>
  <c r="U69"/>
  <c r="U56"/>
  <c r="U64"/>
  <c r="U101" s="1"/>
  <c r="U81"/>
  <c r="U78"/>
  <c r="U115" s="1"/>
  <c r="U65"/>
  <c r="U80"/>
  <c r="U61"/>
  <c r="U71"/>
  <c r="U67"/>
  <c r="U57"/>
  <c r="U59"/>
  <c r="U74"/>
  <c r="U53"/>
  <c r="U90" s="1"/>
  <c r="U58"/>
  <c r="U95" s="1"/>
  <c r="U72"/>
  <c r="F68"/>
  <c r="L4" i="28"/>
  <c r="F59" i="26"/>
  <c r="F79"/>
  <c r="F71"/>
  <c r="F77"/>
  <c r="F61"/>
  <c r="F56"/>
  <c r="F62"/>
  <c r="F70"/>
  <c r="F73"/>
  <c r="F64"/>
  <c r="F63"/>
  <c r="F100" s="1"/>
  <c r="F75"/>
  <c r="F57"/>
  <c r="F60"/>
  <c r="F65"/>
  <c r="F80"/>
  <c r="F74"/>
  <c r="F55"/>
  <c r="F53"/>
  <c r="F90" s="1"/>
  <c r="F54"/>
  <c r="F72"/>
  <c r="F76"/>
  <c r="F66"/>
  <c r="F103" s="1"/>
  <c r="F67"/>
  <c r="F58"/>
  <c r="F95" s="1"/>
  <c r="F69"/>
  <c r="F78"/>
  <c r="F81"/>
  <c r="F118" s="1"/>
  <c r="T45"/>
  <c r="T82"/>
  <c r="Z3" i="28"/>
  <c r="K82" i="26"/>
  <c r="K119" s="1"/>
  <c r="K45"/>
  <c r="Q3" i="28"/>
  <c r="P56" i="26"/>
  <c r="P81"/>
  <c r="P66"/>
  <c r="P75"/>
  <c r="P71"/>
  <c r="P78"/>
  <c r="P60"/>
  <c r="P72"/>
  <c r="P74"/>
  <c r="P69"/>
  <c r="V4" i="28"/>
  <c r="P61" i="26"/>
  <c r="P54"/>
  <c r="P76"/>
  <c r="P58"/>
  <c r="P57"/>
  <c r="P73"/>
  <c r="P64"/>
  <c r="P68"/>
  <c r="P53"/>
  <c r="P90" s="1"/>
  <c r="P65"/>
  <c r="P55"/>
  <c r="P92" s="1"/>
  <c r="P79"/>
  <c r="P80"/>
  <c r="P67"/>
  <c r="P63"/>
  <c r="P70"/>
  <c r="P59"/>
  <c r="P77"/>
  <c r="P62"/>
  <c r="M3" i="28"/>
  <c r="G45" i="26"/>
  <c r="G82"/>
  <c r="H135"/>
  <c r="W21" i="20"/>
  <c r="E82" i="26"/>
  <c r="K3" i="28"/>
  <c r="E45" i="26"/>
  <c r="AA38"/>
  <c r="Y38"/>
  <c r="T54"/>
  <c r="T62"/>
  <c r="Z4" i="28"/>
  <c r="T55" i="26"/>
  <c r="T68"/>
  <c r="T71"/>
  <c r="T66"/>
  <c r="T63"/>
  <c r="T78"/>
  <c r="T70"/>
  <c r="T76"/>
  <c r="T60"/>
  <c r="T81"/>
  <c r="T58"/>
  <c r="T77"/>
  <c r="T114" s="1"/>
  <c r="T75"/>
  <c r="T56"/>
  <c r="T79"/>
  <c r="T116" s="1"/>
  <c r="T64"/>
  <c r="T72"/>
  <c r="T69"/>
  <c r="T106" s="1"/>
  <c r="T73"/>
  <c r="T61"/>
  <c r="T57"/>
  <c r="T80"/>
  <c r="T65"/>
  <c r="T59"/>
  <c r="T67"/>
  <c r="T53"/>
  <c r="T90" s="1"/>
  <c r="T74"/>
  <c r="X58"/>
  <c r="X72"/>
  <c r="X64"/>
  <c r="X77"/>
  <c r="X62"/>
  <c r="X78"/>
  <c r="X80"/>
  <c r="X53"/>
  <c r="X90" s="1"/>
  <c r="X81"/>
  <c r="X57"/>
  <c r="X69"/>
  <c r="X65"/>
  <c r="X102" s="1"/>
  <c r="X63"/>
  <c r="X100" s="1"/>
  <c r="X55"/>
  <c r="X76"/>
  <c r="X67"/>
  <c r="AD4" i="28"/>
  <c r="X68" i="26"/>
  <c r="X75"/>
  <c r="X74"/>
  <c r="X79"/>
  <c r="X70"/>
  <c r="X61"/>
  <c r="X54"/>
  <c r="X91" s="1"/>
  <c r="X56"/>
  <c r="X60"/>
  <c r="X73"/>
  <c r="X59"/>
  <c r="X71"/>
  <c r="X66"/>
  <c r="R45"/>
  <c r="X3" i="28"/>
  <c r="R82" i="26"/>
  <c r="I45"/>
  <c r="I82"/>
  <c r="O3" i="28"/>
  <c r="S54" i="26"/>
  <c r="S74"/>
  <c r="Y4" i="28"/>
  <c r="S64" i="26"/>
  <c r="S56"/>
  <c r="S59"/>
  <c r="S57"/>
  <c r="S58"/>
  <c r="S69"/>
  <c r="S61"/>
  <c r="S73"/>
  <c r="S68"/>
  <c r="S81"/>
  <c r="S53"/>
  <c r="S90" s="1"/>
  <c r="S63"/>
  <c r="S79"/>
  <c r="S75"/>
  <c r="S80"/>
  <c r="S76"/>
  <c r="S72"/>
  <c r="S67"/>
  <c r="S62"/>
  <c r="S99" s="1"/>
  <c r="S70"/>
  <c r="S77"/>
  <c r="S114" s="1"/>
  <c r="S78"/>
  <c r="S60"/>
  <c r="S97" s="1"/>
  <c r="S71"/>
  <c r="S55"/>
  <c r="S65"/>
  <c r="S66"/>
  <c r="M45"/>
  <c r="S3" i="28"/>
  <c r="M82" i="26"/>
  <c r="M119" s="1"/>
  <c r="G54"/>
  <c r="G76"/>
  <c r="G56"/>
  <c r="G71"/>
  <c r="G73"/>
  <c r="M4" i="28"/>
  <c r="G61" i="26"/>
  <c r="G67"/>
  <c r="G62"/>
  <c r="G59"/>
  <c r="G65"/>
  <c r="G63"/>
  <c r="G75"/>
  <c r="G69"/>
  <c r="G79"/>
  <c r="G53"/>
  <c r="G90" s="1"/>
  <c r="G74"/>
  <c r="G111" s="1"/>
  <c r="G81"/>
  <c r="G77"/>
  <c r="G114" s="1"/>
  <c r="G64"/>
  <c r="G101" s="1"/>
  <c r="G66"/>
  <c r="G70"/>
  <c r="G107" s="1"/>
  <c r="G68"/>
  <c r="G78"/>
  <c r="G58"/>
  <c r="G80"/>
  <c r="G72"/>
  <c r="G55"/>
  <c r="G57"/>
  <c r="G60"/>
  <c r="G97" s="1"/>
  <c r="J71"/>
  <c r="J60"/>
  <c r="J69"/>
  <c r="J62"/>
  <c r="J55"/>
  <c r="J79"/>
  <c r="J57"/>
  <c r="J72"/>
  <c r="J54"/>
  <c r="J61"/>
  <c r="J98" s="1"/>
  <c r="J68"/>
  <c r="J74"/>
  <c r="J66"/>
  <c r="J65"/>
  <c r="J53"/>
  <c r="J90" s="1"/>
  <c r="J80"/>
  <c r="J73"/>
  <c r="J110" s="1"/>
  <c r="J58"/>
  <c r="J76"/>
  <c r="J56"/>
  <c r="J75"/>
  <c r="J112" s="1"/>
  <c r="J78"/>
  <c r="J63"/>
  <c r="J59"/>
  <c r="J81"/>
  <c r="J118" s="1"/>
  <c r="J70"/>
  <c r="J64"/>
  <c r="P4" i="28"/>
  <c r="J77" i="26"/>
  <c r="J67"/>
  <c r="L62"/>
  <c r="L74"/>
  <c r="L59"/>
  <c r="L61"/>
  <c r="L63"/>
  <c r="L100" s="1"/>
  <c r="L58"/>
  <c r="L60"/>
  <c r="L72"/>
  <c r="L70"/>
  <c r="L80"/>
  <c r="L69"/>
  <c r="L76"/>
  <c r="L65"/>
  <c r="L78"/>
  <c r="L79"/>
  <c r="L66"/>
  <c r="L75"/>
  <c r="L68"/>
  <c r="L81"/>
  <c r="L118" s="1"/>
  <c r="L77"/>
  <c r="R4" i="28"/>
  <c r="L71" i="26"/>
  <c r="L64"/>
  <c r="L73"/>
  <c r="L110" s="1"/>
  <c r="L56"/>
  <c r="L53"/>
  <c r="L90" s="1"/>
  <c r="L57"/>
  <c r="L55"/>
  <c r="L67"/>
  <c r="L54"/>
  <c r="L91" s="1"/>
  <c r="H45"/>
  <c r="H82"/>
  <c r="H119" s="1"/>
  <c r="N3" i="28"/>
  <c r="AA3"/>
  <c r="U45" i="26"/>
  <c r="U82"/>
  <c r="W55"/>
  <c r="W63"/>
  <c r="W71"/>
  <c r="W77"/>
  <c r="W56"/>
  <c r="W78"/>
  <c r="W57"/>
  <c r="W68"/>
  <c r="W72"/>
  <c r="W66"/>
  <c r="W54"/>
  <c r="W67"/>
  <c r="W61"/>
  <c r="W76"/>
  <c r="W80"/>
  <c r="W74"/>
  <c r="W60"/>
  <c r="W62"/>
  <c r="W73"/>
  <c r="W64"/>
  <c r="W81"/>
  <c r="W65"/>
  <c r="W69"/>
  <c r="W53"/>
  <c r="W90" s="1"/>
  <c r="W59"/>
  <c r="W79"/>
  <c r="W116" s="1"/>
  <c r="AC4" i="28"/>
  <c r="W75" i="26"/>
  <c r="W58"/>
  <c r="W70"/>
  <c r="AB3" i="28"/>
  <c r="V82" i="26"/>
  <c r="V119" s="1"/>
  <c r="V45"/>
  <c r="O82"/>
  <c r="O45"/>
  <c r="U3" i="28"/>
  <c r="N82" i="26"/>
  <c r="N119" s="1"/>
  <c r="N45"/>
  <c r="T3" i="28"/>
  <c r="E62" i="26"/>
  <c r="K4" i="28"/>
  <c r="E81" i="26"/>
  <c r="E75"/>
  <c r="E71"/>
  <c r="E55"/>
  <c r="E73"/>
  <c r="E69"/>
  <c r="E54"/>
  <c r="E60"/>
  <c r="E80"/>
  <c r="E56"/>
  <c r="E79"/>
  <c r="AA39"/>
  <c r="E74"/>
  <c r="E111" s="1"/>
  <c r="Y39"/>
  <c r="E70"/>
  <c r="E76"/>
  <c r="E63"/>
  <c r="E67"/>
  <c r="E57"/>
  <c r="E65"/>
  <c r="E77"/>
  <c r="E64"/>
  <c r="E68"/>
  <c r="E78"/>
  <c r="E53"/>
  <c r="E90" s="1"/>
  <c r="E66"/>
  <c r="E59"/>
  <c r="E61"/>
  <c r="E72"/>
  <c r="E58"/>
  <c r="U21" i="20"/>
  <c r="F135" i="26"/>
  <c r="P63" i="27"/>
  <c r="P69"/>
  <c r="P72"/>
  <c r="P82"/>
  <c r="P77"/>
  <c r="P80"/>
  <c r="P81"/>
  <c r="P73"/>
  <c r="P74"/>
  <c r="P67"/>
  <c r="P66"/>
  <c r="P79"/>
  <c r="P62"/>
  <c r="P45"/>
  <c r="P76"/>
  <c r="V5" i="28"/>
  <c r="P61" i="27"/>
  <c r="P98" s="1"/>
  <c r="P65"/>
  <c r="P75"/>
  <c r="P70"/>
  <c r="P71"/>
  <c r="P64"/>
  <c r="P68"/>
  <c r="P78"/>
  <c r="R73"/>
  <c r="R65"/>
  <c r="X5" i="28"/>
  <c r="R71" i="27"/>
  <c r="R66"/>
  <c r="R64"/>
  <c r="R62"/>
  <c r="R79"/>
  <c r="R75"/>
  <c r="R69"/>
  <c r="R80"/>
  <c r="R82"/>
  <c r="R78"/>
  <c r="R77"/>
  <c r="R76"/>
  <c r="R72"/>
  <c r="R109" s="1"/>
  <c r="R74"/>
  <c r="R111" s="1"/>
  <c r="R68"/>
  <c r="R81"/>
  <c r="R118" s="1"/>
  <c r="R45"/>
  <c r="R67"/>
  <c r="R104" s="1"/>
  <c r="R70"/>
  <c r="R107" s="1"/>
  <c r="R61"/>
  <c r="R98" s="1"/>
  <c r="R63"/>
  <c r="I64"/>
  <c r="I78"/>
  <c r="I77"/>
  <c r="O5" i="28"/>
  <c r="I79" i="27"/>
  <c r="I70"/>
  <c r="I67"/>
  <c r="I72"/>
  <c r="I61"/>
  <c r="I98" s="1"/>
  <c r="I71"/>
  <c r="I108" s="1"/>
  <c r="I69"/>
  <c r="I80"/>
  <c r="I65"/>
  <c r="I102" s="1"/>
  <c r="I82"/>
  <c r="I75"/>
  <c r="I81"/>
  <c r="I63"/>
  <c r="I66"/>
  <c r="I45"/>
  <c r="I68"/>
  <c r="I76"/>
  <c r="I62"/>
  <c r="I73"/>
  <c r="I74"/>
  <c r="X69"/>
  <c r="X75"/>
  <c r="X81"/>
  <c r="X67"/>
  <c r="X70"/>
  <c r="X107" s="1"/>
  <c r="X61"/>
  <c r="X98" s="1"/>
  <c r="X63"/>
  <c r="X82"/>
  <c r="X79"/>
  <c r="X64"/>
  <c r="X77"/>
  <c r="X73"/>
  <c r="X45"/>
  <c r="X66"/>
  <c r="X74"/>
  <c r="X76"/>
  <c r="X62"/>
  <c r="X71"/>
  <c r="X65"/>
  <c r="X80"/>
  <c r="X78"/>
  <c r="AD5" i="28"/>
  <c r="X68" i="27"/>
  <c r="X72"/>
  <c r="H61"/>
  <c r="H98" s="1"/>
  <c r="H64"/>
  <c r="H70"/>
  <c r="H72"/>
  <c r="H81"/>
  <c r="H75"/>
  <c r="H78"/>
  <c r="H76"/>
  <c r="H77"/>
  <c r="H69"/>
  <c r="H66"/>
  <c r="N5" i="28"/>
  <c r="H79" i="27"/>
  <c r="H68"/>
  <c r="H45"/>
  <c r="H67"/>
  <c r="H74"/>
  <c r="H65"/>
  <c r="H102" s="1"/>
  <c r="H71"/>
  <c r="H108" s="1"/>
  <c r="H82"/>
  <c r="H73"/>
  <c r="H63"/>
  <c r="H80"/>
  <c r="H62"/>
  <c r="N61"/>
  <c r="N98" s="1"/>
  <c r="N66"/>
  <c r="N63"/>
  <c r="N76"/>
  <c r="N81"/>
  <c r="N69"/>
  <c r="N64"/>
  <c r="N73"/>
  <c r="N68"/>
  <c r="N62"/>
  <c r="N78"/>
  <c r="N71"/>
  <c r="N77"/>
  <c r="N65"/>
  <c r="N70"/>
  <c r="N67"/>
  <c r="N75"/>
  <c r="T5" i="28"/>
  <c r="N45" i="27"/>
  <c r="N80"/>
  <c r="N79"/>
  <c r="N82"/>
  <c r="N74"/>
  <c r="N72"/>
  <c r="N109" s="1"/>
  <c r="V21" i="19"/>
  <c r="G135" i="27"/>
  <c r="T21" i="19"/>
  <c r="E135" i="27"/>
  <c r="AA132"/>
  <c r="S45"/>
  <c r="S62"/>
  <c r="S80"/>
  <c r="S64"/>
  <c r="S61"/>
  <c r="S98" s="1"/>
  <c r="S75"/>
  <c r="S68"/>
  <c r="S81"/>
  <c r="S71"/>
  <c r="S82"/>
  <c r="S76"/>
  <c r="S67"/>
  <c r="S74"/>
  <c r="S65"/>
  <c r="S78"/>
  <c r="S72"/>
  <c r="S66"/>
  <c r="Y5" i="28"/>
  <c r="S77" i="27"/>
  <c r="S114" s="1"/>
  <c r="S70"/>
  <c r="S69"/>
  <c r="S73"/>
  <c r="S63"/>
  <c r="S79"/>
  <c r="U73"/>
  <c r="U81"/>
  <c r="U64"/>
  <c r="U67"/>
  <c r="U71"/>
  <c r="U61"/>
  <c r="U98" s="1"/>
  <c r="U65"/>
  <c r="U102" s="1"/>
  <c r="U70"/>
  <c r="U80"/>
  <c r="U62"/>
  <c r="U99" s="1"/>
  <c r="U63"/>
  <c r="U69"/>
  <c r="U76"/>
  <c r="U72"/>
  <c r="U82"/>
  <c r="AA5" i="28"/>
  <c r="U75" i="27"/>
  <c r="U74"/>
  <c r="U79"/>
  <c r="U68"/>
  <c r="U77"/>
  <c r="U66"/>
  <c r="U45"/>
  <c r="U78"/>
  <c r="L66"/>
  <c r="L77"/>
  <c r="L69"/>
  <c r="L80"/>
  <c r="L82"/>
  <c r="L65"/>
  <c r="L73"/>
  <c r="L79"/>
  <c r="L61"/>
  <c r="L98" s="1"/>
  <c r="L63"/>
  <c r="L71"/>
  <c r="R5" i="28"/>
  <c r="L81" i="27"/>
  <c r="L70"/>
  <c r="L76"/>
  <c r="L74"/>
  <c r="L62"/>
  <c r="L99" s="1"/>
  <c r="L45"/>
  <c r="L75"/>
  <c r="L72"/>
  <c r="L67"/>
  <c r="L104" s="1"/>
  <c r="L78"/>
  <c r="L115" s="1"/>
  <c r="L64"/>
  <c r="L68"/>
  <c r="J62"/>
  <c r="J68"/>
  <c r="J81"/>
  <c r="J70"/>
  <c r="J72"/>
  <c r="J65"/>
  <c r="J76"/>
  <c r="J79"/>
  <c r="J71"/>
  <c r="J63"/>
  <c r="J67"/>
  <c r="J61"/>
  <c r="J98" s="1"/>
  <c r="J80"/>
  <c r="J45"/>
  <c r="J77"/>
  <c r="J64"/>
  <c r="J66"/>
  <c r="J78"/>
  <c r="J75"/>
  <c r="J82"/>
  <c r="J73"/>
  <c r="J110" s="1"/>
  <c r="P5" i="28"/>
  <c r="J69" i="27"/>
  <c r="J74"/>
  <c r="Q68"/>
  <c r="Q65"/>
  <c r="Q63"/>
  <c r="Q77"/>
  <c r="Q70"/>
  <c r="Q67"/>
  <c r="Q45"/>
  <c r="Q74"/>
  <c r="Q79"/>
  <c r="Q76"/>
  <c r="Q69"/>
  <c r="Q78"/>
  <c r="Q115" s="1"/>
  <c r="Q75"/>
  <c r="Q62"/>
  <c r="Q73"/>
  <c r="W5" i="28"/>
  <c r="Q80" i="27"/>
  <c r="Q72"/>
  <c r="Q61"/>
  <c r="Q98" s="1"/>
  <c r="Q81"/>
  <c r="Q82"/>
  <c r="Q66"/>
  <c r="Q103" s="1"/>
  <c r="Q71"/>
  <c r="Q64"/>
  <c r="I135"/>
  <c r="X21" i="19"/>
  <c r="G63" i="27"/>
  <c r="G75"/>
  <c r="G45"/>
  <c r="G73"/>
  <c r="G70"/>
  <c r="G71"/>
  <c r="G78"/>
  <c r="G67"/>
  <c r="G61"/>
  <c r="G98" s="1"/>
  <c r="G68"/>
  <c r="G66"/>
  <c r="G80"/>
  <c r="G82"/>
  <c r="G79"/>
  <c r="M5" i="28"/>
  <c r="G64" i="27"/>
  <c r="G69"/>
  <c r="G65"/>
  <c r="G76"/>
  <c r="G74"/>
  <c r="G111" s="1"/>
  <c r="G77"/>
  <c r="G72"/>
  <c r="G109" s="1"/>
  <c r="G62"/>
  <c r="G81"/>
  <c r="T72"/>
  <c r="T77"/>
  <c r="T67"/>
  <c r="T65"/>
  <c r="T80"/>
  <c r="T79"/>
  <c r="T45"/>
  <c r="T75"/>
  <c r="Z5" i="28"/>
  <c r="T64" i="27"/>
  <c r="T76"/>
  <c r="T66"/>
  <c r="T103" s="1"/>
  <c r="T73"/>
  <c r="T110" s="1"/>
  <c r="T68"/>
  <c r="T61"/>
  <c r="T98" s="1"/>
  <c r="T82"/>
  <c r="T81"/>
  <c r="T118" s="1"/>
  <c r="T78"/>
  <c r="T115" s="1"/>
  <c r="T63"/>
  <c r="T74"/>
  <c r="T62"/>
  <c r="T71"/>
  <c r="T70"/>
  <c r="T69"/>
  <c r="K74"/>
  <c r="K63"/>
  <c r="K73"/>
  <c r="K82"/>
  <c r="K79"/>
  <c r="K77"/>
  <c r="K66"/>
  <c r="K76"/>
  <c r="K67"/>
  <c r="K65"/>
  <c r="K70"/>
  <c r="K81"/>
  <c r="K64"/>
  <c r="K45"/>
  <c r="K68"/>
  <c r="K71"/>
  <c r="Q5" i="28"/>
  <c r="K69" i="27"/>
  <c r="K61"/>
  <c r="K98" s="1"/>
  <c r="K78"/>
  <c r="K62"/>
  <c r="K75"/>
  <c r="K80"/>
  <c r="K72"/>
  <c r="K109" s="1"/>
  <c r="AA32"/>
  <c r="V62"/>
  <c r="V69"/>
  <c r="V77"/>
  <c r="V72"/>
  <c r="V74"/>
  <c r="V63"/>
  <c r="V68"/>
  <c r="V70"/>
  <c r="V82"/>
  <c r="V81"/>
  <c r="V65"/>
  <c r="V80"/>
  <c r="V66"/>
  <c r="V76"/>
  <c r="V61"/>
  <c r="V98" s="1"/>
  <c r="V79"/>
  <c r="V78"/>
  <c r="V45"/>
  <c r="V73"/>
  <c r="V75"/>
  <c r="V64"/>
  <c r="V71"/>
  <c r="V67"/>
  <c r="AB5" i="28"/>
  <c r="F81" i="27"/>
  <c r="F64"/>
  <c r="F66"/>
  <c r="F71"/>
  <c r="F63"/>
  <c r="F75"/>
  <c r="F67"/>
  <c r="F82"/>
  <c r="F72"/>
  <c r="F69"/>
  <c r="F79"/>
  <c r="F77"/>
  <c r="F70"/>
  <c r="F65"/>
  <c r="F102" s="1"/>
  <c r="F74"/>
  <c r="F80"/>
  <c r="F45"/>
  <c r="F73"/>
  <c r="F62"/>
  <c r="L5" i="28"/>
  <c r="F68" i="27"/>
  <c r="F78"/>
  <c r="F61"/>
  <c r="F98" s="1"/>
  <c r="F76"/>
  <c r="U5" i="28"/>
  <c r="O75" i="27"/>
  <c r="O66"/>
  <c r="O67"/>
  <c r="O65"/>
  <c r="O62"/>
  <c r="O79"/>
  <c r="O61"/>
  <c r="O98" s="1"/>
  <c r="O77"/>
  <c r="O82"/>
  <c r="O81"/>
  <c r="O73"/>
  <c r="O76"/>
  <c r="O70"/>
  <c r="O71"/>
  <c r="O80"/>
  <c r="O74"/>
  <c r="O64"/>
  <c r="O68"/>
  <c r="O69"/>
  <c r="O72"/>
  <c r="O45"/>
  <c r="O63"/>
  <c r="O78"/>
  <c r="W21" i="19"/>
  <c r="H135" i="27"/>
  <c r="W76"/>
  <c r="W63"/>
  <c r="W61"/>
  <c r="W98" s="1"/>
  <c r="W80"/>
  <c r="W82"/>
  <c r="W70"/>
  <c r="W78"/>
  <c r="W69"/>
  <c r="W72"/>
  <c r="W68"/>
  <c r="W45"/>
  <c r="W73"/>
  <c r="W66"/>
  <c r="W75"/>
  <c r="W79"/>
  <c r="W74"/>
  <c r="W81"/>
  <c r="AC5" i="28"/>
  <c r="W62" i="27"/>
  <c r="W99" s="1"/>
  <c r="W64"/>
  <c r="W71"/>
  <c r="W67"/>
  <c r="W77"/>
  <c r="W65"/>
  <c r="E77"/>
  <c r="E75"/>
  <c r="E78"/>
  <c r="E64"/>
  <c r="E65"/>
  <c r="E66"/>
  <c r="E45"/>
  <c r="E69"/>
  <c r="E70"/>
  <c r="E68"/>
  <c r="E61"/>
  <c r="E98" s="1"/>
  <c r="E81"/>
  <c r="E67"/>
  <c r="K5" i="28"/>
  <c r="E71" i="27"/>
  <c r="E82"/>
  <c r="E119" s="1"/>
  <c r="E62"/>
  <c r="E80"/>
  <c r="E76"/>
  <c r="E63"/>
  <c r="E79"/>
  <c r="E72"/>
  <c r="E74"/>
  <c r="E73"/>
  <c r="Y38"/>
  <c r="AA38"/>
  <c r="B45" s="1"/>
  <c r="M79"/>
  <c r="M76"/>
  <c r="M72"/>
  <c r="M65"/>
  <c r="M77"/>
  <c r="M74"/>
  <c r="M71"/>
  <c r="M63"/>
  <c r="M67"/>
  <c r="M82"/>
  <c r="M81"/>
  <c r="M68"/>
  <c r="M69"/>
  <c r="M61"/>
  <c r="M98" s="1"/>
  <c r="M75"/>
  <c r="M70"/>
  <c r="M66"/>
  <c r="M64"/>
  <c r="M45"/>
  <c r="M80"/>
  <c r="S5" i="28"/>
  <c r="M78" i="27"/>
  <c r="M62"/>
  <c r="M73"/>
  <c r="F135"/>
  <c r="U21" i="19"/>
  <c r="E101" i="17"/>
  <c r="E79"/>
  <c r="E116" s="1"/>
  <c r="E85"/>
  <c r="E80"/>
  <c r="E65"/>
  <c r="E91"/>
  <c r="E87"/>
  <c r="E95"/>
  <c r="E99"/>
  <c r="K6" i="28"/>
  <c r="E100" i="17"/>
  <c r="E82"/>
  <c r="E97"/>
  <c r="E98"/>
  <c r="E94"/>
  <c r="E93"/>
  <c r="E92"/>
  <c r="E88"/>
  <c r="E86"/>
  <c r="E123" s="1"/>
  <c r="E162" s="1"/>
  <c r="E84"/>
  <c r="E81"/>
  <c r="E90"/>
  <c r="E96"/>
  <c r="E83"/>
  <c r="E120" s="1"/>
  <c r="E159" s="1"/>
  <c r="E89"/>
  <c r="E102"/>
  <c r="S65"/>
  <c r="S96"/>
  <c r="S80"/>
  <c r="Y6" i="28"/>
  <c r="S79" i="17"/>
  <c r="S116" s="1"/>
  <c r="S92"/>
  <c r="S86"/>
  <c r="S102"/>
  <c r="S89"/>
  <c r="S90"/>
  <c r="S83"/>
  <c r="S82"/>
  <c r="S91"/>
  <c r="S101"/>
  <c r="S88"/>
  <c r="S94"/>
  <c r="S85"/>
  <c r="S87"/>
  <c r="S98"/>
  <c r="S93"/>
  <c r="S95"/>
  <c r="S99"/>
  <c r="S81"/>
  <c r="S118" s="1"/>
  <c r="S84"/>
  <c r="S100"/>
  <c r="S97"/>
  <c r="S134" s="1"/>
  <c r="M98"/>
  <c r="M96"/>
  <c r="M86"/>
  <c r="M97"/>
  <c r="M101"/>
  <c r="M87"/>
  <c r="M88"/>
  <c r="M99"/>
  <c r="M100"/>
  <c r="M90"/>
  <c r="M84"/>
  <c r="M83"/>
  <c r="M80"/>
  <c r="M85"/>
  <c r="M79"/>
  <c r="M116" s="1"/>
  <c r="M95"/>
  <c r="M82"/>
  <c r="M91"/>
  <c r="M89"/>
  <c r="M126" s="1"/>
  <c r="M93"/>
  <c r="M94"/>
  <c r="S6" i="28"/>
  <c r="M102" i="17"/>
  <c r="M65"/>
  <c r="M92"/>
  <c r="M81"/>
  <c r="J79"/>
  <c r="J116" s="1"/>
  <c r="J89"/>
  <c r="J82"/>
  <c r="J102"/>
  <c r="J96"/>
  <c r="J92"/>
  <c r="J90"/>
  <c r="J98"/>
  <c r="J95"/>
  <c r="J100"/>
  <c r="J94"/>
  <c r="J87"/>
  <c r="J99"/>
  <c r="P6" i="28"/>
  <c r="J88" i="17"/>
  <c r="J101"/>
  <c r="J84"/>
  <c r="J65"/>
  <c r="J85"/>
  <c r="J81"/>
  <c r="J83"/>
  <c r="J86"/>
  <c r="J97"/>
  <c r="J93"/>
  <c r="J91"/>
  <c r="J80"/>
  <c r="K11" i="28"/>
  <c r="K7"/>
  <c r="G100" i="17"/>
  <c r="G88"/>
  <c r="M6" i="28"/>
  <c r="G79" i="17"/>
  <c r="G116" s="1"/>
  <c r="G93"/>
  <c r="G99"/>
  <c r="G86"/>
  <c r="G92"/>
  <c r="G91"/>
  <c r="G95"/>
  <c r="G85"/>
  <c r="G89"/>
  <c r="G82"/>
  <c r="G84"/>
  <c r="G87"/>
  <c r="G90"/>
  <c r="G127" s="1"/>
  <c r="G96"/>
  <c r="G83"/>
  <c r="G81"/>
  <c r="G80"/>
  <c r="G117" s="1"/>
  <c r="G102"/>
  <c r="G101"/>
  <c r="G97"/>
  <c r="G65"/>
  <c r="G94"/>
  <c r="G131" s="1"/>
  <c r="G98"/>
  <c r="Q79"/>
  <c r="Q116" s="1"/>
  <c r="Q83"/>
  <c r="Q100"/>
  <c r="Q85"/>
  <c r="Q87"/>
  <c r="Q84"/>
  <c r="Q94"/>
  <c r="Q99"/>
  <c r="Q102"/>
  <c r="Q97"/>
  <c r="Q82"/>
  <c r="Q92"/>
  <c r="Q101"/>
  <c r="Q65"/>
  <c r="Q98"/>
  <c r="Q93"/>
  <c r="Q90"/>
  <c r="Q81"/>
  <c r="Q80"/>
  <c r="Q89"/>
  <c r="Q91"/>
  <c r="Q96"/>
  <c r="Q88"/>
  <c r="Q86"/>
  <c r="Q123" s="1"/>
  <c r="Q95"/>
  <c r="W6" i="28"/>
  <c r="N96" i="17"/>
  <c r="N83"/>
  <c r="N92"/>
  <c r="N81"/>
  <c r="N80"/>
  <c r="N95"/>
  <c r="N98"/>
  <c r="N90"/>
  <c r="N101"/>
  <c r="N97"/>
  <c r="N84"/>
  <c r="N100"/>
  <c r="N88"/>
  <c r="N87"/>
  <c r="N102"/>
  <c r="N82"/>
  <c r="N119" s="1"/>
  <c r="N89"/>
  <c r="N126" s="1"/>
  <c r="N79"/>
  <c r="N116" s="1"/>
  <c r="N65"/>
  <c r="N91"/>
  <c r="N128" s="1"/>
  <c r="T6" i="28"/>
  <c r="N86" i="17"/>
  <c r="N93"/>
  <c r="N130" s="1"/>
  <c r="N99"/>
  <c r="N94"/>
  <c r="N85"/>
  <c r="I98"/>
  <c r="I95"/>
  <c r="I65"/>
  <c r="I85"/>
  <c r="I90"/>
  <c r="I83"/>
  <c r="I89"/>
  <c r="I82"/>
  <c r="I87"/>
  <c r="I102"/>
  <c r="O6" i="28"/>
  <c r="I96" i="17"/>
  <c r="I94"/>
  <c r="I101"/>
  <c r="I91"/>
  <c r="I88"/>
  <c r="I92"/>
  <c r="I100"/>
  <c r="I80"/>
  <c r="I86"/>
  <c r="I123" s="1"/>
  <c r="I81"/>
  <c r="I79"/>
  <c r="I116" s="1"/>
  <c r="I99"/>
  <c r="I93"/>
  <c r="I84"/>
  <c r="I97"/>
  <c r="P98"/>
  <c r="P81"/>
  <c r="P95"/>
  <c r="P97"/>
  <c r="P80"/>
  <c r="P102"/>
  <c r="P90"/>
  <c r="V6" i="28"/>
  <c r="P99" i="17"/>
  <c r="P136" s="1"/>
  <c r="P86"/>
  <c r="P82"/>
  <c r="P100"/>
  <c r="P101"/>
  <c r="P65"/>
  <c r="P89"/>
  <c r="P91"/>
  <c r="P96"/>
  <c r="P84"/>
  <c r="P83"/>
  <c r="P120" s="1"/>
  <c r="P88"/>
  <c r="P85"/>
  <c r="P94"/>
  <c r="P93"/>
  <c r="P79"/>
  <c r="P116" s="1"/>
  <c r="P92"/>
  <c r="P87"/>
  <c r="P124" s="1"/>
  <c r="F80"/>
  <c r="F95"/>
  <c r="F85"/>
  <c r="F93"/>
  <c r="F88"/>
  <c r="F65"/>
  <c r="F83"/>
  <c r="F87"/>
  <c r="F89"/>
  <c r="F126" s="1"/>
  <c r="F91"/>
  <c r="F101"/>
  <c r="F79"/>
  <c r="F116" s="1"/>
  <c r="F94"/>
  <c r="L6" i="28"/>
  <c r="F98" i="17"/>
  <c r="F82"/>
  <c r="F96"/>
  <c r="F92"/>
  <c r="F90"/>
  <c r="F86"/>
  <c r="F102"/>
  <c r="F97"/>
  <c r="F100"/>
  <c r="F99"/>
  <c r="F81"/>
  <c r="F118" s="1"/>
  <c r="F84"/>
  <c r="K10" i="28"/>
  <c r="O87" i="17"/>
  <c r="O86"/>
  <c r="O82"/>
  <c r="O102"/>
  <c r="O96"/>
  <c r="O101"/>
  <c r="O90"/>
  <c r="O91"/>
  <c r="O92"/>
  <c r="O95"/>
  <c r="O89"/>
  <c r="O100"/>
  <c r="O81"/>
  <c r="O97"/>
  <c r="O65"/>
  <c r="O98"/>
  <c r="O84"/>
  <c r="O88"/>
  <c r="U6" i="28"/>
  <c r="O79" i="17"/>
  <c r="O116" s="1"/>
  <c r="O93"/>
  <c r="O130" s="1"/>
  <c r="O85"/>
  <c r="O94"/>
  <c r="O80"/>
  <c r="O117" s="1"/>
  <c r="O83"/>
  <c r="O99"/>
  <c r="R81"/>
  <c r="R98"/>
  <c r="R79"/>
  <c r="R116" s="1"/>
  <c r="R96"/>
  <c r="R94"/>
  <c r="R84"/>
  <c r="R95"/>
  <c r="R101"/>
  <c r="R91"/>
  <c r="R87"/>
  <c r="R82"/>
  <c r="R93"/>
  <c r="R88"/>
  <c r="R86"/>
  <c r="R65"/>
  <c r="R83"/>
  <c r="X6" i="28"/>
  <c r="R80" i="17"/>
  <c r="R99"/>
  <c r="R102"/>
  <c r="R139" s="1"/>
  <c r="R92"/>
  <c r="R100"/>
  <c r="R97"/>
  <c r="R85"/>
  <c r="R90"/>
  <c r="R89"/>
  <c r="K8" i="28"/>
  <c r="H89" i="17"/>
  <c r="H65"/>
  <c r="H93"/>
  <c r="H88"/>
  <c r="H94"/>
  <c r="H84"/>
  <c r="N6" i="28"/>
  <c r="H91" i="17"/>
  <c r="H85"/>
  <c r="H96"/>
  <c r="H86"/>
  <c r="H92"/>
  <c r="H129" s="1"/>
  <c r="H100"/>
  <c r="H79"/>
  <c r="H116" s="1"/>
  <c r="H87"/>
  <c r="H124" s="1"/>
  <c r="H80"/>
  <c r="H99"/>
  <c r="H90"/>
  <c r="H82"/>
  <c r="H81"/>
  <c r="H118" s="1"/>
  <c r="H97"/>
  <c r="H101"/>
  <c r="H95"/>
  <c r="H98"/>
  <c r="H83"/>
  <c r="H102"/>
  <c r="K84"/>
  <c r="K85"/>
  <c r="K99"/>
  <c r="K89"/>
  <c r="K81"/>
  <c r="K87"/>
  <c r="K88"/>
  <c r="K93"/>
  <c r="Q6" i="28"/>
  <c r="K83" i="17"/>
  <c r="K101"/>
  <c r="K94"/>
  <c r="K97"/>
  <c r="K95"/>
  <c r="K90"/>
  <c r="K79"/>
  <c r="K116" s="1"/>
  <c r="K92"/>
  <c r="K96"/>
  <c r="K133" s="1"/>
  <c r="K82"/>
  <c r="K102"/>
  <c r="K91"/>
  <c r="K100"/>
  <c r="K65"/>
  <c r="K80"/>
  <c r="K117" s="1"/>
  <c r="K98"/>
  <c r="K135" s="1"/>
  <c r="K86"/>
  <c r="K123" s="1"/>
  <c r="L86"/>
  <c r="R6" i="28"/>
  <c r="L79" i="17"/>
  <c r="L116" s="1"/>
  <c r="L91"/>
  <c r="L88"/>
  <c r="L94"/>
  <c r="L85"/>
  <c r="L80"/>
  <c r="L92"/>
  <c r="L100"/>
  <c r="L93"/>
  <c r="L99"/>
  <c r="L98"/>
  <c r="L102"/>
  <c r="L87"/>
  <c r="L95"/>
  <c r="L81"/>
  <c r="L65"/>
  <c r="L84"/>
  <c r="L89"/>
  <c r="L101"/>
  <c r="L90"/>
  <c r="L96"/>
  <c r="L82"/>
  <c r="L97"/>
  <c r="L83"/>
  <c r="K9" i="28"/>
  <c r="O87" i="20"/>
  <c r="O95"/>
  <c r="O85"/>
  <c r="O80"/>
  <c r="O79"/>
  <c r="O86"/>
  <c r="O76"/>
  <c r="O113" s="1"/>
  <c r="O101"/>
  <c r="O83"/>
  <c r="O81"/>
  <c r="O84"/>
  <c r="O98"/>
  <c r="O94"/>
  <c r="O82"/>
  <c r="O119" s="1"/>
  <c r="O91"/>
  <c r="O78"/>
  <c r="O93"/>
  <c r="O100"/>
  <c r="O77"/>
  <c r="O114" s="1"/>
  <c r="O65"/>
  <c r="U12" i="28"/>
  <c r="O96" i="20"/>
  <c r="O133" s="1"/>
  <c r="O102"/>
  <c r="O99"/>
  <c r="O136" s="1"/>
  <c r="O97"/>
  <c r="O92"/>
  <c r="O89"/>
  <c r="O90"/>
  <c r="O88"/>
  <c r="O125" s="1"/>
  <c r="F94"/>
  <c r="F81"/>
  <c r="F90"/>
  <c r="F101"/>
  <c r="F99"/>
  <c r="F86"/>
  <c r="F88"/>
  <c r="F96"/>
  <c r="F98"/>
  <c r="F77"/>
  <c r="F82"/>
  <c r="F100"/>
  <c r="F85"/>
  <c r="L12" i="28"/>
  <c r="F92" i="20"/>
  <c r="F102"/>
  <c r="F139" s="1"/>
  <c r="F95"/>
  <c r="F132" s="1"/>
  <c r="F80"/>
  <c r="F87"/>
  <c r="F91"/>
  <c r="F83"/>
  <c r="F65"/>
  <c r="F78"/>
  <c r="F79"/>
  <c r="F97"/>
  <c r="F89"/>
  <c r="F93"/>
  <c r="F130" s="1"/>
  <c r="F76"/>
  <c r="F113" s="1"/>
  <c r="F84"/>
  <c r="F121" s="1"/>
  <c r="K16" i="28"/>
  <c r="S12"/>
  <c r="M85" i="20"/>
  <c r="M76"/>
  <c r="M113" s="1"/>
  <c r="M98"/>
  <c r="M86"/>
  <c r="M83"/>
  <c r="M88"/>
  <c r="M82"/>
  <c r="M100"/>
  <c r="M84"/>
  <c r="M95"/>
  <c r="M96"/>
  <c r="M94"/>
  <c r="M90"/>
  <c r="M77"/>
  <c r="M114" s="1"/>
  <c r="M97"/>
  <c r="M134" s="1"/>
  <c r="M101"/>
  <c r="M138" s="1"/>
  <c r="M92"/>
  <c r="M99"/>
  <c r="M81"/>
  <c r="M93"/>
  <c r="M87"/>
  <c r="M80"/>
  <c r="M102"/>
  <c r="M79"/>
  <c r="M65"/>
  <c r="M89"/>
  <c r="M126" s="1"/>
  <c r="M91"/>
  <c r="M78"/>
  <c r="K17" i="28"/>
  <c r="I96" i="20"/>
  <c r="I90"/>
  <c r="O12" i="28"/>
  <c r="I82" i="20"/>
  <c r="I92"/>
  <c r="I89"/>
  <c r="I97"/>
  <c r="I79"/>
  <c r="I78"/>
  <c r="I99"/>
  <c r="I91"/>
  <c r="I100"/>
  <c r="I76"/>
  <c r="I113" s="1"/>
  <c r="I101"/>
  <c r="I85"/>
  <c r="I94"/>
  <c r="I86"/>
  <c r="I83"/>
  <c r="I95"/>
  <c r="I81"/>
  <c r="I77"/>
  <c r="I114" s="1"/>
  <c r="I93"/>
  <c r="I80"/>
  <c r="I84"/>
  <c r="I87"/>
  <c r="I124" s="1"/>
  <c r="I88"/>
  <c r="I65"/>
  <c r="I102"/>
  <c r="I98"/>
  <c r="N93"/>
  <c r="N98"/>
  <c r="N88"/>
  <c r="N84"/>
  <c r="N96"/>
  <c r="N78"/>
  <c r="N79"/>
  <c r="N87"/>
  <c r="N95"/>
  <c r="N92"/>
  <c r="N99"/>
  <c r="N85"/>
  <c r="N122" s="1"/>
  <c r="N86"/>
  <c r="N94"/>
  <c r="N65"/>
  <c r="N82"/>
  <c r="N91"/>
  <c r="N101"/>
  <c r="N81"/>
  <c r="N90"/>
  <c r="N83"/>
  <c r="N76"/>
  <c r="N113" s="1"/>
  <c r="N89"/>
  <c r="N126" s="1"/>
  <c r="N80"/>
  <c r="N77"/>
  <c r="N102"/>
  <c r="N139" s="1"/>
  <c r="N100"/>
  <c r="N137" s="1"/>
  <c r="T12" i="28"/>
  <c r="N97" i="20"/>
  <c r="N134" s="1"/>
  <c r="H80"/>
  <c r="H92"/>
  <c r="H102"/>
  <c r="H84"/>
  <c r="H94"/>
  <c r="H78"/>
  <c r="H79"/>
  <c r="H82"/>
  <c r="H91"/>
  <c r="H81"/>
  <c r="H90"/>
  <c r="H86"/>
  <c r="N12" i="28"/>
  <c r="H96" i="20"/>
  <c r="H88"/>
  <c r="H98"/>
  <c r="H97"/>
  <c r="H99"/>
  <c r="H76"/>
  <c r="H113" s="1"/>
  <c r="H65"/>
  <c r="H95"/>
  <c r="H132" s="1"/>
  <c r="H87"/>
  <c r="H77"/>
  <c r="H114" s="1"/>
  <c r="H83"/>
  <c r="H120" s="1"/>
  <c r="H101"/>
  <c r="H89"/>
  <c r="H93"/>
  <c r="H85"/>
  <c r="H122" s="1"/>
  <c r="H100"/>
  <c r="R90"/>
  <c r="R100"/>
  <c r="R65"/>
  <c r="R94"/>
  <c r="R92"/>
  <c r="R85"/>
  <c r="R99"/>
  <c r="R78"/>
  <c r="R97"/>
  <c r="R96"/>
  <c r="R91"/>
  <c r="R79"/>
  <c r="R116" s="1"/>
  <c r="R86"/>
  <c r="R83"/>
  <c r="R98"/>
  <c r="R101"/>
  <c r="R81"/>
  <c r="R80"/>
  <c r="R82"/>
  <c r="R95"/>
  <c r="R132" s="1"/>
  <c r="R76"/>
  <c r="R113" s="1"/>
  <c r="R89"/>
  <c r="X12" i="28"/>
  <c r="R84" i="20"/>
  <c r="R87"/>
  <c r="R124" s="1"/>
  <c r="R102"/>
  <c r="R88"/>
  <c r="R77"/>
  <c r="R93"/>
  <c r="R130" s="1"/>
  <c r="K14" i="28"/>
  <c r="K15"/>
  <c r="K87" i="20"/>
  <c r="K79"/>
  <c r="K78"/>
  <c r="K80"/>
  <c r="K81"/>
  <c r="K84"/>
  <c r="K93"/>
  <c r="K77"/>
  <c r="K86"/>
  <c r="K92"/>
  <c r="K90"/>
  <c r="K101"/>
  <c r="K99"/>
  <c r="K65"/>
  <c r="K97"/>
  <c r="K89"/>
  <c r="K76"/>
  <c r="K113" s="1"/>
  <c r="K96"/>
  <c r="K100"/>
  <c r="K98"/>
  <c r="K95"/>
  <c r="K88"/>
  <c r="K91"/>
  <c r="K128" s="1"/>
  <c r="K83"/>
  <c r="K82"/>
  <c r="K119" s="1"/>
  <c r="K102"/>
  <c r="K94"/>
  <c r="K131" s="1"/>
  <c r="Q12" i="28"/>
  <c r="K85" i="20"/>
  <c r="G101"/>
  <c r="G89"/>
  <c r="G98"/>
  <c r="G90"/>
  <c r="G80"/>
  <c r="M12" i="28"/>
  <c r="G102" i="20"/>
  <c r="G95"/>
  <c r="G88"/>
  <c r="G91"/>
  <c r="G100"/>
  <c r="G78"/>
  <c r="G79"/>
  <c r="G83"/>
  <c r="G81"/>
  <c r="G93"/>
  <c r="G82"/>
  <c r="G96"/>
  <c r="G94"/>
  <c r="G87"/>
  <c r="G92"/>
  <c r="G86"/>
  <c r="G99"/>
  <c r="G136" s="1"/>
  <c r="G76"/>
  <c r="G113" s="1"/>
  <c r="G97"/>
  <c r="G65"/>
  <c r="G84"/>
  <c r="G77"/>
  <c r="G85"/>
  <c r="R12" i="28"/>
  <c r="L89" i="20"/>
  <c r="L101"/>
  <c r="L65"/>
  <c r="L94"/>
  <c r="L82"/>
  <c r="L85"/>
  <c r="L80"/>
  <c r="L100"/>
  <c r="L92"/>
  <c r="L98"/>
  <c r="L81"/>
  <c r="L118" s="1"/>
  <c r="L93"/>
  <c r="L76"/>
  <c r="L113" s="1"/>
  <c r="L102"/>
  <c r="L139" s="1"/>
  <c r="L77"/>
  <c r="L91"/>
  <c r="L83"/>
  <c r="L120" s="1"/>
  <c r="L97"/>
  <c r="L90"/>
  <c r="L78"/>
  <c r="L95"/>
  <c r="L99"/>
  <c r="L136" s="1"/>
  <c r="L87"/>
  <c r="L88"/>
  <c r="L96"/>
  <c r="L86"/>
  <c r="L123" s="1"/>
  <c r="L84"/>
  <c r="L79"/>
  <c r="L116" s="1"/>
  <c r="P82"/>
  <c r="P85"/>
  <c r="P92"/>
  <c r="P93"/>
  <c r="P101"/>
  <c r="P78"/>
  <c r="P95"/>
  <c r="P97"/>
  <c r="P94"/>
  <c r="P80"/>
  <c r="P102"/>
  <c r="P79"/>
  <c r="P91"/>
  <c r="P65"/>
  <c r="P99"/>
  <c r="P83"/>
  <c r="P98"/>
  <c r="P81"/>
  <c r="P118" s="1"/>
  <c r="P77"/>
  <c r="P88"/>
  <c r="P87"/>
  <c r="P84"/>
  <c r="V12" i="28"/>
  <c r="P86" i="20"/>
  <c r="P100"/>
  <c r="P90"/>
  <c r="P89"/>
  <c r="P76"/>
  <c r="P113" s="1"/>
  <c r="P96"/>
  <c r="K13" i="28"/>
  <c r="S91" i="20"/>
  <c r="S99"/>
  <c r="S100"/>
  <c r="S97"/>
  <c r="S65"/>
  <c r="S96"/>
  <c r="S95"/>
  <c r="S88"/>
  <c r="S77"/>
  <c r="S76"/>
  <c r="S113" s="1"/>
  <c r="S80"/>
  <c r="S86"/>
  <c r="S85"/>
  <c r="S90"/>
  <c r="S81"/>
  <c r="S98"/>
  <c r="S93"/>
  <c r="S78"/>
  <c r="S82"/>
  <c r="S119" s="1"/>
  <c r="Y12" i="28"/>
  <c r="S89" i="20"/>
  <c r="S84"/>
  <c r="S101"/>
  <c r="S138" s="1"/>
  <c r="S94"/>
  <c r="S87"/>
  <c r="S79"/>
  <c r="S116" s="1"/>
  <c r="S83"/>
  <c r="S120" s="1"/>
  <c r="S102"/>
  <c r="S92"/>
  <c r="S129" s="1"/>
  <c r="Q98"/>
  <c r="Q86"/>
  <c r="Q91"/>
  <c r="Q85"/>
  <c r="Q90"/>
  <c r="Q102"/>
  <c r="Q78"/>
  <c r="Q76"/>
  <c r="Q113" s="1"/>
  <c r="Q92"/>
  <c r="Q88"/>
  <c r="Q80"/>
  <c r="Q77"/>
  <c r="Q114" s="1"/>
  <c r="Q100"/>
  <c r="Q81"/>
  <c r="Q101"/>
  <c r="Q89"/>
  <c r="Q95"/>
  <c r="Q84"/>
  <c r="Q79"/>
  <c r="Q116" s="1"/>
  <c r="Q83"/>
  <c r="Q96"/>
  <c r="Q82"/>
  <c r="Q119" s="1"/>
  <c r="Q97"/>
  <c r="W12" i="28"/>
  <c r="Q93" i="20"/>
  <c r="Q130" s="1"/>
  <c r="Q99"/>
  <c r="Q65"/>
  <c r="Q94"/>
  <c r="Q87"/>
  <c r="P12" i="28"/>
  <c r="J90" i="20"/>
  <c r="J102"/>
  <c r="J83"/>
  <c r="J85"/>
  <c r="J81"/>
  <c r="J78"/>
  <c r="J100"/>
  <c r="J88"/>
  <c r="J84"/>
  <c r="J96"/>
  <c r="J98"/>
  <c r="J80"/>
  <c r="J94"/>
  <c r="J97"/>
  <c r="J87"/>
  <c r="J79"/>
  <c r="J101"/>
  <c r="J93"/>
  <c r="J99"/>
  <c r="J65"/>
  <c r="J89"/>
  <c r="J82"/>
  <c r="J91"/>
  <c r="J86"/>
  <c r="J123" s="1"/>
  <c r="J95"/>
  <c r="J132" s="1"/>
  <c r="J76"/>
  <c r="J113" s="1"/>
  <c r="J77"/>
  <c r="J92"/>
  <c r="E77"/>
  <c r="E91"/>
  <c r="E89"/>
  <c r="E65"/>
  <c r="E98"/>
  <c r="E93"/>
  <c r="E76"/>
  <c r="E113" s="1"/>
  <c r="E81"/>
  <c r="E100"/>
  <c r="E79"/>
  <c r="E87"/>
  <c r="E95"/>
  <c r="E97"/>
  <c r="E86"/>
  <c r="K12" i="28"/>
  <c r="E78" i="20"/>
  <c r="E80"/>
  <c r="E84"/>
  <c r="E92"/>
  <c r="E83"/>
  <c r="E96"/>
  <c r="E90"/>
  <c r="E102"/>
  <c r="E88"/>
  <c r="E82"/>
  <c r="E101"/>
  <c r="E85"/>
  <c r="E94"/>
  <c r="E99"/>
  <c r="E136" s="1"/>
  <c r="E175" s="1"/>
  <c r="K19" i="28"/>
  <c r="O18"/>
  <c r="I80" i="19"/>
  <c r="I117" s="1"/>
  <c r="I81"/>
  <c r="I97"/>
  <c r="I98"/>
  <c r="I63"/>
  <c r="I88"/>
  <c r="I92"/>
  <c r="I93"/>
  <c r="I100"/>
  <c r="I94"/>
  <c r="I85"/>
  <c r="I83"/>
  <c r="I82"/>
  <c r="I86"/>
  <c r="I99"/>
  <c r="I96"/>
  <c r="I91"/>
  <c r="I90"/>
  <c r="I87"/>
  <c r="I95"/>
  <c r="I89"/>
  <c r="I84"/>
  <c r="K21" i="28"/>
  <c r="K20"/>
  <c r="X18"/>
  <c r="R100" i="19"/>
  <c r="R95"/>
  <c r="R93"/>
  <c r="R90"/>
  <c r="R91"/>
  <c r="R99"/>
  <c r="R97"/>
  <c r="R89"/>
  <c r="R80"/>
  <c r="R117" s="1"/>
  <c r="R87"/>
  <c r="R96"/>
  <c r="R83"/>
  <c r="R98"/>
  <c r="R82"/>
  <c r="R81"/>
  <c r="R88"/>
  <c r="R86"/>
  <c r="R63"/>
  <c r="R85"/>
  <c r="R84"/>
  <c r="R121" s="1"/>
  <c r="R94"/>
  <c r="R92"/>
  <c r="U18" i="28"/>
  <c r="O93" i="19"/>
  <c r="O89"/>
  <c r="O94"/>
  <c r="O88"/>
  <c r="O63"/>
  <c r="O81"/>
  <c r="O92"/>
  <c r="O95"/>
  <c r="O98"/>
  <c r="O80"/>
  <c r="O117" s="1"/>
  <c r="O87"/>
  <c r="O82"/>
  <c r="O86"/>
  <c r="O85"/>
  <c r="O84"/>
  <c r="O99"/>
  <c r="O91"/>
  <c r="O90"/>
  <c r="O127" s="1"/>
  <c r="O97"/>
  <c r="O83"/>
  <c r="O96"/>
  <c r="O100"/>
  <c r="J88"/>
  <c r="J82"/>
  <c r="J80"/>
  <c r="J117" s="1"/>
  <c r="J87"/>
  <c r="J95"/>
  <c r="J83"/>
  <c r="P18" i="28"/>
  <c r="J81" i="19"/>
  <c r="J99"/>
  <c r="J94"/>
  <c r="J84"/>
  <c r="J96"/>
  <c r="J90"/>
  <c r="J86"/>
  <c r="J98"/>
  <c r="J97"/>
  <c r="J85"/>
  <c r="J100"/>
  <c r="J63"/>
  <c r="J91"/>
  <c r="J93"/>
  <c r="J92"/>
  <c r="J89"/>
  <c r="Q83"/>
  <c r="Q81"/>
  <c r="Q93"/>
  <c r="Q63"/>
  <c r="Q98"/>
  <c r="Q86"/>
  <c r="Q91"/>
  <c r="Q90"/>
  <c r="Q99"/>
  <c r="Q80"/>
  <c r="Q117" s="1"/>
  <c r="Q88"/>
  <c r="Q92"/>
  <c r="Q87"/>
  <c r="Q100"/>
  <c r="Q82"/>
  <c r="Q84"/>
  <c r="Q95"/>
  <c r="Q96"/>
  <c r="W18" i="28"/>
  <c r="Q85" i="19"/>
  <c r="Q122" s="1"/>
  <c r="Q97"/>
  <c r="Q89"/>
  <c r="Q94"/>
  <c r="Q131" s="1"/>
  <c r="K91"/>
  <c r="K80"/>
  <c r="K117" s="1"/>
  <c r="K81"/>
  <c r="K95"/>
  <c r="K90"/>
  <c r="K100"/>
  <c r="K83"/>
  <c r="K84"/>
  <c r="K87"/>
  <c r="K96"/>
  <c r="K92"/>
  <c r="K82"/>
  <c r="K99"/>
  <c r="K93"/>
  <c r="K85"/>
  <c r="K98"/>
  <c r="K94"/>
  <c r="K97"/>
  <c r="K134" s="1"/>
  <c r="K89"/>
  <c r="Q18" i="28"/>
  <c r="K63" i="19"/>
  <c r="K86"/>
  <c r="K88"/>
  <c r="R18" i="28"/>
  <c r="L94" i="19"/>
  <c r="L80"/>
  <c r="L117" s="1"/>
  <c r="L97"/>
  <c r="L99"/>
  <c r="L85"/>
  <c r="L90"/>
  <c r="L82"/>
  <c r="L92"/>
  <c r="L63"/>
  <c r="L93"/>
  <c r="L95"/>
  <c r="L81"/>
  <c r="L86"/>
  <c r="L123" s="1"/>
  <c r="L84"/>
  <c r="L98"/>
  <c r="L135" s="1"/>
  <c r="L83"/>
  <c r="L96"/>
  <c r="L89"/>
  <c r="L87"/>
  <c r="L88"/>
  <c r="L91"/>
  <c r="L100"/>
  <c r="M82"/>
  <c r="M98"/>
  <c r="M87"/>
  <c r="M97"/>
  <c r="M89"/>
  <c r="S18" i="28"/>
  <c r="M91" i="19"/>
  <c r="M88"/>
  <c r="M93"/>
  <c r="M95"/>
  <c r="M100"/>
  <c r="M81"/>
  <c r="M63"/>
  <c r="M99"/>
  <c r="M92"/>
  <c r="M83"/>
  <c r="M86"/>
  <c r="M96"/>
  <c r="M133" s="1"/>
  <c r="M90"/>
  <c r="M80"/>
  <c r="M117" s="1"/>
  <c r="M85"/>
  <c r="M94"/>
  <c r="M84"/>
  <c r="H81"/>
  <c r="H91"/>
  <c r="H96"/>
  <c r="H84"/>
  <c r="N18" i="28"/>
  <c r="H87" i="19"/>
  <c r="H90"/>
  <c r="H80"/>
  <c r="H117" s="1"/>
  <c r="H97"/>
  <c r="H93"/>
  <c r="H85"/>
  <c r="H94"/>
  <c r="H99"/>
  <c r="H83"/>
  <c r="H63"/>
  <c r="H92"/>
  <c r="H100"/>
  <c r="H137" s="1"/>
  <c r="H82"/>
  <c r="H86"/>
  <c r="H89"/>
  <c r="H95"/>
  <c r="H98"/>
  <c r="H88"/>
  <c r="N85"/>
  <c r="N95"/>
  <c r="T18" i="28"/>
  <c r="N99" i="19"/>
  <c r="N80"/>
  <c r="N117" s="1"/>
  <c r="N88"/>
  <c r="N96"/>
  <c r="N89"/>
  <c r="N100"/>
  <c r="N98"/>
  <c r="N97"/>
  <c r="N84"/>
  <c r="N92"/>
  <c r="N94"/>
  <c r="N90"/>
  <c r="N93"/>
  <c r="N63"/>
  <c r="N82"/>
  <c r="N87"/>
  <c r="N91"/>
  <c r="N83"/>
  <c r="N86"/>
  <c r="N81"/>
  <c r="P81"/>
  <c r="V18" i="28"/>
  <c r="P88" i="19"/>
  <c r="P87"/>
  <c r="P91"/>
  <c r="P95"/>
  <c r="P93"/>
  <c r="P97"/>
  <c r="P85"/>
  <c r="P90"/>
  <c r="P86"/>
  <c r="P83"/>
  <c r="P98"/>
  <c r="P99"/>
  <c r="P100"/>
  <c r="P84"/>
  <c r="P121" s="1"/>
  <c r="P80"/>
  <c r="P117" s="1"/>
  <c r="P89"/>
  <c r="P63"/>
  <c r="P94"/>
  <c r="P92"/>
  <c r="P129" s="1"/>
  <c r="P96"/>
  <c r="P133" s="1"/>
  <c r="P82"/>
  <c r="K18" i="28"/>
  <c r="E90" i="19"/>
  <c r="E86"/>
  <c r="E96"/>
  <c r="E98"/>
  <c r="E100"/>
  <c r="E84"/>
  <c r="E63"/>
  <c r="E92"/>
  <c r="E87"/>
  <c r="E91"/>
  <c r="E81"/>
  <c r="E82"/>
  <c r="E95"/>
  <c r="E85"/>
  <c r="E122" s="1"/>
  <c r="E161" s="1"/>
  <c r="E99"/>
  <c r="E80"/>
  <c r="E117" s="1"/>
  <c r="E97"/>
  <c r="E83"/>
  <c r="E93"/>
  <c r="E88"/>
  <c r="E89"/>
  <c r="E94"/>
  <c r="Y18" i="28"/>
  <c r="S63" i="19"/>
  <c r="S94"/>
  <c r="S90"/>
  <c r="S88"/>
  <c r="S89"/>
  <c r="S92"/>
  <c r="S87"/>
  <c r="S96"/>
  <c r="S85"/>
  <c r="S98"/>
  <c r="S81"/>
  <c r="S91"/>
  <c r="S99"/>
  <c r="S95"/>
  <c r="S132" s="1"/>
  <c r="S86"/>
  <c r="S84"/>
  <c r="S97"/>
  <c r="S80"/>
  <c r="S117" s="1"/>
  <c r="S82"/>
  <c r="S119" s="1"/>
  <c r="S93"/>
  <c r="S83"/>
  <c r="S100"/>
  <c r="F86"/>
  <c r="L18" i="28"/>
  <c r="F95" i="19"/>
  <c r="F63"/>
  <c r="F84"/>
  <c r="F100"/>
  <c r="F83"/>
  <c r="F90"/>
  <c r="F81"/>
  <c r="F98"/>
  <c r="F92"/>
  <c r="F97"/>
  <c r="F99"/>
  <c r="F91"/>
  <c r="F82"/>
  <c r="F89"/>
  <c r="F94"/>
  <c r="F93"/>
  <c r="F87"/>
  <c r="F88"/>
  <c r="F96"/>
  <c r="F80"/>
  <c r="F117" s="1"/>
  <c r="F85"/>
  <c r="G91"/>
  <c r="G97"/>
  <c r="G82"/>
  <c r="G89"/>
  <c r="G93"/>
  <c r="G84"/>
  <c r="G98"/>
  <c r="G85"/>
  <c r="G83"/>
  <c r="G81"/>
  <c r="G96"/>
  <c r="G86"/>
  <c r="G94"/>
  <c r="M18" i="28"/>
  <c r="G87" i="19"/>
  <c r="G95"/>
  <c r="G63"/>
  <c r="G92"/>
  <c r="G100"/>
  <c r="G90"/>
  <c r="G127" s="1"/>
  <c r="G80"/>
  <c r="G117" s="1"/>
  <c r="G99"/>
  <c r="G88"/>
  <c r="G125" s="1"/>
  <c r="K131" i="17" l="1"/>
  <c r="F129"/>
  <c r="G131" i="19"/>
  <c r="H123"/>
  <c r="W112" i="26"/>
  <c r="F111"/>
  <c r="N108"/>
  <c r="S118" i="20"/>
  <c r="Q121" i="17"/>
  <c r="M128"/>
  <c r="J114" i="27"/>
  <c r="F104" i="26"/>
  <c r="F91"/>
  <c r="I98"/>
  <c r="I101"/>
  <c r="N98"/>
  <c r="N103"/>
  <c r="N91"/>
  <c r="N116"/>
  <c r="V112"/>
  <c r="Q114"/>
  <c r="Q93"/>
  <c r="F106"/>
  <c r="Q107"/>
  <c r="L116"/>
  <c r="L96"/>
  <c r="O110"/>
  <c r="P101" i="27"/>
  <c r="L106" i="26"/>
  <c r="S101"/>
  <c r="X111"/>
  <c r="X114"/>
  <c r="T107"/>
  <c r="P115"/>
  <c r="P94"/>
  <c r="W116" i="27"/>
  <c r="U105"/>
  <c r="G123" i="19"/>
  <c r="M121" i="20"/>
  <c r="Q130" i="17"/>
  <c r="W102" i="27"/>
  <c r="T111" i="26"/>
  <c r="U119"/>
  <c r="U98"/>
  <c r="K110"/>
  <c r="E116" i="27"/>
  <c r="E99"/>
  <c r="S102"/>
  <c r="H117"/>
  <c r="R113"/>
  <c r="P112"/>
  <c r="E116" i="26"/>
  <c r="E91"/>
  <c r="W101"/>
  <c r="W104"/>
  <c r="W114"/>
  <c r="L92"/>
  <c r="L103"/>
  <c r="L113"/>
  <c r="L109"/>
  <c r="J107"/>
  <c r="J95"/>
  <c r="J102"/>
  <c r="J97"/>
  <c r="G92"/>
  <c r="G100"/>
  <c r="G104"/>
  <c r="G108"/>
  <c r="S104"/>
  <c r="S112"/>
  <c r="S91"/>
  <c r="X108"/>
  <c r="X93"/>
  <c r="X116"/>
  <c r="X118"/>
  <c r="X99"/>
  <c r="X95"/>
  <c r="T98"/>
  <c r="T101"/>
  <c r="T113"/>
  <c r="B45"/>
  <c r="P105"/>
  <c r="P95"/>
  <c r="P97"/>
  <c r="P103"/>
  <c r="F109"/>
  <c r="F94"/>
  <c r="F98"/>
  <c r="U117"/>
  <c r="U110"/>
  <c r="K114"/>
  <c r="K92"/>
  <c r="K108"/>
  <c r="K105"/>
  <c r="I117"/>
  <c r="I93"/>
  <c r="I108"/>
  <c r="I112"/>
  <c r="R100"/>
  <c r="R106"/>
  <c r="R115"/>
  <c r="N94"/>
  <c r="N112"/>
  <c r="V114"/>
  <c r="V108"/>
  <c r="V100"/>
  <c r="V94"/>
  <c r="V103"/>
  <c r="Q95"/>
  <c r="Q108"/>
  <c r="Q102"/>
  <c r="Q116"/>
  <c r="Q99"/>
  <c r="O105"/>
  <c r="O113"/>
  <c r="O101"/>
  <c r="H99"/>
  <c r="H111"/>
  <c r="H116"/>
  <c r="M113"/>
  <c r="M110"/>
  <c r="M97"/>
  <c r="M92"/>
  <c r="M117" i="27"/>
  <c r="E109"/>
  <c r="O115"/>
  <c r="V112"/>
  <c r="K101"/>
  <c r="T117"/>
  <c r="G106"/>
  <c r="J112"/>
  <c r="L112"/>
  <c r="U116"/>
  <c r="H99"/>
  <c r="H119"/>
  <c r="X117"/>
  <c r="P115"/>
  <c r="L112" i="26"/>
  <c r="J100"/>
  <c r="J94"/>
  <c r="X107"/>
  <c r="T94"/>
  <c r="T92"/>
  <c r="P109"/>
  <c r="P112"/>
  <c r="F101"/>
  <c r="F116"/>
  <c r="U109"/>
  <c r="U107"/>
  <c r="U116"/>
  <c r="K91"/>
  <c r="K96"/>
  <c r="I115"/>
  <c r="I92"/>
  <c r="I106"/>
  <c r="M115" i="27"/>
  <c r="W117"/>
  <c r="O112"/>
  <c r="F110"/>
  <c r="F106"/>
  <c r="F101"/>
  <c r="V100"/>
  <c r="K107"/>
  <c r="K103"/>
  <c r="G113"/>
  <c r="G103"/>
  <c r="Q119"/>
  <c r="Q112"/>
  <c r="Q116"/>
  <c r="J117"/>
  <c r="J108"/>
  <c r="J99"/>
  <c r="L118"/>
  <c r="U108"/>
  <c r="N119"/>
  <c r="N99"/>
  <c r="N106"/>
  <c r="H112"/>
  <c r="X108"/>
  <c r="I99"/>
  <c r="I103"/>
  <c r="R105"/>
  <c r="E101" i="26"/>
  <c r="E112"/>
  <c r="W110"/>
  <c r="W117"/>
  <c r="W94"/>
  <c r="W108"/>
  <c r="L94"/>
  <c r="L101"/>
  <c r="J114"/>
  <c r="J91"/>
  <c r="G98"/>
  <c r="X104"/>
  <c r="T110"/>
  <c r="T95"/>
  <c r="P99"/>
  <c r="P113"/>
  <c r="P118"/>
  <c r="F117"/>
  <c r="F107"/>
  <c r="F114"/>
  <c r="U104"/>
  <c r="U93"/>
  <c r="U99"/>
  <c r="K100"/>
  <c r="K97"/>
  <c r="I110"/>
  <c r="R118"/>
  <c r="R94"/>
  <c r="R109"/>
  <c r="R97"/>
  <c r="V97"/>
  <c r="V106"/>
  <c r="V110"/>
  <c r="W119"/>
  <c r="Q118"/>
  <c r="O116"/>
  <c r="O99"/>
  <c r="O93"/>
  <c r="H95"/>
  <c r="H101"/>
  <c r="H93"/>
  <c r="H106"/>
  <c r="M117"/>
  <c r="M101"/>
  <c r="M108"/>
  <c r="Q128" i="17"/>
  <c r="G124"/>
  <c r="G118" i="27"/>
  <c r="N101"/>
  <c r="L114" i="26"/>
  <c r="M129" i="19"/>
  <c r="H139" i="17"/>
  <c r="R129"/>
  <c r="I118" i="27"/>
  <c r="W93" i="26"/>
  <c r="J101"/>
  <c r="U42" i="17"/>
  <c r="U48" s="1"/>
  <c r="U24"/>
  <c r="U29"/>
  <c r="U32" s="1"/>
  <c r="M119" i="27"/>
  <c r="M113"/>
  <c r="E100"/>
  <c r="W110"/>
  <c r="O101"/>
  <c r="O119"/>
  <c r="F112"/>
  <c r="K110"/>
  <c r="T107"/>
  <c r="T113"/>
  <c r="T104"/>
  <c r="Q105"/>
  <c r="J103"/>
  <c r="L103"/>
  <c r="U112"/>
  <c r="U110"/>
  <c r="S103"/>
  <c r="S111"/>
  <c r="N102"/>
  <c r="X103"/>
  <c r="X101"/>
  <c r="X112"/>
  <c r="I107"/>
  <c r="I115"/>
  <c r="R114"/>
  <c r="P104"/>
  <c r="P106"/>
  <c r="E95" i="26"/>
  <c r="W106"/>
  <c r="W91"/>
  <c r="J103"/>
  <c r="J108"/>
  <c r="G109"/>
  <c r="G105"/>
  <c r="G116"/>
  <c r="G102"/>
  <c r="G93"/>
  <c r="S92"/>
  <c r="S105"/>
  <c r="X96"/>
  <c r="T102"/>
  <c r="T99"/>
  <c r="P100"/>
  <c r="P106"/>
  <c r="F112"/>
  <c r="U102"/>
  <c r="K115"/>
  <c r="K93"/>
  <c r="K102"/>
  <c r="S119"/>
  <c r="I95"/>
  <c r="I113"/>
  <c r="I118"/>
  <c r="N109"/>
  <c r="N113"/>
  <c r="N106"/>
  <c r="V95"/>
  <c r="V116"/>
  <c r="Q109"/>
  <c r="Q110"/>
  <c r="Q100"/>
  <c r="O114"/>
  <c r="O106"/>
  <c r="H97"/>
  <c r="H117"/>
  <c r="M93"/>
  <c r="W24" i="17"/>
  <c r="W42"/>
  <c r="W48" s="1"/>
  <c r="W29"/>
  <c r="W32" s="1"/>
  <c r="T42"/>
  <c r="T24"/>
  <c r="T29"/>
  <c r="T32" s="1"/>
  <c r="C10" i="25"/>
  <c r="AA45"/>
  <c r="E46"/>
  <c r="F46" s="1"/>
  <c r="G46" s="1"/>
  <c r="H46" s="1"/>
  <c r="I46" s="1"/>
  <c r="J46" s="1"/>
  <c r="K46" s="1"/>
  <c r="L46" s="1"/>
  <c r="M46" s="1"/>
  <c r="N46" s="1"/>
  <c r="O46" s="1"/>
  <c r="P46" s="1"/>
  <c r="Q46" s="1"/>
  <c r="R46" s="1"/>
  <c r="S46" s="1"/>
  <c r="T46" s="1"/>
  <c r="U46" s="1"/>
  <c r="V46" s="1"/>
  <c r="W46" s="1"/>
  <c r="X46" s="1"/>
  <c r="J120" i="19"/>
  <c r="J136" i="20"/>
  <c r="V24" i="17"/>
  <c r="V42"/>
  <c r="V48" s="1"/>
  <c r="V29"/>
  <c r="V32" s="1"/>
  <c r="M107" i="27"/>
  <c r="M105"/>
  <c r="E112"/>
  <c r="W100"/>
  <c r="O110"/>
  <c r="F119"/>
  <c r="F108"/>
  <c r="V116"/>
  <c r="T109"/>
  <c r="L110"/>
  <c r="L106"/>
  <c r="S117"/>
  <c r="N117"/>
  <c r="N113"/>
  <c r="I117"/>
  <c r="R116"/>
  <c r="E115" i="26"/>
  <c r="T119"/>
  <c r="X24" i="17"/>
  <c r="X42"/>
  <c r="X48" s="1"/>
  <c r="X29"/>
  <c r="R112" i="26"/>
  <c r="R105"/>
  <c r="N118"/>
  <c r="N115"/>
  <c r="N102"/>
  <c r="Q104"/>
  <c r="Q97"/>
  <c r="Q106"/>
  <c r="O104"/>
  <c r="O109"/>
  <c r="H94"/>
  <c r="H109"/>
  <c r="AA135" i="25"/>
  <c r="Y58" i="26"/>
  <c r="Y70"/>
  <c r="Y66"/>
  <c r="Y65"/>
  <c r="Y62"/>
  <c r="Y60"/>
  <c r="Y54"/>
  <c r="Y57"/>
  <c r="Y55"/>
  <c r="Y71"/>
  <c r="Y61"/>
  <c r="Y64"/>
  <c r="Y78"/>
  <c r="Y80"/>
  <c r="Y68"/>
  <c r="AE4" i="28"/>
  <c r="Y72" i="26"/>
  <c r="Y75"/>
  <c r="Y69"/>
  <c r="Y53"/>
  <c r="Y73"/>
  <c r="Y77"/>
  <c r="Y67"/>
  <c r="Y63"/>
  <c r="Y59"/>
  <c r="Y81"/>
  <c r="Y56"/>
  <c r="Y74"/>
  <c r="Y79"/>
  <c r="Y76"/>
  <c r="S96"/>
  <c r="S95"/>
  <c r="H115"/>
  <c r="H114"/>
  <c r="X42" i="20"/>
  <c r="X48" s="1"/>
  <c r="X24"/>
  <c r="X29"/>
  <c r="J92" i="26"/>
  <c r="U91"/>
  <c r="K98"/>
  <c r="R110"/>
  <c r="R95"/>
  <c r="W111" i="27"/>
  <c r="Q117"/>
  <c r="U114"/>
  <c r="L97" i="26"/>
  <c r="T108"/>
  <c r="R98"/>
  <c r="V98"/>
  <c r="Q111"/>
  <c r="E104"/>
  <c r="E103"/>
  <c r="E94"/>
  <c r="E93"/>
  <c r="S117"/>
  <c r="S116"/>
  <c r="E46"/>
  <c r="F46" s="1"/>
  <c r="G46" s="1"/>
  <c r="H46" s="1"/>
  <c r="I46" s="1"/>
  <c r="J46" s="1"/>
  <c r="K46" s="1"/>
  <c r="L46" s="1"/>
  <c r="M46" s="1"/>
  <c r="N46" s="1"/>
  <c r="O46" s="1"/>
  <c r="P46" s="1"/>
  <c r="Q46" s="1"/>
  <c r="R46" s="1"/>
  <c r="S46" s="1"/>
  <c r="T46" s="1"/>
  <c r="U46" s="1"/>
  <c r="V46" s="1"/>
  <c r="W46" s="1"/>
  <c r="X46" s="1"/>
  <c r="P101"/>
  <c r="K103"/>
  <c r="M102"/>
  <c r="U24" i="20"/>
  <c r="U42"/>
  <c r="U48" s="1"/>
  <c r="U29"/>
  <c r="U32" s="1"/>
  <c r="E106" i="26"/>
  <c r="E105"/>
  <c r="W24" i="20"/>
  <c r="W42"/>
  <c r="W48" s="1"/>
  <c r="W29"/>
  <c r="W32" s="1"/>
  <c r="V42"/>
  <c r="V48" s="1"/>
  <c r="V24"/>
  <c r="V29"/>
  <c r="V32" s="1"/>
  <c r="E99" i="26"/>
  <c r="E98"/>
  <c r="Y45"/>
  <c r="AA45" s="1"/>
  <c r="Y82"/>
  <c r="AE3" i="28"/>
  <c r="N105" i="26"/>
  <c r="N104"/>
  <c r="T42" i="20"/>
  <c r="T24"/>
  <c r="T29"/>
  <c r="T32" s="1"/>
  <c r="F104" i="27"/>
  <c r="W105" i="26"/>
  <c r="J104"/>
  <c r="J116"/>
  <c r="G115"/>
  <c r="S102"/>
  <c r="S93"/>
  <c r="T96"/>
  <c r="P116"/>
  <c r="F110"/>
  <c r="F96"/>
  <c r="U100"/>
  <c r="K116"/>
  <c r="I103"/>
  <c r="I96"/>
  <c r="R101"/>
  <c r="R102"/>
  <c r="F119"/>
  <c r="N96"/>
  <c r="N107"/>
  <c r="V101"/>
  <c r="Q112"/>
  <c r="O95"/>
  <c r="O91"/>
  <c r="H102"/>
  <c r="H96"/>
  <c r="H103"/>
  <c r="M106"/>
  <c r="M103"/>
  <c r="M110" i="27"/>
  <c r="M100"/>
  <c r="M102"/>
  <c r="E117"/>
  <c r="E105"/>
  <c r="E103"/>
  <c r="W104"/>
  <c r="W112"/>
  <c r="W107"/>
  <c r="O106"/>
  <c r="O117"/>
  <c r="O104"/>
  <c r="F113"/>
  <c r="F117"/>
  <c r="V107"/>
  <c r="V109"/>
  <c r="K99"/>
  <c r="K104"/>
  <c r="K116"/>
  <c r="K111"/>
  <c r="T99"/>
  <c r="G114"/>
  <c r="G119"/>
  <c r="G100"/>
  <c r="Q108"/>
  <c r="Q110"/>
  <c r="Q106"/>
  <c r="Q100"/>
  <c r="J106"/>
  <c r="J104"/>
  <c r="J118"/>
  <c r="L101"/>
  <c r="L108"/>
  <c r="U119"/>
  <c r="U100"/>
  <c r="S100"/>
  <c r="S113"/>
  <c r="N104"/>
  <c r="N108"/>
  <c r="H104"/>
  <c r="H113"/>
  <c r="H109"/>
  <c r="X109"/>
  <c r="X113"/>
  <c r="X119"/>
  <c r="X104"/>
  <c r="I111"/>
  <c r="I105"/>
  <c r="I109"/>
  <c r="R100"/>
  <c r="R119"/>
  <c r="R108"/>
  <c r="P107"/>
  <c r="P110"/>
  <c r="P119"/>
  <c r="E102" i="26"/>
  <c r="E113"/>
  <c r="E97"/>
  <c r="E92"/>
  <c r="W95"/>
  <c r="W96"/>
  <c r="W118"/>
  <c r="W97"/>
  <c r="W98"/>
  <c r="W109"/>
  <c r="W92"/>
  <c r="L104"/>
  <c r="L93"/>
  <c r="L102"/>
  <c r="L107"/>
  <c r="L99"/>
  <c r="J113"/>
  <c r="J105"/>
  <c r="J106"/>
  <c r="G94"/>
  <c r="G95"/>
  <c r="G103"/>
  <c r="G112"/>
  <c r="G99"/>
  <c r="G110"/>
  <c r="G91"/>
  <c r="S103"/>
  <c r="S118"/>
  <c r="S98"/>
  <c r="X103"/>
  <c r="X97"/>
  <c r="X105"/>
  <c r="X92"/>
  <c r="X94"/>
  <c r="X115"/>
  <c r="X109"/>
  <c r="T104"/>
  <c r="T109"/>
  <c r="T112"/>
  <c r="T97"/>
  <c r="T100"/>
  <c r="E119"/>
  <c r="P96"/>
  <c r="P117"/>
  <c r="P98"/>
  <c r="F113"/>
  <c r="F92"/>
  <c r="F97"/>
  <c r="F93"/>
  <c r="U96"/>
  <c r="U118"/>
  <c r="U103"/>
  <c r="U92"/>
  <c r="K99"/>
  <c r="K111"/>
  <c r="K104"/>
  <c r="K112"/>
  <c r="K107"/>
  <c r="I104"/>
  <c r="I116"/>
  <c r="R111"/>
  <c r="R103"/>
  <c r="R104"/>
  <c r="R117"/>
  <c r="R92"/>
  <c r="N117"/>
  <c r="N114"/>
  <c r="N92"/>
  <c r="N101"/>
  <c r="V102"/>
  <c r="V105"/>
  <c r="V107"/>
  <c r="V96"/>
  <c r="V99"/>
  <c r="V117"/>
  <c r="Q101"/>
  <c r="Q103"/>
  <c r="Q117"/>
  <c r="Q96"/>
  <c r="Q105"/>
  <c r="Q98"/>
  <c r="Q115"/>
  <c r="O103"/>
  <c r="O100"/>
  <c r="O107"/>
  <c r="O115"/>
  <c r="O98"/>
  <c r="H104"/>
  <c r="H98"/>
  <c r="H113"/>
  <c r="H105"/>
  <c r="H100"/>
  <c r="H108"/>
  <c r="M111"/>
  <c r="M94"/>
  <c r="M91"/>
  <c r="M109"/>
  <c r="M116"/>
  <c r="M99"/>
  <c r="E108"/>
  <c r="E107"/>
  <c r="E110"/>
  <c r="E109"/>
  <c r="Y90"/>
  <c r="E118"/>
  <c r="E117"/>
  <c r="S109"/>
  <c r="S108"/>
  <c r="S111"/>
  <c r="S110"/>
  <c r="H92"/>
  <c r="H91"/>
  <c r="E96"/>
  <c r="W111"/>
  <c r="L98"/>
  <c r="J115"/>
  <c r="S115"/>
  <c r="S106"/>
  <c r="R119"/>
  <c r="T103"/>
  <c r="P107"/>
  <c r="U94"/>
  <c r="U105"/>
  <c r="K117"/>
  <c r="K101"/>
  <c r="R116"/>
  <c r="P119"/>
  <c r="N95"/>
  <c r="V115"/>
  <c r="O118"/>
  <c r="H112"/>
  <c r="M118"/>
  <c r="E108" i="27"/>
  <c r="E115"/>
  <c r="W114"/>
  <c r="O109"/>
  <c r="F105"/>
  <c r="F100"/>
  <c r="V115"/>
  <c r="V111"/>
  <c r="V99"/>
  <c r="K114"/>
  <c r="G102"/>
  <c r="G105"/>
  <c r="G112"/>
  <c r="Q114"/>
  <c r="J101"/>
  <c r="J116"/>
  <c r="L116"/>
  <c r="N116"/>
  <c r="N112"/>
  <c r="H116"/>
  <c r="X115"/>
  <c r="I113"/>
  <c r="E114" i="26"/>
  <c r="E100"/>
  <c r="O119"/>
  <c r="W107"/>
  <c r="W102"/>
  <c r="W99"/>
  <c r="W113"/>
  <c r="W103"/>
  <c r="W115"/>
  <c r="W100"/>
  <c r="L108"/>
  <c r="L105"/>
  <c r="L115"/>
  <c r="L117"/>
  <c r="L95"/>
  <c r="L111"/>
  <c r="J96"/>
  <c r="J93"/>
  <c r="J117"/>
  <c r="J111"/>
  <c r="J109"/>
  <c r="J99"/>
  <c r="G117"/>
  <c r="G118"/>
  <c r="G106"/>
  <c r="G96"/>
  <c r="G113"/>
  <c r="S107"/>
  <c r="S113"/>
  <c r="S100"/>
  <c r="S94"/>
  <c r="I119"/>
  <c r="X110"/>
  <c r="X98"/>
  <c r="X112"/>
  <c r="X113"/>
  <c r="X106"/>
  <c r="X117"/>
  <c r="X101"/>
  <c r="T117"/>
  <c r="T93"/>
  <c r="T118"/>
  <c r="T115"/>
  <c r="T105"/>
  <c r="T91"/>
  <c r="G119"/>
  <c r="P114"/>
  <c r="P104"/>
  <c r="P102"/>
  <c r="P110"/>
  <c r="P91"/>
  <c r="P111"/>
  <c r="P108"/>
  <c r="P93"/>
  <c r="F115"/>
  <c r="F102"/>
  <c r="F99"/>
  <c r="F108"/>
  <c r="F105"/>
  <c r="U111"/>
  <c r="U108"/>
  <c r="U106"/>
  <c r="U97"/>
  <c r="U112"/>
  <c r="U114"/>
  <c r="J119"/>
  <c r="K94"/>
  <c r="K95"/>
  <c r="K113"/>
  <c r="K109"/>
  <c r="K118"/>
  <c r="I114"/>
  <c r="I97"/>
  <c r="I109"/>
  <c r="I105"/>
  <c r="I111"/>
  <c r="I100"/>
  <c r="I91"/>
  <c r="R96"/>
  <c r="R108"/>
  <c r="R114"/>
  <c r="R99"/>
  <c r="X119"/>
  <c r="N110"/>
  <c r="N97"/>
  <c r="N99"/>
  <c r="V113"/>
  <c r="V109"/>
  <c r="V93"/>
  <c r="V111"/>
  <c r="V91"/>
  <c r="L119"/>
  <c r="Q94"/>
  <c r="Q113"/>
  <c r="Q91"/>
  <c r="Q92"/>
  <c r="AA135"/>
  <c r="O97"/>
  <c r="O102"/>
  <c r="O92"/>
  <c r="O111"/>
  <c r="O112"/>
  <c r="H118"/>
  <c r="H107"/>
  <c r="M98"/>
  <c r="M107"/>
  <c r="M112"/>
  <c r="M95"/>
  <c r="M114"/>
  <c r="M104"/>
  <c r="S106" i="27"/>
  <c r="S105"/>
  <c r="Y98"/>
  <c r="E46"/>
  <c r="F46" s="1"/>
  <c r="G46" s="1"/>
  <c r="H46" s="1"/>
  <c r="I46" s="1"/>
  <c r="J46" s="1"/>
  <c r="K46" s="1"/>
  <c r="L46" s="1"/>
  <c r="M46" s="1"/>
  <c r="N46" s="1"/>
  <c r="O46" s="1"/>
  <c r="P46" s="1"/>
  <c r="Q46" s="1"/>
  <c r="R46" s="1"/>
  <c r="S46" s="1"/>
  <c r="T46" s="1"/>
  <c r="U46" s="1"/>
  <c r="V46" s="1"/>
  <c r="W46" s="1"/>
  <c r="X46" s="1"/>
  <c r="W24" i="19"/>
  <c r="W42"/>
  <c r="W48" s="1"/>
  <c r="W29"/>
  <c r="W32" s="1"/>
  <c r="S108" i="27"/>
  <c r="S107"/>
  <c r="S119"/>
  <c r="S118"/>
  <c r="V42" i="19"/>
  <c r="V48" s="1"/>
  <c r="V24"/>
  <c r="V29"/>
  <c r="V32" s="1"/>
  <c r="W105" i="27"/>
  <c r="F114"/>
  <c r="V117"/>
  <c r="G107"/>
  <c r="J113"/>
  <c r="L113"/>
  <c r="U101"/>
  <c r="S115"/>
  <c r="N110"/>
  <c r="X110"/>
  <c r="P116"/>
  <c r="Q124" i="20"/>
  <c r="L119" i="17"/>
  <c r="L126"/>
  <c r="K137"/>
  <c r="J123"/>
  <c r="M130"/>
  <c r="M132"/>
  <c r="M120"/>
  <c r="M136"/>
  <c r="S136"/>
  <c r="S124"/>
  <c r="E126"/>
  <c r="E165" s="1"/>
  <c r="F165" s="1"/>
  <c r="E129"/>
  <c r="E168" s="1"/>
  <c r="F168" s="1"/>
  <c r="M103" i="27"/>
  <c r="M106"/>
  <c r="M104"/>
  <c r="M114"/>
  <c r="M116"/>
  <c r="E111"/>
  <c r="E113"/>
  <c r="W115"/>
  <c r="O111"/>
  <c r="O113"/>
  <c r="O114"/>
  <c r="O102"/>
  <c r="F107"/>
  <c r="F109"/>
  <c r="F118"/>
  <c r="V101"/>
  <c r="V119"/>
  <c r="K112"/>
  <c r="K106"/>
  <c r="K102"/>
  <c r="K100"/>
  <c r="T108"/>
  <c r="T105"/>
  <c r="T101"/>
  <c r="T116"/>
  <c r="T114"/>
  <c r="G116"/>
  <c r="G108"/>
  <c r="Q101"/>
  <c r="Q118"/>
  <c r="Q111"/>
  <c r="J111"/>
  <c r="J119"/>
  <c r="J107"/>
  <c r="L105"/>
  <c r="L109"/>
  <c r="L111"/>
  <c r="L117"/>
  <c r="U115"/>
  <c r="U106"/>
  <c r="U107"/>
  <c r="U104"/>
  <c r="S116"/>
  <c r="S109"/>
  <c r="S104"/>
  <c r="S101"/>
  <c r="N114"/>
  <c r="N105"/>
  <c r="N118"/>
  <c r="H110"/>
  <c r="H111"/>
  <c r="H114"/>
  <c r="H118"/>
  <c r="X99"/>
  <c r="X116"/>
  <c r="X106"/>
  <c r="I100"/>
  <c r="I116"/>
  <c r="I101"/>
  <c r="R115"/>
  <c r="R112"/>
  <c r="R103"/>
  <c r="R110"/>
  <c r="P108"/>
  <c r="P99"/>
  <c r="P111"/>
  <c r="P114"/>
  <c r="P100"/>
  <c r="U24" i="19"/>
  <c r="U42"/>
  <c r="U48" s="1"/>
  <c r="U29"/>
  <c r="U32" s="1"/>
  <c r="M136"/>
  <c r="M101" i="27"/>
  <c r="M111"/>
  <c r="E110"/>
  <c r="E118"/>
  <c r="E106"/>
  <c r="E101"/>
  <c r="W101"/>
  <c r="W106"/>
  <c r="O107"/>
  <c r="O99"/>
  <c r="F115"/>
  <c r="V108"/>
  <c r="V113"/>
  <c r="V118"/>
  <c r="K117"/>
  <c r="K105"/>
  <c r="T100"/>
  <c r="G99"/>
  <c r="G115"/>
  <c r="AA135"/>
  <c r="Q107"/>
  <c r="J109"/>
  <c r="L119"/>
  <c r="U113"/>
  <c r="U117"/>
  <c r="N103"/>
  <c r="H100"/>
  <c r="H105"/>
  <c r="H106"/>
  <c r="H101"/>
  <c r="I119"/>
  <c r="R106"/>
  <c r="R101"/>
  <c r="R102"/>
  <c r="P102"/>
  <c r="P117"/>
  <c r="Y45"/>
  <c r="C10" s="1"/>
  <c r="Y80"/>
  <c r="Y65"/>
  <c r="Y74"/>
  <c r="Y62"/>
  <c r="Y73"/>
  <c r="Y69"/>
  <c r="Y72"/>
  <c r="Y68"/>
  <c r="Y70"/>
  <c r="Y61"/>
  <c r="Y77"/>
  <c r="Y63"/>
  <c r="Y76"/>
  <c r="Y66"/>
  <c r="Y75"/>
  <c r="AE5" i="28"/>
  <c r="Y79" i="27"/>
  <c r="Y71"/>
  <c r="Y78"/>
  <c r="Y82"/>
  <c r="Y64"/>
  <c r="Y81"/>
  <c r="Y67"/>
  <c r="V103"/>
  <c r="V102"/>
  <c r="V106"/>
  <c r="V105"/>
  <c r="X24" i="19"/>
  <c r="X42"/>
  <c r="X48" s="1"/>
  <c r="X29"/>
  <c r="T42"/>
  <c r="T24"/>
  <c r="T29"/>
  <c r="T32" s="1"/>
  <c r="G135" i="17"/>
  <c r="M122"/>
  <c r="M124"/>
  <c r="E133"/>
  <c r="E172" s="1"/>
  <c r="M99" i="27"/>
  <c r="M112"/>
  <c r="M118"/>
  <c r="M108"/>
  <c r="M109"/>
  <c r="E104"/>
  <c r="E107"/>
  <c r="E102"/>
  <c r="E114"/>
  <c r="W108"/>
  <c r="W118"/>
  <c r="W103"/>
  <c r="W109"/>
  <c r="W119"/>
  <c r="W113"/>
  <c r="O100"/>
  <c r="O105"/>
  <c r="O108"/>
  <c r="O118"/>
  <c r="O116"/>
  <c r="O103"/>
  <c r="F99"/>
  <c r="F111"/>
  <c r="F116"/>
  <c r="F103"/>
  <c r="V104"/>
  <c r="V110"/>
  <c r="V114"/>
  <c r="K115"/>
  <c r="K108"/>
  <c r="K118"/>
  <c r="K113"/>
  <c r="K119"/>
  <c r="T106"/>
  <c r="T111"/>
  <c r="T119"/>
  <c r="T112"/>
  <c r="T102"/>
  <c r="G101"/>
  <c r="G117"/>
  <c r="G104"/>
  <c r="G110"/>
  <c r="Q109"/>
  <c r="Q99"/>
  <c r="Q113"/>
  <c r="Q104"/>
  <c r="Q102"/>
  <c r="J115"/>
  <c r="J100"/>
  <c r="J102"/>
  <c r="J105"/>
  <c r="L107"/>
  <c r="L100"/>
  <c r="L102"/>
  <c r="L114"/>
  <c r="U103"/>
  <c r="U111"/>
  <c r="U109"/>
  <c r="U118"/>
  <c r="S110"/>
  <c r="S112"/>
  <c r="S99"/>
  <c r="N111"/>
  <c r="N107"/>
  <c r="N115"/>
  <c r="N100"/>
  <c r="H103"/>
  <c r="H115"/>
  <c r="H107"/>
  <c r="X105"/>
  <c r="X102"/>
  <c r="X111"/>
  <c r="X114"/>
  <c r="X100"/>
  <c r="X118"/>
  <c r="I110"/>
  <c r="I112"/>
  <c r="I106"/>
  <c r="I104"/>
  <c r="I114"/>
  <c r="R117"/>
  <c r="R99"/>
  <c r="P105"/>
  <c r="P113"/>
  <c r="P103"/>
  <c r="P118"/>
  <c r="P109"/>
  <c r="Q136" i="19"/>
  <c r="O120"/>
  <c r="S135" i="20"/>
  <c r="G129" i="19"/>
  <c r="H125"/>
  <c r="Q137"/>
  <c r="J121"/>
  <c r="R133"/>
  <c r="I118"/>
  <c r="E133" i="20"/>
  <c r="E172" s="1"/>
  <c r="S124"/>
  <c r="F131" i="17"/>
  <c r="P119"/>
  <c r="N121"/>
  <c r="G124" i="19"/>
  <c r="G133"/>
  <c r="F130"/>
  <c r="F128"/>
  <c r="S130"/>
  <c r="S133"/>
  <c r="E125"/>
  <c r="E164" s="1"/>
  <c r="E129"/>
  <c r="E168" s="1"/>
  <c r="E135"/>
  <c r="E174" s="1"/>
  <c r="P134"/>
  <c r="N118"/>
  <c r="N127"/>
  <c r="H129"/>
  <c r="H131"/>
  <c r="H121"/>
  <c r="M121"/>
  <c r="M127"/>
  <c r="M124"/>
  <c r="L128"/>
  <c r="L133"/>
  <c r="L122"/>
  <c r="L131"/>
  <c r="K135"/>
  <c r="K132"/>
  <c r="Q125"/>
  <c r="Q128"/>
  <c r="Q130"/>
  <c r="J128"/>
  <c r="J133"/>
  <c r="J124"/>
  <c r="O137"/>
  <c r="O122"/>
  <c r="O126"/>
  <c r="R125"/>
  <c r="R120"/>
  <c r="I136"/>
  <c r="I129"/>
  <c r="I134"/>
  <c r="E127" i="20"/>
  <c r="E166" s="1"/>
  <c r="E121"/>
  <c r="E160" s="1"/>
  <c r="F160" s="1"/>
  <c r="E123"/>
  <c r="E162" s="1"/>
  <c r="E116"/>
  <c r="E155" s="1"/>
  <c r="E130"/>
  <c r="E169" s="1"/>
  <c r="F169" s="1"/>
  <c r="J130"/>
  <c r="J115"/>
  <c r="Q137"/>
  <c r="Q129"/>
  <c r="Q135"/>
  <c r="S121"/>
  <c r="S133"/>
  <c r="S136"/>
  <c r="P127"/>
  <c r="P121"/>
  <c r="P117"/>
  <c r="P115"/>
  <c r="L122"/>
  <c r="L138"/>
  <c r="G124"/>
  <c r="G130"/>
  <c r="G127"/>
  <c r="K122"/>
  <c r="K132"/>
  <c r="L132" i="17"/>
  <c r="L136"/>
  <c r="L128"/>
  <c r="K132"/>
  <c r="H135"/>
  <c r="H117"/>
  <c r="H128"/>
  <c r="R122"/>
  <c r="R130"/>
  <c r="R138"/>
  <c r="O136"/>
  <c r="O132"/>
  <c r="O138"/>
  <c r="F121"/>
  <c r="F128"/>
  <c r="P125"/>
  <c r="P137"/>
  <c r="P134"/>
  <c r="I134"/>
  <c r="I137"/>
  <c r="I120"/>
  <c r="N127"/>
  <c r="N118"/>
  <c r="Q133"/>
  <c r="Q118"/>
  <c r="Q120"/>
  <c r="G126"/>
  <c r="G129"/>
  <c r="J117"/>
  <c r="J137"/>
  <c r="J129"/>
  <c r="J126"/>
  <c r="M134"/>
  <c r="S138"/>
  <c r="S127"/>
  <c r="E118"/>
  <c r="E157" s="1"/>
  <c r="F157" s="1"/>
  <c r="E134"/>
  <c r="E173" s="1"/>
  <c r="E136"/>
  <c r="E175" s="1"/>
  <c r="E138"/>
  <c r="E177" s="1"/>
  <c r="P137" i="19"/>
  <c r="N123"/>
  <c r="M131"/>
  <c r="L120"/>
  <c r="K118"/>
  <c r="Q133"/>
  <c r="E119" i="20"/>
  <c r="E158" s="1"/>
  <c r="J126"/>
  <c r="L132"/>
  <c r="R136" i="17"/>
  <c r="O129"/>
  <c r="E126" i="20"/>
  <c r="E165" s="1"/>
  <c r="J124"/>
  <c r="Q118"/>
  <c r="Q139"/>
  <c r="S132"/>
  <c r="P126"/>
  <c r="P114"/>
  <c r="L117"/>
  <c r="G134"/>
  <c r="G129"/>
  <c r="K129"/>
  <c r="K116"/>
  <c r="R118"/>
  <c r="R123"/>
  <c r="R134"/>
  <c r="R127"/>
  <c r="H126"/>
  <c r="H115"/>
  <c r="N118"/>
  <c r="N125"/>
  <c r="I116"/>
  <c r="M139"/>
  <c r="F129"/>
  <c r="O135"/>
  <c r="O117"/>
  <c r="L138" i="17"/>
  <c r="K127"/>
  <c r="H134"/>
  <c r="H122"/>
  <c r="R127"/>
  <c r="R125"/>
  <c r="R118"/>
  <c r="F137"/>
  <c r="F120"/>
  <c r="F159" s="1"/>
  <c r="P122"/>
  <c r="I126"/>
  <c r="N125"/>
  <c r="N117"/>
  <c r="N133"/>
  <c r="Q125"/>
  <c r="Q117"/>
  <c r="Q131"/>
  <c r="Q137"/>
  <c r="G139"/>
  <c r="G133"/>
  <c r="G119"/>
  <c r="J134"/>
  <c r="J122"/>
  <c r="J125"/>
  <c r="J131"/>
  <c r="J119"/>
  <c r="M129"/>
  <c r="M119"/>
  <c r="M117"/>
  <c r="S120"/>
  <c r="S123"/>
  <c r="S117"/>
  <c r="E125"/>
  <c r="E164" s="1"/>
  <c r="Q133" i="20"/>
  <c r="G114"/>
  <c r="Q129" i="17"/>
  <c r="G125"/>
  <c r="M127"/>
  <c r="E131"/>
  <c r="E170" s="1"/>
  <c r="E122"/>
  <c r="E161" s="1"/>
  <c r="G136" i="19"/>
  <c r="G118"/>
  <c r="G121"/>
  <c r="G134"/>
  <c r="F133"/>
  <c r="F131"/>
  <c r="F136"/>
  <c r="F118"/>
  <c r="F123"/>
  <c r="S123"/>
  <c r="S118"/>
  <c r="E130"/>
  <c r="E169" s="1"/>
  <c r="E136"/>
  <c r="E175" s="1"/>
  <c r="E118"/>
  <c r="E157" s="1"/>
  <c r="E133"/>
  <c r="E172" s="1"/>
  <c r="P119"/>
  <c r="P123"/>
  <c r="P130"/>
  <c r="P125"/>
  <c r="N119"/>
  <c r="N131"/>
  <c r="N135"/>
  <c r="N125"/>
  <c r="H122"/>
  <c r="H127"/>
  <c r="M135"/>
  <c r="L125"/>
  <c r="L118"/>
  <c r="L129"/>
  <c r="L136"/>
  <c r="K125"/>
  <c r="K122"/>
  <c r="K129"/>
  <c r="K120"/>
  <c r="Q126"/>
  <c r="Q123"/>
  <c r="J126"/>
  <c r="J135"/>
  <c r="O128"/>
  <c r="O123"/>
  <c r="O135"/>
  <c r="O130"/>
  <c r="R122"/>
  <c r="R118"/>
  <c r="R130"/>
  <c r="I121"/>
  <c r="I123"/>
  <c r="I131"/>
  <c r="I125"/>
  <c r="J118" i="20"/>
  <c r="S126"/>
  <c r="P124"/>
  <c r="P135"/>
  <c r="P131"/>
  <c r="L129"/>
  <c r="L126"/>
  <c r="G121"/>
  <c r="K135"/>
  <c r="K138"/>
  <c r="L124" i="17"/>
  <c r="K128"/>
  <c r="K134"/>
  <c r="K118"/>
  <c r="H132"/>
  <c r="H119"/>
  <c r="H123"/>
  <c r="H130"/>
  <c r="R134"/>
  <c r="R132"/>
  <c r="O120"/>
  <c r="O118"/>
  <c r="O133"/>
  <c r="F139"/>
  <c r="F133"/>
  <c r="F172" s="1"/>
  <c r="F125"/>
  <c r="F117"/>
  <c r="P130"/>
  <c r="P126"/>
  <c r="P132"/>
  <c r="I121"/>
  <c r="I118"/>
  <c r="I129"/>
  <c r="I131"/>
  <c r="I124"/>
  <c r="I127"/>
  <c r="I135"/>
  <c r="N139"/>
  <c r="N135"/>
  <c r="N129"/>
  <c r="R120"/>
  <c r="R119"/>
  <c r="E66"/>
  <c r="F66" s="1"/>
  <c r="G66" s="1"/>
  <c r="H66" s="1"/>
  <c r="I66" s="1"/>
  <c r="J66" s="1"/>
  <c r="K66" s="1"/>
  <c r="L66" s="1"/>
  <c r="M66" s="1"/>
  <c r="N66" s="1"/>
  <c r="O66" s="1"/>
  <c r="P66" s="1"/>
  <c r="Q66" s="1"/>
  <c r="R66" s="1"/>
  <c r="S66" s="1"/>
  <c r="L133" i="20"/>
  <c r="K129" i="17"/>
  <c r="Q134"/>
  <c r="O124"/>
  <c r="O123"/>
  <c r="L130"/>
  <c r="L129"/>
  <c r="K126"/>
  <c r="K125"/>
  <c r="O127"/>
  <c r="O126"/>
  <c r="G122"/>
  <c r="G121"/>
  <c r="G137"/>
  <c r="G136"/>
  <c r="S131"/>
  <c r="S130"/>
  <c r="J119" i="20"/>
  <c r="J139"/>
  <c r="S115"/>
  <c r="G132"/>
  <c r="K136"/>
  <c r="N131"/>
  <c r="F123"/>
  <c r="K124" i="17"/>
  <c r="H125"/>
  <c r="O125"/>
  <c r="F134"/>
  <c r="P128"/>
  <c r="I139"/>
  <c r="I132"/>
  <c r="N137"/>
  <c r="Q119"/>
  <c r="G130"/>
  <c r="M131"/>
  <c r="M138"/>
  <c r="S125"/>
  <c r="E139"/>
  <c r="E178" s="1"/>
  <c r="E128"/>
  <c r="E167" s="1"/>
  <c r="J128" i="20"/>
  <c r="Q121"/>
  <c r="Q123"/>
  <c r="P136"/>
  <c r="P139"/>
  <c r="P132"/>
  <c r="P129"/>
  <c r="L121"/>
  <c r="L127"/>
  <c r="L114"/>
  <c r="G122"/>
  <c r="G119"/>
  <c r="G138"/>
  <c r="K139"/>
  <c r="K121"/>
  <c r="R129"/>
  <c r="H124"/>
  <c r="H136"/>
  <c r="H133"/>
  <c r="H118"/>
  <c r="H129"/>
  <c r="N136"/>
  <c r="N116"/>
  <c r="I139"/>
  <c r="I121"/>
  <c r="I118"/>
  <c r="I131"/>
  <c r="I137"/>
  <c r="M128"/>
  <c r="M118"/>
  <c r="M133"/>
  <c r="F115"/>
  <c r="F124"/>
  <c r="F119"/>
  <c r="F127"/>
  <c r="O127"/>
  <c r="O115"/>
  <c r="O138"/>
  <c r="L118" i="17"/>
  <c r="L135"/>
  <c r="L125"/>
  <c r="L123"/>
  <c r="K119"/>
  <c r="K138"/>
  <c r="K136"/>
  <c r="H120"/>
  <c r="H136"/>
  <c r="H137"/>
  <c r="H131"/>
  <c r="H126"/>
  <c r="R128"/>
  <c r="R131"/>
  <c r="O131"/>
  <c r="O119"/>
  <c r="F127"/>
  <c r="F135"/>
  <c r="F138"/>
  <c r="F177" s="1"/>
  <c r="F122"/>
  <c r="P129"/>
  <c r="P133"/>
  <c r="P138"/>
  <c r="P117"/>
  <c r="P135"/>
  <c r="I136"/>
  <c r="I117"/>
  <c r="I128"/>
  <c r="N131"/>
  <c r="N138"/>
  <c r="Q126"/>
  <c r="Q136"/>
  <c r="Q122"/>
  <c r="G138"/>
  <c r="G120"/>
  <c r="G132"/>
  <c r="J130"/>
  <c r="J118"/>
  <c r="J138"/>
  <c r="J124"/>
  <c r="J135"/>
  <c r="J139"/>
  <c r="M118"/>
  <c r="M133"/>
  <c r="S121"/>
  <c r="S119"/>
  <c r="S139"/>
  <c r="E137"/>
  <c r="E176" s="1"/>
  <c r="E124"/>
  <c r="E163" s="1"/>
  <c r="L134"/>
  <c r="L133"/>
  <c r="K121"/>
  <c r="K120"/>
  <c r="E155"/>
  <c r="L121"/>
  <c r="L120"/>
  <c r="S133"/>
  <c r="S132"/>
  <c r="S129"/>
  <c r="S128"/>
  <c r="L122"/>
  <c r="O121"/>
  <c r="P127"/>
  <c r="E138" i="20"/>
  <c r="E177" s="1"/>
  <c r="J133"/>
  <c r="Q132"/>
  <c r="Q127"/>
  <c r="S127"/>
  <c r="L134"/>
  <c r="K118"/>
  <c r="N129"/>
  <c r="I128"/>
  <c r="M125"/>
  <c r="L117" i="17"/>
  <c r="K122"/>
  <c r="R133"/>
  <c r="O122"/>
  <c r="O134"/>
  <c r="F132"/>
  <c r="I138"/>
  <c r="N136"/>
  <c r="Q135"/>
  <c r="G128"/>
  <c r="J127"/>
  <c r="M137"/>
  <c r="M135"/>
  <c r="S135"/>
  <c r="E127"/>
  <c r="E166" s="1"/>
  <c r="E135"/>
  <c r="E174" s="1"/>
  <c r="H135" i="19"/>
  <c r="H119"/>
  <c r="R139" i="20"/>
  <c r="R126"/>
  <c r="R117"/>
  <c r="R120"/>
  <c r="R133"/>
  <c r="R122"/>
  <c r="R137"/>
  <c r="H139"/>
  <c r="N124"/>
  <c r="N121"/>
  <c r="I135"/>
  <c r="I123"/>
  <c r="I129"/>
  <c r="I133"/>
  <c r="M115"/>
  <c r="M130"/>
  <c r="M137"/>
  <c r="M123"/>
  <c r="F137"/>
  <c r="F133"/>
  <c r="O134"/>
  <c r="O130"/>
  <c r="O120"/>
  <c r="O124"/>
  <c r="L127" i="17"/>
  <c r="L139"/>
  <c r="L137"/>
  <c r="L131"/>
  <c r="K139"/>
  <c r="K130"/>
  <c r="H138"/>
  <c r="H127"/>
  <c r="H133"/>
  <c r="H121"/>
  <c r="R126"/>
  <c r="R137"/>
  <c r="R117"/>
  <c r="R123"/>
  <c r="R124"/>
  <c r="R121"/>
  <c r="R135"/>
  <c r="O135"/>
  <c r="O137"/>
  <c r="O128"/>
  <c r="O139"/>
  <c r="F136"/>
  <c r="F123"/>
  <c r="F162" s="1"/>
  <c r="F119"/>
  <c r="F124"/>
  <c r="F130"/>
  <c r="P131"/>
  <c r="P121"/>
  <c r="P123"/>
  <c r="P139"/>
  <c r="P118"/>
  <c r="I130"/>
  <c r="I125"/>
  <c r="I133"/>
  <c r="I119"/>
  <c r="I122"/>
  <c r="N122"/>
  <c r="N123"/>
  <c r="N124"/>
  <c r="N134"/>
  <c r="N132"/>
  <c r="N120"/>
  <c r="Q132"/>
  <c r="Q127"/>
  <c r="Q138"/>
  <c r="Q139"/>
  <c r="Q124"/>
  <c r="G134"/>
  <c r="G118"/>
  <c r="G123"/>
  <c r="J128"/>
  <c r="J120"/>
  <c r="J121"/>
  <c r="J136"/>
  <c r="J132"/>
  <c r="J133"/>
  <c r="M139"/>
  <c r="M121"/>
  <c r="M125"/>
  <c r="M123"/>
  <c r="S137"/>
  <c r="S122"/>
  <c r="S126"/>
  <c r="E121"/>
  <c r="E160" s="1"/>
  <c r="E130"/>
  <c r="E169" s="1"/>
  <c r="E119"/>
  <c r="E158" s="1"/>
  <c r="E132"/>
  <c r="E171" s="1"/>
  <c r="E117"/>
  <c r="E156" s="1"/>
  <c r="F156" s="1"/>
  <c r="G156" s="1"/>
  <c r="K123" i="20"/>
  <c r="I119"/>
  <c r="M135"/>
  <c r="F125"/>
  <c r="E66"/>
  <c r="F66" s="1"/>
  <c r="G66" s="1"/>
  <c r="H66" s="1"/>
  <c r="I66" s="1"/>
  <c r="J66" s="1"/>
  <c r="K66" s="1"/>
  <c r="L66" s="1"/>
  <c r="M66" s="1"/>
  <c r="N66" s="1"/>
  <c r="O66" s="1"/>
  <c r="P66" s="1"/>
  <c r="Q66" s="1"/>
  <c r="R66" s="1"/>
  <c r="S66" s="1"/>
  <c r="E128"/>
  <c r="E167" s="1"/>
  <c r="J134"/>
  <c r="P122"/>
  <c r="N134" i="19"/>
  <c r="J134"/>
  <c r="E122" i="20"/>
  <c r="E161" s="1"/>
  <c r="E129"/>
  <c r="E168" s="1"/>
  <c r="J137"/>
  <c r="Q136"/>
  <c r="Q125"/>
  <c r="S117"/>
  <c r="G125"/>
  <c r="K125"/>
  <c r="H130"/>
  <c r="H125"/>
  <c r="N127"/>
  <c r="F116"/>
  <c r="G132" i="19"/>
  <c r="S136"/>
  <c r="E132"/>
  <c r="E171" s="1"/>
  <c r="E124"/>
  <c r="E163" s="1"/>
  <c r="P128"/>
  <c r="N130"/>
  <c r="N121"/>
  <c r="H136"/>
  <c r="M120"/>
  <c r="K131"/>
  <c r="Q121"/>
  <c r="J130"/>
  <c r="J132"/>
  <c r="O121"/>
  <c r="R137"/>
  <c r="E131" i="20"/>
  <c r="E170" s="1"/>
  <c r="E125"/>
  <c r="E164" s="1"/>
  <c r="E120"/>
  <c r="E159" s="1"/>
  <c r="E115"/>
  <c r="E154" s="1"/>
  <c r="E132"/>
  <c r="E171" s="1"/>
  <c r="F171" s="1"/>
  <c r="E118"/>
  <c r="E157" s="1"/>
  <c r="J129"/>
  <c r="J116"/>
  <c r="J117"/>
  <c r="J125"/>
  <c r="J122"/>
  <c r="Q134"/>
  <c r="Q138"/>
  <c r="Q117"/>
  <c r="Q115"/>
  <c r="Q128"/>
  <c r="S139"/>
  <c r="S131"/>
  <c r="S123"/>
  <c r="S125"/>
  <c r="S134"/>
  <c r="P123"/>
  <c r="P125"/>
  <c r="P120"/>
  <c r="P116"/>
  <c r="P134"/>
  <c r="P130"/>
  <c r="L125"/>
  <c r="L115"/>
  <c r="L128"/>
  <c r="L130"/>
  <c r="L137"/>
  <c r="L131"/>
  <c r="G123"/>
  <c r="G133"/>
  <c r="G120"/>
  <c r="G128"/>
  <c r="G126"/>
  <c r="K137"/>
  <c r="K134"/>
  <c r="K127"/>
  <c r="K130"/>
  <c r="K115"/>
  <c r="R125"/>
  <c r="R119"/>
  <c r="R135"/>
  <c r="R128"/>
  <c r="R136"/>
  <c r="H135"/>
  <c r="H123"/>
  <c r="H119"/>
  <c r="H121"/>
  <c r="N114"/>
  <c r="N120"/>
  <c r="N128"/>
  <c r="N123"/>
  <c r="N132"/>
  <c r="N133"/>
  <c r="N130"/>
  <c r="I125"/>
  <c r="I130"/>
  <c r="I120"/>
  <c r="I138"/>
  <c r="I136"/>
  <c r="I126"/>
  <c r="I127"/>
  <c r="M124"/>
  <c r="M129"/>
  <c r="M127"/>
  <c r="M120"/>
  <c r="M122"/>
  <c r="F134"/>
  <c r="F120"/>
  <c r="F122"/>
  <c r="F135"/>
  <c r="F136"/>
  <c r="F175" s="1"/>
  <c r="G175" s="1"/>
  <c r="F131"/>
  <c r="O129"/>
  <c r="O137"/>
  <c r="O118"/>
  <c r="O123"/>
  <c r="O132"/>
  <c r="E152"/>
  <c r="L135"/>
  <c r="G115"/>
  <c r="K124"/>
  <c r="M119"/>
  <c r="E139"/>
  <c r="E178" s="1"/>
  <c r="F178" s="1"/>
  <c r="E124"/>
  <c r="E163" s="1"/>
  <c r="J114"/>
  <c r="J135"/>
  <c r="J120"/>
  <c r="S137"/>
  <c r="L124"/>
  <c r="G116"/>
  <c r="G117"/>
  <c r="K133"/>
  <c r="H127"/>
  <c r="H116"/>
  <c r="N117"/>
  <c r="N119"/>
  <c r="I115"/>
  <c r="M116"/>
  <c r="M131"/>
  <c r="F128"/>
  <c r="F138"/>
  <c r="O131"/>
  <c r="O116"/>
  <c r="E117"/>
  <c r="E156" s="1"/>
  <c r="E134"/>
  <c r="E173" s="1"/>
  <c r="E137"/>
  <c r="E176" s="1"/>
  <c r="E135"/>
  <c r="E174" s="1"/>
  <c r="E114"/>
  <c r="E153" s="1"/>
  <c r="J138"/>
  <c r="J131"/>
  <c r="J121"/>
  <c r="J127"/>
  <c r="Q131"/>
  <c r="Q120"/>
  <c r="Q126"/>
  <c r="Q122"/>
  <c r="S130"/>
  <c r="S122"/>
  <c r="S114"/>
  <c r="S128"/>
  <c r="P133"/>
  <c r="P137"/>
  <c r="P128"/>
  <c r="P138"/>
  <c r="P119"/>
  <c r="L119"/>
  <c r="G131"/>
  <c r="G118"/>
  <c r="G137"/>
  <c r="G139"/>
  <c r="G135"/>
  <c r="K120"/>
  <c r="K126"/>
  <c r="K114"/>
  <c r="K117"/>
  <c r="R114"/>
  <c r="R121"/>
  <c r="R138"/>
  <c r="R115"/>
  <c r="R131"/>
  <c r="H137"/>
  <c r="H138"/>
  <c r="H134"/>
  <c r="H128"/>
  <c r="H131"/>
  <c r="H117"/>
  <c r="N138"/>
  <c r="N115"/>
  <c r="N135"/>
  <c r="I117"/>
  <c r="I132"/>
  <c r="I122"/>
  <c r="I134"/>
  <c r="M117"/>
  <c r="M136"/>
  <c r="M132"/>
  <c r="F126"/>
  <c r="F117"/>
  <c r="F114"/>
  <c r="F118"/>
  <c r="O126"/>
  <c r="O139"/>
  <c r="O128"/>
  <c r="O121"/>
  <c r="O122"/>
  <c r="I128" i="19"/>
  <c r="I127"/>
  <c r="S122"/>
  <c r="S121"/>
  <c r="F121"/>
  <c r="F120"/>
  <c r="S135"/>
  <c r="S134"/>
  <c r="S127"/>
  <c r="S126"/>
  <c r="H133"/>
  <c r="H132"/>
  <c r="N132"/>
  <c r="M132"/>
  <c r="K126"/>
  <c r="G135"/>
  <c r="F137"/>
  <c r="E119"/>
  <c r="E158" s="1"/>
  <c r="N133"/>
  <c r="M128"/>
  <c r="K119"/>
  <c r="R126"/>
  <c r="I124"/>
  <c r="I122"/>
  <c r="G122"/>
  <c r="G126"/>
  <c r="F122"/>
  <c r="F161" s="1"/>
  <c r="F124"/>
  <c r="F119"/>
  <c r="F129"/>
  <c r="F132"/>
  <c r="S120"/>
  <c r="E126"/>
  <c r="E165" s="1"/>
  <c r="E134"/>
  <c r="E173" s="1"/>
  <c r="E137"/>
  <c r="E176" s="1"/>
  <c r="E127"/>
  <c r="E166" s="1"/>
  <c r="P135"/>
  <c r="P122"/>
  <c r="P118"/>
  <c r="N128"/>
  <c r="N126"/>
  <c r="N136"/>
  <c r="H134"/>
  <c r="H118"/>
  <c r="M118"/>
  <c r="M125"/>
  <c r="M134"/>
  <c r="L137"/>
  <c r="L126"/>
  <c r="L121"/>
  <c r="L130"/>
  <c r="L127"/>
  <c r="K136"/>
  <c r="K124"/>
  <c r="K127"/>
  <c r="K128"/>
  <c r="Q129"/>
  <c r="Q127"/>
  <c r="J122"/>
  <c r="J127"/>
  <c r="J136"/>
  <c r="J125"/>
  <c r="O134"/>
  <c r="O124"/>
  <c r="O129"/>
  <c r="O131"/>
  <c r="R131"/>
  <c r="R123"/>
  <c r="R135"/>
  <c r="R128"/>
  <c r="I132"/>
  <c r="I133"/>
  <c r="I130"/>
  <c r="I135"/>
  <c r="E64"/>
  <c r="F64" s="1"/>
  <c r="G64" s="1"/>
  <c r="H64" s="1"/>
  <c r="I64" s="1"/>
  <c r="J64" s="1"/>
  <c r="K64" s="1"/>
  <c r="L64" s="1"/>
  <c r="M64" s="1"/>
  <c r="N64" s="1"/>
  <c r="O64" s="1"/>
  <c r="P64" s="1"/>
  <c r="Q64" s="1"/>
  <c r="R64" s="1"/>
  <c r="S64" s="1"/>
  <c r="E156"/>
  <c r="F135"/>
  <c r="F134"/>
  <c r="O133"/>
  <c r="O132"/>
  <c r="I120"/>
  <c r="I119"/>
  <c r="S124"/>
  <c r="Q118"/>
  <c r="R134"/>
  <c r="G137"/>
  <c r="G119"/>
  <c r="S128"/>
  <c r="S125"/>
  <c r="P131"/>
  <c r="P120"/>
  <c r="P124"/>
  <c r="N124"/>
  <c r="H126"/>
  <c r="M137"/>
  <c r="K121"/>
  <c r="Q119"/>
  <c r="J118"/>
  <c r="O118"/>
  <c r="R127"/>
  <c r="G120"/>
  <c r="G130"/>
  <c r="G128"/>
  <c r="F125"/>
  <c r="F126"/>
  <c r="F127"/>
  <c r="S137"/>
  <c r="S129"/>
  <c r="S131"/>
  <c r="E131"/>
  <c r="E170" s="1"/>
  <c r="E120"/>
  <c r="E159" s="1"/>
  <c r="E128"/>
  <c r="E167" s="1"/>
  <c r="E121"/>
  <c r="E160" s="1"/>
  <c r="F160" s="1"/>
  <c r="E123"/>
  <c r="E162" s="1"/>
  <c r="P126"/>
  <c r="P136"/>
  <c r="P127"/>
  <c r="P132"/>
  <c r="N120"/>
  <c r="N129"/>
  <c r="N137"/>
  <c r="N122"/>
  <c r="H120"/>
  <c r="H130"/>
  <c r="H124"/>
  <c r="H128"/>
  <c r="M122"/>
  <c r="M123"/>
  <c r="M130"/>
  <c r="M126"/>
  <c r="M119"/>
  <c r="L124"/>
  <c r="L132"/>
  <c r="L119"/>
  <c r="L134"/>
  <c r="K123"/>
  <c r="K130"/>
  <c r="K133"/>
  <c r="K137"/>
  <c r="Q134"/>
  <c r="Q132"/>
  <c r="Q124"/>
  <c r="Q135"/>
  <c r="Q120"/>
  <c r="J129"/>
  <c r="J137"/>
  <c r="J123"/>
  <c r="J131"/>
  <c r="J119"/>
  <c r="O136"/>
  <c r="O119"/>
  <c r="O125"/>
  <c r="R129"/>
  <c r="R119"/>
  <c r="R124"/>
  <c r="R136"/>
  <c r="R132"/>
  <c r="I126"/>
  <c r="I137"/>
  <c r="F155" i="20" l="1"/>
  <c r="G155" s="1"/>
  <c r="H155" s="1"/>
  <c r="I155" s="1"/>
  <c r="J155" s="1"/>
  <c r="K155" s="1"/>
  <c r="L155" s="1"/>
  <c r="M155" s="1"/>
  <c r="N155" s="1"/>
  <c r="O155" s="1"/>
  <c r="P155" s="1"/>
  <c r="Q155" s="1"/>
  <c r="R155" s="1"/>
  <c r="S155" s="1"/>
  <c r="G172" i="17"/>
  <c r="H172" s="1"/>
  <c r="I172" s="1"/>
  <c r="J172" s="1"/>
  <c r="K172" s="1"/>
  <c r="L172" s="1"/>
  <c r="M172" s="1"/>
  <c r="N172" s="1"/>
  <c r="O172" s="1"/>
  <c r="P172" s="1"/>
  <c r="Q172" s="1"/>
  <c r="R172" s="1"/>
  <c r="S172" s="1"/>
  <c r="G160" i="19"/>
  <c r="F175"/>
  <c r="G175" s="1"/>
  <c r="H175" s="1"/>
  <c r="I175" s="1"/>
  <c r="J175" s="1"/>
  <c r="K175" s="1"/>
  <c r="L175" s="1"/>
  <c r="M175" s="1"/>
  <c r="N175" s="1"/>
  <c r="O175" s="1"/>
  <c r="P175" s="1"/>
  <c r="Q175" s="1"/>
  <c r="R175" s="1"/>
  <c r="S175" s="1"/>
  <c r="F164" i="17"/>
  <c r="G164" s="1"/>
  <c r="H164" s="1"/>
  <c r="I164" s="1"/>
  <c r="J164" s="1"/>
  <c r="K164" s="1"/>
  <c r="L164" s="1"/>
  <c r="M164" s="1"/>
  <c r="N164" s="1"/>
  <c r="O164" s="1"/>
  <c r="P164" s="1"/>
  <c r="Q164" s="1"/>
  <c r="R164" s="1"/>
  <c r="S164" s="1"/>
  <c r="Y111" i="26"/>
  <c r="K121"/>
  <c r="W121"/>
  <c r="F176" i="17"/>
  <c r="G176" s="1"/>
  <c r="H176" s="1"/>
  <c r="I176" s="1"/>
  <c r="J176" s="1"/>
  <c r="K176" s="1"/>
  <c r="L176" s="1"/>
  <c r="M176" s="1"/>
  <c r="N176" s="1"/>
  <c r="O176" s="1"/>
  <c r="P176" s="1"/>
  <c r="Q176" s="1"/>
  <c r="R176" s="1"/>
  <c r="S176" s="1"/>
  <c r="V50"/>
  <c r="V60"/>
  <c r="AB8" i="28" s="1"/>
  <c r="V63" i="17"/>
  <c r="AB11" i="28" s="1"/>
  <c r="V58" i="17"/>
  <c r="V61"/>
  <c r="AB9" i="28" s="1"/>
  <c r="V62" i="17"/>
  <c r="AB10" i="28" s="1"/>
  <c r="V59" i="17"/>
  <c r="AB7" i="28" s="1"/>
  <c r="H156" i="17"/>
  <c r="I156" s="1"/>
  <c r="J156" s="1"/>
  <c r="K156" s="1"/>
  <c r="L156" s="1"/>
  <c r="M156" s="1"/>
  <c r="N156" s="1"/>
  <c r="O156" s="1"/>
  <c r="P156" s="1"/>
  <c r="Q156" s="1"/>
  <c r="R156" s="1"/>
  <c r="S156" s="1"/>
  <c r="J121" i="26"/>
  <c r="Y109"/>
  <c r="O121"/>
  <c r="Y116"/>
  <c r="Z42" i="17"/>
  <c r="T48"/>
  <c r="X63"/>
  <c r="AD11" i="28" s="1"/>
  <c r="X59" i="17"/>
  <c r="AD7" i="28" s="1"/>
  <c r="X62" i="17"/>
  <c r="AD10" i="28" s="1"/>
  <c r="X50" i="17"/>
  <c r="X60"/>
  <c r="AD8" i="28" s="1"/>
  <c r="X58" i="17"/>
  <c r="X61"/>
  <c r="AD9" i="28" s="1"/>
  <c r="W50" i="17"/>
  <c r="W59"/>
  <c r="AC7" i="28" s="1"/>
  <c r="W60" i="17"/>
  <c r="AC8" i="28" s="1"/>
  <c r="W61" i="17"/>
  <c r="AC9" i="28" s="1"/>
  <c r="W63" i="17"/>
  <c r="AC11" i="28" s="1"/>
  <c r="W58" i="17"/>
  <c r="W62"/>
  <c r="AC10" i="28" s="1"/>
  <c r="F121" i="26"/>
  <c r="R121"/>
  <c r="F160" i="17"/>
  <c r="Y115" i="27"/>
  <c r="V121" i="26"/>
  <c r="I121"/>
  <c r="N121"/>
  <c r="T121"/>
  <c r="M121"/>
  <c r="X121"/>
  <c r="Y95"/>
  <c r="L121"/>
  <c r="Y102"/>
  <c r="Y101"/>
  <c r="U60" i="17"/>
  <c r="AA8" i="28" s="1"/>
  <c r="U62" i="17"/>
  <c r="AA10" i="28" s="1"/>
  <c r="U59" i="17"/>
  <c r="AA7" i="28" s="1"/>
  <c r="U50" i="17"/>
  <c r="U61"/>
  <c r="AA9" i="28" s="1"/>
  <c r="U58" i="17"/>
  <c r="U63"/>
  <c r="AA11" i="28" s="1"/>
  <c r="X32" i="17"/>
  <c r="Z29"/>
  <c r="Z32" s="1"/>
  <c r="Y112" i="26"/>
  <c r="S121"/>
  <c r="F167" i="19"/>
  <c r="G167" s="1"/>
  <c r="H167" s="1"/>
  <c r="I167" s="1"/>
  <c r="J167" s="1"/>
  <c r="K167" s="1"/>
  <c r="L167" s="1"/>
  <c r="M167" s="1"/>
  <c r="N167" s="1"/>
  <c r="O167" s="1"/>
  <c r="P167" s="1"/>
  <c r="Q167" s="1"/>
  <c r="R167" s="1"/>
  <c r="S167" s="1"/>
  <c r="F174"/>
  <c r="H121" i="27"/>
  <c r="H175" i="20"/>
  <c r="I175" s="1"/>
  <c r="J175" s="1"/>
  <c r="K175" s="1"/>
  <c r="L175" s="1"/>
  <c r="M175" s="1"/>
  <c r="N175" s="1"/>
  <c r="O175" s="1"/>
  <c r="P175" s="1"/>
  <c r="Q175" s="1"/>
  <c r="R175" s="1"/>
  <c r="S175" s="1"/>
  <c r="F166" i="17"/>
  <c r="G166" s="1"/>
  <c r="F178"/>
  <c r="G178" s="1"/>
  <c r="H178" s="1"/>
  <c r="I178" s="1"/>
  <c r="J178" s="1"/>
  <c r="K178" s="1"/>
  <c r="L178" s="1"/>
  <c r="M178" s="1"/>
  <c r="N178" s="1"/>
  <c r="O178" s="1"/>
  <c r="P178" s="1"/>
  <c r="Q178" s="1"/>
  <c r="R178" s="1"/>
  <c r="S178" s="1"/>
  <c r="Q121" i="26"/>
  <c r="Y115"/>
  <c r="P121"/>
  <c r="G121"/>
  <c r="Y91"/>
  <c r="U121"/>
  <c r="Z42" i="20"/>
  <c r="T48"/>
  <c r="W63"/>
  <c r="AC17" i="28" s="1"/>
  <c r="W50" i="20"/>
  <c r="W59"/>
  <c r="AC13" i="28" s="1"/>
  <c r="W60" i="20"/>
  <c r="AC14" i="28" s="1"/>
  <c r="W61" i="20"/>
  <c r="AC15" i="28" s="1"/>
  <c r="W62" i="20"/>
  <c r="AC16" i="28" s="1"/>
  <c r="W58" i="20"/>
  <c r="Y117" i="27"/>
  <c r="Y116"/>
  <c r="Y105"/>
  <c r="P121"/>
  <c r="Y108"/>
  <c r="G168" i="17"/>
  <c r="H168" s="1"/>
  <c r="I168" s="1"/>
  <c r="J168" s="1"/>
  <c r="K168" s="1"/>
  <c r="L168" s="1"/>
  <c r="M168" s="1"/>
  <c r="N168" s="1"/>
  <c r="O168" s="1"/>
  <c r="P168" s="1"/>
  <c r="Q168" s="1"/>
  <c r="R168" s="1"/>
  <c r="S168" s="1"/>
  <c r="U121" i="27"/>
  <c r="Y100" i="26"/>
  <c r="E121"/>
  <c r="E122" s="1"/>
  <c r="Y108"/>
  <c r="Y113"/>
  <c r="Y103"/>
  <c r="U63" i="20"/>
  <c r="AA17" i="28" s="1"/>
  <c r="U58" i="20"/>
  <c r="U60"/>
  <c r="AA14" i="28" s="1"/>
  <c r="U59" i="20"/>
  <c r="AA13" i="28" s="1"/>
  <c r="U50" i="20"/>
  <c r="U61"/>
  <c r="AA15" i="28" s="1"/>
  <c r="U62" i="20"/>
  <c r="AA16" i="28" s="1"/>
  <c r="Z29" i="20"/>
  <c r="Z32" s="1"/>
  <c r="X32"/>
  <c r="X59"/>
  <c r="AD13" i="28" s="1"/>
  <c r="X62" i="20"/>
  <c r="AD16" i="28" s="1"/>
  <c r="X50" i="20"/>
  <c r="X60"/>
  <c r="AD14" i="28" s="1"/>
  <c r="X58" i="20"/>
  <c r="X63"/>
  <c r="AD17" i="28" s="1"/>
  <c r="X61" i="20"/>
  <c r="AD15" i="28" s="1"/>
  <c r="Y114" i="26"/>
  <c r="Y117"/>
  <c r="Y104"/>
  <c r="F170" i="17"/>
  <c r="G170" s="1"/>
  <c r="H170" s="1"/>
  <c r="I170" s="1"/>
  <c r="J170" s="1"/>
  <c r="K170" s="1"/>
  <c r="L170" s="1"/>
  <c r="M170" s="1"/>
  <c r="N170" s="1"/>
  <c r="O170" s="1"/>
  <c r="P170" s="1"/>
  <c r="Q170" s="1"/>
  <c r="R170" s="1"/>
  <c r="S170" s="1"/>
  <c r="G169" i="20"/>
  <c r="H169" s="1"/>
  <c r="I169" s="1"/>
  <c r="J169" s="1"/>
  <c r="K169" s="1"/>
  <c r="L169" s="1"/>
  <c r="M169" s="1"/>
  <c r="N169" s="1"/>
  <c r="O169" s="1"/>
  <c r="P169" s="1"/>
  <c r="Q169" s="1"/>
  <c r="R169" s="1"/>
  <c r="S169" s="1"/>
  <c r="Y112" i="27"/>
  <c r="L121"/>
  <c r="J121"/>
  <c r="M121"/>
  <c r="T121"/>
  <c r="Y100"/>
  <c r="Q121"/>
  <c r="K121"/>
  <c r="Y107" i="26"/>
  <c r="H121"/>
  <c r="Y97"/>
  <c r="Y99"/>
  <c r="Y106"/>
  <c r="Y94"/>
  <c r="V59" i="20"/>
  <c r="AB13" i="28" s="1"/>
  <c r="V58" i="20"/>
  <c r="V60"/>
  <c r="AB14" i="28" s="1"/>
  <c r="V62" i="20"/>
  <c r="AB16" i="28" s="1"/>
  <c r="V50" i="20"/>
  <c r="V61"/>
  <c r="AB15" i="28" s="1"/>
  <c r="V63" i="20"/>
  <c r="AB17" i="28" s="1"/>
  <c r="W121" i="27"/>
  <c r="H160" i="19"/>
  <c r="I160" s="1"/>
  <c r="J160" s="1"/>
  <c r="K160" s="1"/>
  <c r="L160" s="1"/>
  <c r="M160" s="1"/>
  <c r="N160" s="1"/>
  <c r="O160" s="1"/>
  <c r="P160" s="1"/>
  <c r="Q160" s="1"/>
  <c r="R160" s="1"/>
  <c r="S160" s="1"/>
  <c r="G160" i="17"/>
  <c r="H160" s="1"/>
  <c r="I160" s="1"/>
  <c r="J160" s="1"/>
  <c r="K160" s="1"/>
  <c r="L160" s="1"/>
  <c r="M160" s="1"/>
  <c r="N160" s="1"/>
  <c r="O160" s="1"/>
  <c r="P160" s="1"/>
  <c r="Q160" s="1"/>
  <c r="R160" s="1"/>
  <c r="S160" s="1"/>
  <c r="F162" i="20"/>
  <c r="G162" s="1"/>
  <c r="H162" s="1"/>
  <c r="I162" s="1"/>
  <c r="J162" s="1"/>
  <c r="K162" s="1"/>
  <c r="L162" s="1"/>
  <c r="M162" s="1"/>
  <c r="N162" s="1"/>
  <c r="O162" s="1"/>
  <c r="P162" s="1"/>
  <c r="Q162" s="1"/>
  <c r="R162" s="1"/>
  <c r="S162" s="1"/>
  <c r="F169" i="19"/>
  <c r="F161" i="17"/>
  <c r="G161" s="1"/>
  <c r="H161" s="1"/>
  <c r="I161" s="1"/>
  <c r="J161" s="1"/>
  <c r="K161" s="1"/>
  <c r="L161" s="1"/>
  <c r="M161" s="1"/>
  <c r="N161" s="1"/>
  <c r="O161" s="1"/>
  <c r="P161" s="1"/>
  <c r="Q161" s="1"/>
  <c r="R161" s="1"/>
  <c r="S161" s="1"/>
  <c r="R121" i="27"/>
  <c r="N121"/>
  <c r="S121"/>
  <c r="V121"/>
  <c r="F121"/>
  <c r="Y104"/>
  <c r="G121"/>
  <c r="O121"/>
  <c r="X121"/>
  <c r="Y109"/>
  <c r="Y96" i="26"/>
  <c r="Y118"/>
  <c r="Y110"/>
  <c r="Y119"/>
  <c r="Y92"/>
  <c r="Y98"/>
  <c r="Y105"/>
  <c r="C10"/>
  <c r="Y93"/>
  <c r="Z29" i="19"/>
  <c r="Z32" s="1"/>
  <c r="X32"/>
  <c r="Z42"/>
  <c r="T48"/>
  <c r="G157" i="17"/>
  <c r="H157" s="1"/>
  <c r="I157" s="1"/>
  <c r="J157" s="1"/>
  <c r="K157" s="1"/>
  <c r="L157" s="1"/>
  <c r="M157" s="1"/>
  <c r="N157" s="1"/>
  <c r="O157" s="1"/>
  <c r="P157" s="1"/>
  <c r="Q157" s="1"/>
  <c r="R157" s="1"/>
  <c r="S157" s="1"/>
  <c r="Y107" i="27"/>
  <c r="Y103"/>
  <c r="Y102"/>
  <c r="Y101"/>
  <c r="Y110"/>
  <c r="I121"/>
  <c r="AA45"/>
  <c r="W50" i="19"/>
  <c r="W60"/>
  <c r="AC20" i="28" s="1"/>
  <c r="W58" i="19"/>
  <c r="W61"/>
  <c r="AC21" i="28" s="1"/>
  <c r="W59" i="19"/>
  <c r="AC19" i="28" s="1"/>
  <c r="V60" i="19"/>
  <c r="AB20" i="28" s="1"/>
  <c r="V50" i="19"/>
  <c r="V61"/>
  <c r="AB21" i="28" s="1"/>
  <c r="V58" i="19"/>
  <c r="V59"/>
  <c r="AB19" i="28" s="1"/>
  <c r="Y99" i="27"/>
  <c r="F164" i="19"/>
  <c r="G164" s="1"/>
  <c r="H164" s="1"/>
  <c r="I164" s="1"/>
  <c r="J164" s="1"/>
  <c r="K164" s="1"/>
  <c r="L164" s="1"/>
  <c r="M164" s="1"/>
  <c r="N164" s="1"/>
  <c r="O164" s="1"/>
  <c r="P164" s="1"/>
  <c r="Q164" s="1"/>
  <c r="R164" s="1"/>
  <c r="S164" s="1"/>
  <c r="F168" i="20"/>
  <c r="G168" s="1"/>
  <c r="H168" s="1"/>
  <c r="I168" s="1"/>
  <c r="J168" s="1"/>
  <c r="K168" s="1"/>
  <c r="L168" s="1"/>
  <c r="M168" s="1"/>
  <c r="N168" s="1"/>
  <c r="O168" s="1"/>
  <c r="P168" s="1"/>
  <c r="Q168" s="1"/>
  <c r="R168" s="1"/>
  <c r="S168" s="1"/>
  <c r="F173" i="17"/>
  <c r="G173" s="1"/>
  <c r="H173" s="1"/>
  <c r="I173" s="1"/>
  <c r="J173" s="1"/>
  <c r="K173" s="1"/>
  <c r="L173" s="1"/>
  <c r="M173" s="1"/>
  <c r="N173" s="1"/>
  <c r="O173" s="1"/>
  <c r="P173" s="1"/>
  <c r="Q173" s="1"/>
  <c r="R173" s="1"/>
  <c r="S173" s="1"/>
  <c r="Y114" i="27"/>
  <c r="Y111"/>
  <c r="E121"/>
  <c r="E122" s="1"/>
  <c r="X58" i="19"/>
  <c r="X61"/>
  <c r="AD21" i="28" s="1"/>
  <c r="X60" i="19"/>
  <c r="AD20" i="28" s="1"/>
  <c r="X59" i="19"/>
  <c r="AD19" i="28" s="1"/>
  <c r="X50" i="19"/>
  <c r="U60"/>
  <c r="AA20" i="28" s="1"/>
  <c r="U59" i="19"/>
  <c r="AA19" i="28" s="1"/>
  <c r="U58" i="19"/>
  <c r="U50"/>
  <c r="U61"/>
  <c r="AA21" i="28" s="1"/>
  <c r="Y106" i="27"/>
  <c r="F172" i="20"/>
  <c r="G172" s="1"/>
  <c r="H172" s="1"/>
  <c r="I172" s="1"/>
  <c r="J172" s="1"/>
  <c r="K172" s="1"/>
  <c r="L172" s="1"/>
  <c r="M172" s="1"/>
  <c r="N172" s="1"/>
  <c r="O172" s="1"/>
  <c r="P172" s="1"/>
  <c r="Q172" s="1"/>
  <c r="R172" s="1"/>
  <c r="S172" s="1"/>
  <c r="G159" i="17"/>
  <c r="H159" s="1"/>
  <c r="I159" s="1"/>
  <c r="J159" s="1"/>
  <c r="K159" s="1"/>
  <c r="L159" s="1"/>
  <c r="M159" s="1"/>
  <c r="N159" s="1"/>
  <c r="O159" s="1"/>
  <c r="P159" s="1"/>
  <c r="Q159" s="1"/>
  <c r="R159" s="1"/>
  <c r="S159" s="1"/>
  <c r="F165" i="20"/>
  <c r="G165" s="1"/>
  <c r="H165" s="1"/>
  <c r="I165" s="1"/>
  <c r="J165" s="1"/>
  <c r="K165" s="1"/>
  <c r="L165" s="1"/>
  <c r="M165" s="1"/>
  <c r="N165" s="1"/>
  <c r="O165" s="1"/>
  <c r="P165" s="1"/>
  <c r="Q165" s="1"/>
  <c r="R165" s="1"/>
  <c r="S165" s="1"/>
  <c r="F141" i="17"/>
  <c r="Y119" i="27"/>
  <c r="Y118"/>
  <c r="Y113"/>
  <c r="F176" i="20"/>
  <c r="G176" s="1"/>
  <c r="H176" s="1"/>
  <c r="I176" s="1"/>
  <c r="J176" s="1"/>
  <c r="K176" s="1"/>
  <c r="L176" s="1"/>
  <c r="M176" s="1"/>
  <c r="N176" s="1"/>
  <c r="O176" s="1"/>
  <c r="P176" s="1"/>
  <c r="Q176" s="1"/>
  <c r="R176" s="1"/>
  <c r="S176" s="1"/>
  <c r="F167" i="17"/>
  <c r="G167" s="1"/>
  <c r="H167" s="1"/>
  <c r="I167" s="1"/>
  <c r="J167" s="1"/>
  <c r="K167" s="1"/>
  <c r="L167" s="1"/>
  <c r="M167" s="1"/>
  <c r="N167" s="1"/>
  <c r="O167" s="1"/>
  <c r="P167" s="1"/>
  <c r="Q167" s="1"/>
  <c r="R167" s="1"/>
  <c r="S167" s="1"/>
  <c r="F162" i="19"/>
  <c r="G162" s="1"/>
  <c r="H162" s="1"/>
  <c r="I162" s="1"/>
  <c r="J162" s="1"/>
  <c r="K162" s="1"/>
  <c r="L162" s="1"/>
  <c r="M162" s="1"/>
  <c r="N162" s="1"/>
  <c r="O162" s="1"/>
  <c r="P162" s="1"/>
  <c r="Q162" s="1"/>
  <c r="R162" s="1"/>
  <c r="S162" s="1"/>
  <c r="F170"/>
  <c r="G170" s="1"/>
  <c r="H170" s="1"/>
  <c r="I170" s="1"/>
  <c r="J170" s="1"/>
  <c r="K170" s="1"/>
  <c r="L170" s="1"/>
  <c r="M170" s="1"/>
  <c r="N170" s="1"/>
  <c r="O170" s="1"/>
  <c r="P170" s="1"/>
  <c r="Q170" s="1"/>
  <c r="R170" s="1"/>
  <c r="S170" s="1"/>
  <c r="G169"/>
  <c r="H169" s="1"/>
  <c r="I169" s="1"/>
  <c r="J169" s="1"/>
  <c r="K169" s="1"/>
  <c r="L169" s="1"/>
  <c r="M169" s="1"/>
  <c r="N169" s="1"/>
  <c r="O169" s="1"/>
  <c r="P169" s="1"/>
  <c r="Q169" s="1"/>
  <c r="R169" s="1"/>
  <c r="S169" s="1"/>
  <c r="F168"/>
  <c r="G168" s="1"/>
  <c r="H168" s="1"/>
  <c r="I168" s="1"/>
  <c r="J168" s="1"/>
  <c r="K168" s="1"/>
  <c r="L168" s="1"/>
  <c r="M168" s="1"/>
  <c r="N168" s="1"/>
  <c r="O168" s="1"/>
  <c r="P168" s="1"/>
  <c r="Q168" s="1"/>
  <c r="R168" s="1"/>
  <c r="S168" s="1"/>
  <c r="N141" i="17"/>
  <c r="F175"/>
  <c r="G175" s="1"/>
  <c r="H175" s="1"/>
  <c r="I175" s="1"/>
  <c r="J175" s="1"/>
  <c r="K175" s="1"/>
  <c r="L175" s="1"/>
  <c r="M175" s="1"/>
  <c r="N175" s="1"/>
  <c r="O175" s="1"/>
  <c r="P175" s="1"/>
  <c r="Q175" s="1"/>
  <c r="R175" s="1"/>
  <c r="S175" s="1"/>
  <c r="F166" i="20"/>
  <c r="G166" s="1"/>
  <c r="H166" s="1"/>
  <c r="I166" s="1"/>
  <c r="J166" s="1"/>
  <c r="K166" s="1"/>
  <c r="L166" s="1"/>
  <c r="M166" s="1"/>
  <c r="N166" s="1"/>
  <c r="O166" s="1"/>
  <c r="P166" s="1"/>
  <c r="Q166" s="1"/>
  <c r="R166" s="1"/>
  <c r="S166" s="1"/>
  <c r="G165" i="17"/>
  <c r="M141"/>
  <c r="F174"/>
  <c r="G174" s="1"/>
  <c r="H174" s="1"/>
  <c r="I174" s="1"/>
  <c r="J174" s="1"/>
  <c r="K174" s="1"/>
  <c r="L174" s="1"/>
  <c r="M174" s="1"/>
  <c r="N174" s="1"/>
  <c r="O174" s="1"/>
  <c r="P174" s="1"/>
  <c r="Q174" s="1"/>
  <c r="R174" s="1"/>
  <c r="S174" s="1"/>
  <c r="F158" i="20"/>
  <c r="G158" s="1"/>
  <c r="H158" s="1"/>
  <c r="I158" s="1"/>
  <c r="J158" s="1"/>
  <c r="K158" s="1"/>
  <c r="L158" s="1"/>
  <c r="M158" s="1"/>
  <c r="N158" s="1"/>
  <c r="O158" s="1"/>
  <c r="P158" s="1"/>
  <c r="Q158" s="1"/>
  <c r="R158" s="1"/>
  <c r="S158" s="1"/>
  <c r="F172" i="19"/>
  <c r="G172" s="1"/>
  <c r="H172" s="1"/>
  <c r="I172" s="1"/>
  <c r="J172" s="1"/>
  <c r="K172" s="1"/>
  <c r="L172" s="1"/>
  <c r="M172" s="1"/>
  <c r="N172" s="1"/>
  <c r="O172" s="1"/>
  <c r="P172" s="1"/>
  <c r="Q172" s="1"/>
  <c r="R172" s="1"/>
  <c r="S172" s="1"/>
  <c r="F157"/>
  <c r="G157" s="1"/>
  <c r="H157" s="1"/>
  <c r="I157" s="1"/>
  <c r="J157" s="1"/>
  <c r="K157" s="1"/>
  <c r="L157" s="1"/>
  <c r="M157" s="1"/>
  <c r="N157" s="1"/>
  <c r="O157" s="1"/>
  <c r="P157" s="1"/>
  <c r="Q157" s="1"/>
  <c r="R157" s="1"/>
  <c r="S157" s="1"/>
  <c r="F177" i="20"/>
  <c r="G177" s="1"/>
  <c r="H177" s="1"/>
  <c r="I177" s="1"/>
  <c r="J177" s="1"/>
  <c r="K177" s="1"/>
  <c r="L177" s="1"/>
  <c r="M177" s="1"/>
  <c r="N177" s="1"/>
  <c r="O177" s="1"/>
  <c r="P177" s="1"/>
  <c r="Q177" s="1"/>
  <c r="R177" s="1"/>
  <c r="S177" s="1"/>
  <c r="F163" i="19"/>
  <c r="G163" s="1"/>
  <c r="H163" s="1"/>
  <c r="I163" s="1"/>
  <c r="J163" s="1"/>
  <c r="K163" s="1"/>
  <c r="L163" s="1"/>
  <c r="M163" s="1"/>
  <c r="N163" s="1"/>
  <c r="O163" s="1"/>
  <c r="P163" s="1"/>
  <c r="Q163" s="1"/>
  <c r="R163" s="1"/>
  <c r="S163" s="1"/>
  <c r="F169" i="17"/>
  <c r="G169" s="1"/>
  <c r="H169" s="1"/>
  <c r="I169" s="1"/>
  <c r="J169" s="1"/>
  <c r="K169" s="1"/>
  <c r="L169" s="1"/>
  <c r="M169" s="1"/>
  <c r="N169" s="1"/>
  <c r="O169" s="1"/>
  <c r="P169" s="1"/>
  <c r="Q169" s="1"/>
  <c r="R169" s="1"/>
  <c r="S169" s="1"/>
  <c r="Q141"/>
  <c r="P141"/>
  <c r="K141"/>
  <c r="G162"/>
  <c r="H162" s="1"/>
  <c r="I162" s="1"/>
  <c r="J162" s="1"/>
  <c r="K162" s="1"/>
  <c r="L162" s="1"/>
  <c r="M162" s="1"/>
  <c r="N162" s="1"/>
  <c r="O162" s="1"/>
  <c r="P162" s="1"/>
  <c r="Q162" s="1"/>
  <c r="R162" s="1"/>
  <c r="S162" s="1"/>
  <c r="H141"/>
  <c r="O141"/>
  <c r="F158" i="19"/>
  <c r="G158" s="1"/>
  <c r="H158" s="1"/>
  <c r="I158" s="1"/>
  <c r="J158" s="1"/>
  <c r="K158" s="1"/>
  <c r="L158" s="1"/>
  <c r="M158" s="1"/>
  <c r="N158" s="1"/>
  <c r="O158" s="1"/>
  <c r="P158" s="1"/>
  <c r="Q158" s="1"/>
  <c r="R158" s="1"/>
  <c r="S158" s="1"/>
  <c r="F154" i="20"/>
  <c r="G154" s="1"/>
  <c r="H154" s="1"/>
  <c r="I154" s="1"/>
  <c r="J154" s="1"/>
  <c r="K154" s="1"/>
  <c r="L154" s="1"/>
  <c r="M154" s="1"/>
  <c r="N154" s="1"/>
  <c r="O154" s="1"/>
  <c r="P154" s="1"/>
  <c r="Q154" s="1"/>
  <c r="R154" s="1"/>
  <c r="S154" s="1"/>
  <c r="J141" i="17"/>
  <c r="R141"/>
  <c r="L141"/>
  <c r="G160" i="20"/>
  <c r="H160" s="1"/>
  <c r="I160" s="1"/>
  <c r="J160" s="1"/>
  <c r="K160" s="1"/>
  <c r="L160" s="1"/>
  <c r="M160" s="1"/>
  <c r="N160" s="1"/>
  <c r="O160" s="1"/>
  <c r="P160" s="1"/>
  <c r="Q160" s="1"/>
  <c r="R160" s="1"/>
  <c r="S160" s="1"/>
  <c r="K141"/>
  <c r="G141"/>
  <c r="F163"/>
  <c r="G163" s="1"/>
  <c r="H163" s="1"/>
  <c r="I163" s="1"/>
  <c r="J163" s="1"/>
  <c r="K163" s="1"/>
  <c r="L163" s="1"/>
  <c r="M163" s="1"/>
  <c r="N163" s="1"/>
  <c r="O163" s="1"/>
  <c r="P163" s="1"/>
  <c r="Q163" s="1"/>
  <c r="R163" s="1"/>
  <c r="S163" s="1"/>
  <c r="G171"/>
  <c r="H171" s="1"/>
  <c r="I171" s="1"/>
  <c r="J171" s="1"/>
  <c r="K171" s="1"/>
  <c r="L171" s="1"/>
  <c r="M171" s="1"/>
  <c r="N171" s="1"/>
  <c r="O171" s="1"/>
  <c r="P171" s="1"/>
  <c r="Q171" s="1"/>
  <c r="R171" s="1"/>
  <c r="S171" s="1"/>
  <c r="F171" i="19"/>
  <c r="G171" s="1"/>
  <c r="H171" s="1"/>
  <c r="I171" s="1"/>
  <c r="J171" s="1"/>
  <c r="K171" s="1"/>
  <c r="L171" s="1"/>
  <c r="M171" s="1"/>
  <c r="N171" s="1"/>
  <c r="O171" s="1"/>
  <c r="P171" s="1"/>
  <c r="Q171" s="1"/>
  <c r="R171" s="1"/>
  <c r="S171" s="1"/>
  <c r="I141" i="17"/>
  <c r="G177"/>
  <c r="H177" s="1"/>
  <c r="I177" s="1"/>
  <c r="J177" s="1"/>
  <c r="K177" s="1"/>
  <c r="L177" s="1"/>
  <c r="M177" s="1"/>
  <c r="N177" s="1"/>
  <c r="O177" s="1"/>
  <c r="P177" s="1"/>
  <c r="Q177" s="1"/>
  <c r="R177" s="1"/>
  <c r="S177" s="1"/>
  <c r="E180"/>
  <c r="F155"/>
  <c r="R141" i="20"/>
  <c r="J141"/>
  <c r="H141"/>
  <c r="L141"/>
  <c r="F164"/>
  <c r="G164" s="1"/>
  <c r="H164" s="1"/>
  <c r="I164" s="1"/>
  <c r="J164" s="1"/>
  <c r="K164" s="1"/>
  <c r="L164" s="1"/>
  <c r="M164" s="1"/>
  <c r="N164" s="1"/>
  <c r="O164" s="1"/>
  <c r="P164" s="1"/>
  <c r="Q164" s="1"/>
  <c r="R164" s="1"/>
  <c r="S164" s="1"/>
  <c r="F158" i="17"/>
  <c r="G158" s="1"/>
  <c r="H158" s="1"/>
  <c r="I158" s="1"/>
  <c r="J158" s="1"/>
  <c r="K158" s="1"/>
  <c r="L158" s="1"/>
  <c r="M158" s="1"/>
  <c r="N158" s="1"/>
  <c r="O158" s="1"/>
  <c r="P158" s="1"/>
  <c r="Q158" s="1"/>
  <c r="R158" s="1"/>
  <c r="S158" s="1"/>
  <c r="F163"/>
  <c r="G163" s="1"/>
  <c r="H163" s="1"/>
  <c r="I163" s="1"/>
  <c r="J163" s="1"/>
  <c r="K163" s="1"/>
  <c r="L163" s="1"/>
  <c r="M163" s="1"/>
  <c r="N163" s="1"/>
  <c r="O163" s="1"/>
  <c r="P163" s="1"/>
  <c r="Q163" s="1"/>
  <c r="R163" s="1"/>
  <c r="S163" s="1"/>
  <c r="H166"/>
  <c r="I166" s="1"/>
  <c r="J166" s="1"/>
  <c r="K166" s="1"/>
  <c r="L166" s="1"/>
  <c r="M166" s="1"/>
  <c r="N166" s="1"/>
  <c r="O166" s="1"/>
  <c r="P166" s="1"/>
  <c r="Q166" s="1"/>
  <c r="R166" s="1"/>
  <c r="S166" s="1"/>
  <c r="E141"/>
  <c r="E142" s="1"/>
  <c r="R139" i="19"/>
  <c r="L139"/>
  <c r="I141" i="20"/>
  <c r="N141"/>
  <c r="P141"/>
  <c r="F159"/>
  <c r="G159" s="1"/>
  <c r="H159" s="1"/>
  <c r="I159" s="1"/>
  <c r="J159" s="1"/>
  <c r="K159" s="1"/>
  <c r="L159" s="1"/>
  <c r="M159" s="1"/>
  <c r="N159" s="1"/>
  <c r="O159" s="1"/>
  <c r="P159" s="1"/>
  <c r="Q159" s="1"/>
  <c r="R159" s="1"/>
  <c r="S159" s="1"/>
  <c r="F171" i="17"/>
  <c r="G171" s="1"/>
  <c r="H171" s="1"/>
  <c r="I171" s="1"/>
  <c r="J171" s="1"/>
  <c r="K171" s="1"/>
  <c r="L171" s="1"/>
  <c r="M171" s="1"/>
  <c r="N171" s="1"/>
  <c r="O171" s="1"/>
  <c r="P171" s="1"/>
  <c r="Q171" s="1"/>
  <c r="R171" s="1"/>
  <c r="S171" s="1"/>
  <c r="F141" i="20"/>
  <c r="M141"/>
  <c r="O141"/>
  <c r="Q141"/>
  <c r="S141"/>
  <c r="S141" i="17"/>
  <c r="G141"/>
  <c r="H165"/>
  <c r="I165" s="1"/>
  <c r="J165" s="1"/>
  <c r="K165" s="1"/>
  <c r="L165" s="1"/>
  <c r="M165" s="1"/>
  <c r="N165" s="1"/>
  <c r="O165" s="1"/>
  <c r="P165" s="1"/>
  <c r="Q165" s="1"/>
  <c r="R165" s="1"/>
  <c r="S165" s="1"/>
  <c r="P139" i="19"/>
  <c r="F165"/>
  <c r="G165" s="1"/>
  <c r="H165" s="1"/>
  <c r="I165" s="1"/>
  <c r="J165" s="1"/>
  <c r="K165" s="1"/>
  <c r="L165" s="1"/>
  <c r="M165" s="1"/>
  <c r="N165" s="1"/>
  <c r="O165" s="1"/>
  <c r="P165" s="1"/>
  <c r="Q165" s="1"/>
  <c r="R165" s="1"/>
  <c r="S165" s="1"/>
  <c r="K139"/>
  <c r="G139"/>
  <c r="F173"/>
  <c r="G173" s="1"/>
  <c r="H173" s="1"/>
  <c r="I173" s="1"/>
  <c r="J173" s="1"/>
  <c r="K173" s="1"/>
  <c r="L173" s="1"/>
  <c r="M173" s="1"/>
  <c r="N173" s="1"/>
  <c r="O173" s="1"/>
  <c r="P173" s="1"/>
  <c r="Q173" s="1"/>
  <c r="R173" s="1"/>
  <c r="S173" s="1"/>
  <c r="F174" i="20"/>
  <c r="G174" s="1"/>
  <c r="H174" s="1"/>
  <c r="I174" s="1"/>
  <c r="J174" s="1"/>
  <c r="K174" s="1"/>
  <c r="L174" s="1"/>
  <c r="M174" s="1"/>
  <c r="N174" s="1"/>
  <c r="O174" s="1"/>
  <c r="P174" s="1"/>
  <c r="Q174" s="1"/>
  <c r="R174" s="1"/>
  <c r="S174" s="1"/>
  <c r="F152"/>
  <c r="E180"/>
  <c r="N139" i="19"/>
  <c r="F159"/>
  <c r="G159" s="1"/>
  <c r="H159" s="1"/>
  <c r="I159" s="1"/>
  <c r="J159" s="1"/>
  <c r="K159" s="1"/>
  <c r="L159" s="1"/>
  <c r="M159" s="1"/>
  <c r="N159" s="1"/>
  <c r="O159" s="1"/>
  <c r="P159" s="1"/>
  <c r="Q159" s="1"/>
  <c r="R159" s="1"/>
  <c r="S159" s="1"/>
  <c r="F153" i="20"/>
  <c r="G153" s="1"/>
  <c r="H153" s="1"/>
  <c r="I153" s="1"/>
  <c r="J153" s="1"/>
  <c r="K153" s="1"/>
  <c r="L153" s="1"/>
  <c r="M153" s="1"/>
  <c r="N153" s="1"/>
  <c r="O153" s="1"/>
  <c r="P153" s="1"/>
  <c r="Q153" s="1"/>
  <c r="R153" s="1"/>
  <c r="S153" s="1"/>
  <c r="F156"/>
  <c r="G156" s="1"/>
  <c r="H156" s="1"/>
  <c r="I156" s="1"/>
  <c r="J156" s="1"/>
  <c r="K156" s="1"/>
  <c r="L156" s="1"/>
  <c r="M156" s="1"/>
  <c r="N156" s="1"/>
  <c r="O156" s="1"/>
  <c r="P156" s="1"/>
  <c r="Q156" s="1"/>
  <c r="R156" s="1"/>
  <c r="S156" s="1"/>
  <c r="G178"/>
  <c r="H178" s="1"/>
  <c r="I178" s="1"/>
  <c r="J178" s="1"/>
  <c r="K178" s="1"/>
  <c r="L178" s="1"/>
  <c r="M178" s="1"/>
  <c r="N178" s="1"/>
  <c r="O178" s="1"/>
  <c r="P178" s="1"/>
  <c r="Q178" s="1"/>
  <c r="R178" s="1"/>
  <c r="S178" s="1"/>
  <c r="F170"/>
  <c r="G170" s="1"/>
  <c r="H170" s="1"/>
  <c r="I170" s="1"/>
  <c r="J170" s="1"/>
  <c r="K170" s="1"/>
  <c r="L170" s="1"/>
  <c r="M170" s="1"/>
  <c r="N170" s="1"/>
  <c r="O170" s="1"/>
  <c r="P170" s="1"/>
  <c r="Q170" s="1"/>
  <c r="R170" s="1"/>
  <c r="S170" s="1"/>
  <c r="F167"/>
  <c r="G167" s="1"/>
  <c r="H167" s="1"/>
  <c r="I167" s="1"/>
  <c r="J167" s="1"/>
  <c r="K167" s="1"/>
  <c r="L167" s="1"/>
  <c r="M167" s="1"/>
  <c r="N167" s="1"/>
  <c r="O167" s="1"/>
  <c r="P167" s="1"/>
  <c r="Q167" s="1"/>
  <c r="R167" s="1"/>
  <c r="S167" s="1"/>
  <c r="O139" i="19"/>
  <c r="Q139"/>
  <c r="M139"/>
  <c r="H139"/>
  <c r="G174"/>
  <c r="H174" s="1"/>
  <c r="I174" s="1"/>
  <c r="J174" s="1"/>
  <c r="K174" s="1"/>
  <c r="L174" s="1"/>
  <c r="M174" s="1"/>
  <c r="N174" s="1"/>
  <c r="O174" s="1"/>
  <c r="P174" s="1"/>
  <c r="Q174" s="1"/>
  <c r="R174" s="1"/>
  <c r="S174" s="1"/>
  <c r="S139"/>
  <c r="F173" i="20"/>
  <c r="G173" s="1"/>
  <c r="H173" s="1"/>
  <c r="I173" s="1"/>
  <c r="J173" s="1"/>
  <c r="K173" s="1"/>
  <c r="L173" s="1"/>
  <c r="M173" s="1"/>
  <c r="N173" s="1"/>
  <c r="O173" s="1"/>
  <c r="P173" s="1"/>
  <c r="Q173" s="1"/>
  <c r="R173" s="1"/>
  <c r="S173" s="1"/>
  <c r="E141"/>
  <c r="E142" s="1"/>
  <c r="F157"/>
  <c r="G157" s="1"/>
  <c r="H157" s="1"/>
  <c r="I157" s="1"/>
  <c r="J157" s="1"/>
  <c r="K157" s="1"/>
  <c r="L157" s="1"/>
  <c r="M157" s="1"/>
  <c r="N157" s="1"/>
  <c r="O157" s="1"/>
  <c r="P157" s="1"/>
  <c r="Q157" s="1"/>
  <c r="R157" s="1"/>
  <c r="S157" s="1"/>
  <c r="F161"/>
  <c r="G161" s="1"/>
  <c r="H161" s="1"/>
  <c r="I161" s="1"/>
  <c r="J161" s="1"/>
  <c r="K161" s="1"/>
  <c r="L161" s="1"/>
  <c r="M161" s="1"/>
  <c r="N161" s="1"/>
  <c r="O161" s="1"/>
  <c r="P161" s="1"/>
  <c r="Q161" s="1"/>
  <c r="R161" s="1"/>
  <c r="S161" s="1"/>
  <c r="F156" i="19"/>
  <c r="E178"/>
  <c r="E139"/>
  <c r="E140" s="1"/>
  <c r="F176"/>
  <c r="G176" s="1"/>
  <c r="H176" s="1"/>
  <c r="I176" s="1"/>
  <c r="J176" s="1"/>
  <c r="K176" s="1"/>
  <c r="L176" s="1"/>
  <c r="M176" s="1"/>
  <c r="N176" s="1"/>
  <c r="O176" s="1"/>
  <c r="P176" s="1"/>
  <c r="Q176" s="1"/>
  <c r="R176" s="1"/>
  <c r="S176" s="1"/>
  <c r="I139"/>
  <c r="J139"/>
  <c r="F166"/>
  <c r="G166" s="1"/>
  <c r="H166" s="1"/>
  <c r="I166" s="1"/>
  <c r="J166" s="1"/>
  <c r="K166" s="1"/>
  <c r="L166" s="1"/>
  <c r="M166" s="1"/>
  <c r="N166" s="1"/>
  <c r="O166" s="1"/>
  <c r="P166" s="1"/>
  <c r="Q166" s="1"/>
  <c r="R166" s="1"/>
  <c r="S166" s="1"/>
  <c r="G161"/>
  <c r="H161" s="1"/>
  <c r="I161" s="1"/>
  <c r="J161" s="1"/>
  <c r="K161" s="1"/>
  <c r="L161" s="1"/>
  <c r="M161" s="1"/>
  <c r="N161" s="1"/>
  <c r="O161" s="1"/>
  <c r="P161" s="1"/>
  <c r="Q161" s="1"/>
  <c r="R161" s="1"/>
  <c r="S161" s="1"/>
  <c r="F139"/>
  <c r="F122" i="26" l="1"/>
  <c r="G122" s="1"/>
  <c r="H122" s="1"/>
  <c r="I122" s="1"/>
  <c r="J122" s="1"/>
  <c r="K122" s="1"/>
  <c r="L122" s="1"/>
  <c r="M122" s="1"/>
  <c r="N122" s="1"/>
  <c r="O122" s="1"/>
  <c r="P122" s="1"/>
  <c r="Q122" s="1"/>
  <c r="R122" s="1"/>
  <c r="S122" s="1"/>
  <c r="T122" s="1"/>
  <c r="U122" s="1"/>
  <c r="V122" s="1"/>
  <c r="W122" s="1"/>
  <c r="X122" s="1"/>
  <c r="F122" i="27"/>
  <c r="G122" s="1"/>
  <c r="H122" s="1"/>
  <c r="I122" s="1"/>
  <c r="J122" s="1"/>
  <c r="K122" s="1"/>
  <c r="L122" s="1"/>
  <c r="M122" s="1"/>
  <c r="N122" s="1"/>
  <c r="O122" s="1"/>
  <c r="P122" s="1"/>
  <c r="Q122" s="1"/>
  <c r="R122" s="1"/>
  <c r="S122" s="1"/>
  <c r="T122" s="1"/>
  <c r="U122" s="1"/>
  <c r="V122" s="1"/>
  <c r="W122" s="1"/>
  <c r="X122" s="1"/>
  <c r="F142" i="17"/>
  <c r="G142" s="1"/>
  <c r="H142" s="1"/>
  <c r="I142" s="1"/>
  <c r="J142" s="1"/>
  <c r="K142" s="1"/>
  <c r="L142" s="1"/>
  <c r="M142" s="1"/>
  <c r="N142" s="1"/>
  <c r="O142" s="1"/>
  <c r="P142" s="1"/>
  <c r="Q142" s="1"/>
  <c r="R142" s="1"/>
  <c r="S142" s="1"/>
  <c r="Y122" i="26"/>
  <c r="Y63" i="17"/>
  <c r="AE11" i="28" s="1"/>
  <c r="Y60" i="17"/>
  <c r="AE8" i="28" s="1"/>
  <c r="Y62" i="17"/>
  <c r="AE10" i="28" s="1"/>
  <c r="Y58" i="17"/>
  <c r="Y59"/>
  <c r="AE7" i="28" s="1"/>
  <c r="Y61" i="17"/>
  <c r="AE9" i="28" s="1"/>
  <c r="T62" i="17"/>
  <c r="T61"/>
  <c r="T63"/>
  <c r="T59"/>
  <c r="T60"/>
  <c r="T50"/>
  <c r="T58"/>
  <c r="U86"/>
  <c r="U79"/>
  <c r="U116" s="1"/>
  <c r="U93"/>
  <c r="U97"/>
  <c r="U94"/>
  <c r="U91"/>
  <c r="U100"/>
  <c r="U65"/>
  <c r="U89"/>
  <c r="U95"/>
  <c r="U84"/>
  <c r="U96"/>
  <c r="U81"/>
  <c r="U101"/>
  <c r="U85"/>
  <c r="U122" s="1"/>
  <c r="U99"/>
  <c r="U92"/>
  <c r="U129" s="1"/>
  <c r="U102"/>
  <c r="U139" s="1"/>
  <c r="AA6" i="28"/>
  <c r="U82" i="17"/>
  <c r="U87"/>
  <c r="U124" s="1"/>
  <c r="U80"/>
  <c r="U117" s="1"/>
  <c r="U83"/>
  <c r="U88"/>
  <c r="U98"/>
  <c r="U90"/>
  <c r="AC6" i="28"/>
  <c r="W93" i="17"/>
  <c r="W80"/>
  <c r="W83"/>
  <c r="W89"/>
  <c r="W87"/>
  <c r="W101"/>
  <c r="W85"/>
  <c r="W96"/>
  <c r="W81"/>
  <c r="W91"/>
  <c r="W99"/>
  <c r="W102"/>
  <c r="W65"/>
  <c r="W84"/>
  <c r="W88"/>
  <c r="W94"/>
  <c r="W79"/>
  <c r="W116" s="1"/>
  <c r="W100"/>
  <c r="W97"/>
  <c r="W92"/>
  <c r="W86"/>
  <c r="W90"/>
  <c r="W82"/>
  <c r="W98"/>
  <c r="W95"/>
  <c r="X88"/>
  <c r="X91"/>
  <c r="X97"/>
  <c r="X95"/>
  <c r="X86"/>
  <c r="X99"/>
  <c r="X98"/>
  <c r="AD6" i="28"/>
  <c r="X83" i="17"/>
  <c r="X84"/>
  <c r="X80"/>
  <c r="X81"/>
  <c r="X87"/>
  <c r="X124" s="1"/>
  <c r="X65"/>
  <c r="X101"/>
  <c r="X92"/>
  <c r="X89"/>
  <c r="X126" s="1"/>
  <c r="X79"/>
  <c r="X116" s="1"/>
  <c r="X93"/>
  <c r="X100"/>
  <c r="X96"/>
  <c r="X90"/>
  <c r="X82"/>
  <c r="X102"/>
  <c r="X85"/>
  <c r="X122" s="1"/>
  <c r="X94"/>
  <c r="V86"/>
  <c r="V90"/>
  <c r="V96"/>
  <c r="V87"/>
  <c r="V99"/>
  <c r="V101"/>
  <c r="V82"/>
  <c r="V119" s="1"/>
  <c r="V85"/>
  <c r="V95"/>
  <c r="V65"/>
  <c r="V93"/>
  <c r="AB6" i="28"/>
  <c r="V84" i="17"/>
  <c r="V88"/>
  <c r="V91"/>
  <c r="V81"/>
  <c r="V92"/>
  <c r="V94"/>
  <c r="V79"/>
  <c r="V116" s="1"/>
  <c r="V80"/>
  <c r="V100"/>
  <c r="V137" s="1"/>
  <c r="V102"/>
  <c r="V139" s="1"/>
  <c r="V83"/>
  <c r="V120" s="1"/>
  <c r="V89"/>
  <c r="V98"/>
  <c r="V97"/>
  <c r="V101" i="20"/>
  <c r="AB12" i="28"/>
  <c r="V95" i="20"/>
  <c r="V98"/>
  <c r="V99"/>
  <c r="V76"/>
  <c r="V113" s="1"/>
  <c r="V82"/>
  <c r="V86"/>
  <c r="V77"/>
  <c r="V102"/>
  <c r="V85"/>
  <c r="V96"/>
  <c r="V80"/>
  <c r="V79"/>
  <c r="V78"/>
  <c r="V90"/>
  <c r="V88"/>
  <c r="V93"/>
  <c r="V97"/>
  <c r="V84"/>
  <c r="V81"/>
  <c r="V118" s="1"/>
  <c r="V92"/>
  <c r="V100"/>
  <c r="V91"/>
  <c r="V128" s="1"/>
  <c r="V94"/>
  <c r="V89"/>
  <c r="V65"/>
  <c r="V83"/>
  <c r="V87"/>
  <c r="X81"/>
  <c r="X96"/>
  <c r="X101"/>
  <c r="X65"/>
  <c r="X94"/>
  <c r="AD12" i="28"/>
  <c r="X80" i="20"/>
  <c r="X83"/>
  <c r="X78"/>
  <c r="X86"/>
  <c r="X91"/>
  <c r="X76"/>
  <c r="X113" s="1"/>
  <c r="X93"/>
  <c r="X90"/>
  <c r="X98"/>
  <c r="X82"/>
  <c r="X87"/>
  <c r="X95"/>
  <c r="X97"/>
  <c r="X99"/>
  <c r="X79"/>
  <c r="X116" s="1"/>
  <c r="X102"/>
  <c r="X88"/>
  <c r="X92"/>
  <c r="X85"/>
  <c r="X89"/>
  <c r="X100"/>
  <c r="X84"/>
  <c r="X121" s="1"/>
  <c r="X77"/>
  <c r="U76"/>
  <c r="U113" s="1"/>
  <c r="U93"/>
  <c r="U102"/>
  <c r="U78"/>
  <c r="U90"/>
  <c r="U65"/>
  <c r="U88"/>
  <c r="U85"/>
  <c r="U77"/>
  <c r="U114" s="1"/>
  <c r="U80"/>
  <c r="AA12" i="28"/>
  <c r="U101" i="20"/>
  <c r="U95"/>
  <c r="U84"/>
  <c r="U98"/>
  <c r="U99"/>
  <c r="U97"/>
  <c r="U79"/>
  <c r="U89"/>
  <c r="U100"/>
  <c r="U137" s="1"/>
  <c r="U81"/>
  <c r="U96"/>
  <c r="U94"/>
  <c r="U82"/>
  <c r="U91"/>
  <c r="U128" s="1"/>
  <c r="U86"/>
  <c r="U83"/>
  <c r="U87"/>
  <c r="U92"/>
  <c r="U129" s="1"/>
  <c r="W96"/>
  <c r="W95"/>
  <c r="W65"/>
  <c r="W99"/>
  <c r="W97"/>
  <c r="W83"/>
  <c r="W102"/>
  <c r="AC12" i="28"/>
  <c r="W78" i="20"/>
  <c r="W94"/>
  <c r="W82"/>
  <c r="W100"/>
  <c r="W137" s="1"/>
  <c r="W89"/>
  <c r="W76"/>
  <c r="W113" s="1"/>
  <c r="W91"/>
  <c r="W101"/>
  <c r="W92"/>
  <c r="W80"/>
  <c r="W86"/>
  <c r="W81"/>
  <c r="W77"/>
  <c r="W93"/>
  <c r="W88"/>
  <c r="W90"/>
  <c r="W98"/>
  <c r="W135" s="1"/>
  <c r="W85"/>
  <c r="W84"/>
  <c r="W87"/>
  <c r="W79"/>
  <c r="W116" s="1"/>
  <c r="Y63"/>
  <c r="AE17" i="28" s="1"/>
  <c r="Y58" i="20"/>
  <c r="Y62"/>
  <c r="AE16" i="28" s="1"/>
  <c r="Y59" i="20"/>
  <c r="AE13" i="28" s="1"/>
  <c r="Y60" i="20"/>
  <c r="AE14" i="28" s="1"/>
  <c r="Y61" i="20"/>
  <c r="AE15" i="28" s="1"/>
  <c r="T50" i="20"/>
  <c r="T62"/>
  <c r="T58"/>
  <c r="T61"/>
  <c r="T59"/>
  <c r="T63"/>
  <c r="T60"/>
  <c r="Y122" i="27"/>
  <c r="X86" i="19"/>
  <c r="X90"/>
  <c r="AD18" i="28"/>
  <c r="X88" i="19"/>
  <c r="X84"/>
  <c r="X82"/>
  <c r="X85"/>
  <c r="X89"/>
  <c r="X80"/>
  <c r="X117" s="1"/>
  <c r="X99"/>
  <c r="X93"/>
  <c r="X97"/>
  <c r="X63"/>
  <c r="X96"/>
  <c r="X87"/>
  <c r="X95"/>
  <c r="X100"/>
  <c r="X83"/>
  <c r="X120" s="1"/>
  <c r="X91"/>
  <c r="X92"/>
  <c r="X94"/>
  <c r="X81"/>
  <c r="X98"/>
  <c r="W82"/>
  <c r="W98"/>
  <c r="W96"/>
  <c r="W95"/>
  <c r="W93"/>
  <c r="W100"/>
  <c r="W92"/>
  <c r="W94"/>
  <c r="W63"/>
  <c r="W90"/>
  <c r="W84"/>
  <c r="W80"/>
  <c r="W117" s="1"/>
  <c r="W83"/>
  <c r="W120" s="1"/>
  <c r="W86"/>
  <c r="W97"/>
  <c r="W99"/>
  <c r="W81"/>
  <c r="W89"/>
  <c r="W91"/>
  <c r="W87"/>
  <c r="AC18" i="28"/>
  <c r="W85" i="19"/>
  <c r="W88"/>
  <c r="Y59"/>
  <c r="AE19" i="28" s="1"/>
  <c r="Y61" i="19"/>
  <c r="AE21" i="28" s="1"/>
  <c r="Y60" i="19"/>
  <c r="AE20" i="28" s="1"/>
  <c r="Y58" i="19"/>
  <c r="U85"/>
  <c r="U82"/>
  <c r="U97"/>
  <c r="U84"/>
  <c r="U63"/>
  <c r="U91"/>
  <c r="U93"/>
  <c r="U87"/>
  <c r="U95"/>
  <c r="U94"/>
  <c r="U98"/>
  <c r="U90"/>
  <c r="U86"/>
  <c r="U123" s="1"/>
  <c r="U83"/>
  <c r="U120" s="1"/>
  <c r="U81"/>
  <c r="U99"/>
  <c r="U88"/>
  <c r="U92"/>
  <c r="U129" s="1"/>
  <c r="U96"/>
  <c r="U100"/>
  <c r="U89"/>
  <c r="AA18" i="28"/>
  <c r="U80" i="19"/>
  <c r="U117" s="1"/>
  <c r="V95"/>
  <c r="V94"/>
  <c r="V63"/>
  <c r="V85"/>
  <c r="V83"/>
  <c r="V81"/>
  <c r="V80"/>
  <c r="V117" s="1"/>
  <c r="V82"/>
  <c r="V86"/>
  <c r="V87"/>
  <c r="V99"/>
  <c r="V91"/>
  <c r="V92"/>
  <c r="AB18" i="28"/>
  <c r="V93" i="19"/>
  <c r="V88"/>
  <c r="V90"/>
  <c r="V100"/>
  <c r="V84"/>
  <c r="V98"/>
  <c r="V89"/>
  <c r="V96"/>
  <c r="V97"/>
  <c r="T61"/>
  <c r="T58"/>
  <c r="T60"/>
  <c r="T59"/>
  <c r="T50"/>
  <c r="F142" i="20"/>
  <c r="G142" s="1"/>
  <c r="H142" s="1"/>
  <c r="I142" s="1"/>
  <c r="J142" s="1"/>
  <c r="K142" s="1"/>
  <c r="L142" s="1"/>
  <c r="M142" s="1"/>
  <c r="N142" s="1"/>
  <c r="O142" s="1"/>
  <c r="P142" s="1"/>
  <c r="Q142" s="1"/>
  <c r="R142" s="1"/>
  <c r="S142" s="1"/>
  <c r="G155" i="17"/>
  <c r="F180"/>
  <c r="F180" i="20"/>
  <c r="G152"/>
  <c r="F178" i="19"/>
  <c r="G156"/>
  <c r="F140"/>
  <c r="G140" s="1"/>
  <c r="H140" s="1"/>
  <c r="I140" s="1"/>
  <c r="J140" s="1"/>
  <c r="K140" s="1"/>
  <c r="L140" s="1"/>
  <c r="M140" s="1"/>
  <c r="N140" s="1"/>
  <c r="O140" s="1"/>
  <c r="P140" s="1"/>
  <c r="Q140" s="1"/>
  <c r="R140" s="1"/>
  <c r="S140" s="1"/>
  <c r="W127" i="17" l="1"/>
  <c r="U131"/>
  <c r="W134"/>
  <c r="U138"/>
  <c r="W138" i="20"/>
  <c r="X135" i="17"/>
  <c r="U135" i="19"/>
  <c r="W125"/>
  <c r="W133"/>
  <c r="W137" i="17"/>
  <c r="W121"/>
  <c r="U118"/>
  <c r="U123"/>
  <c r="V123" i="20"/>
  <c r="W117" i="17"/>
  <c r="U126"/>
  <c r="V130"/>
  <c r="V133"/>
  <c r="X120"/>
  <c r="W119"/>
  <c r="W125"/>
  <c r="X134" i="20"/>
  <c r="X128"/>
  <c r="V120"/>
  <c r="V133"/>
  <c r="U135" i="17"/>
  <c r="W125" i="20"/>
  <c r="W128"/>
  <c r="W119"/>
  <c r="W139"/>
  <c r="U119"/>
  <c r="U115"/>
  <c r="X124"/>
  <c r="V116"/>
  <c r="V124" i="17"/>
  <c r="X131"/>
  <c r="X136"/>
  <c r="W131"/>
  <c r="W133"/>
  <c r="U120"/>
  <c r="U137"/>
  <c r="V128"/>
  <c r="X133"/>
  <c r="V126"/>
  <c r="W134" i="19"/>
  <c r="W134" i="20"/>
  <c r="U126" i="19"/>
  <c r="U126" i="20"/>
  <c r="X131" i="19"/>
  <c r="X123"/>
  <c r="V135" i="17"/>
  <c r="V132"/>
  <c r="X119"/>
  <c r="X130"/>
  <c r="X138"/>
  <c r="Z10" i="28"/>
  <c r="AA62" i="17"/>
  <c r="Z9" i="28"/>
  <c r="AA61" i="17"/>
  <c r="Y86"/>
  <c r="Y98"/>
  <c r="Y94"/>
  <c r="Y84"/>
  <c r="Y100"/>
  <c r="Y82"/>
  <c r="Y90"/>
  <c r="Y80"/>
  <c r="AE6" i="28"/>
  <c r="Y91" i="17"/>
  <c r="Y102"/>
  <c r="Y99"/>
  <c r="Y95"/>
  <c r="Y89"/>
  <c r="Y97"/>
  <c r="Y92"/>
  <c r="Y65"/>
  <c r="Y96"/>
  <c r="Y83"/>
  <c r="Y79"/>
  <c r="Y116" s="1"/>
  <c r="Y93"/>
  <c r="Y88"/>
  <c r="Y85"/>
  <c r="Y101"/>
  <c r="Y87"/>
  <c r="Y124" s="1"/>
  <c r="Y81"/>
  <c r="X125"/>
  <c r="W128"/>
  <c r="V117"/>
  <c r="V118"/>
  <c r="V122"/>
  <c r="X127"/>
  <c r="X121"/>
  <c r="X128"/>
  <c r="W136"/>
  <c r="W122"/>
  <c r="W120"/>
  <c r="U127"/>
  <c r="U132"/>
  <c r="U128"/>
  <c r="T83"/>
  <c r="Z6" i="28"/>
  <c r="T86" i="17"/>
  <c r="T95"/>
  <c r="T82"/>
  <c r="T80"/>
  <c r="T99"/>
  <c r="T101"/>
  <c r="T100"/>
  <c r="T91"/>
  <c r="T84"/>
  <c r="T79"/>
  <c r="T116" s="1"/>
  <c r="AA58"/>
  <c r="T97"/>
  <c r="T85"/>
  <c r="T122" s="1"/>
  <c r="T161" s="1"/>
  <c r="U161" s="1"/>
  <c r="T92"/>
  <c r="T90"/>
  <c r="T96"/>
  <c r="T94"/>
  <c r="T102"/>
  <c r="T139" s="1"/>
  <c r="T178" s="1"/>
  <c r="U178" s="1"/>
  <c r="V178" s="1"/>
  <c r="T93"/>
  <c r="T89"/>
  <c r="T98"/>
  <c r="T65"/>
  <c r="T88"/>
  <c r="T81"/>
  <c r="T118" s="1"/>
  <c r="T157" s="1"/>
  <c r="U157" s="1"/>
  <c r="V157" s="1"/>
  <c r="T87"/>
  <c r="T124" s="1"/>
  <c r="T163" s="1"/>
  <c r="U163" s="1"/>
  <c r="Z11" i="28"/>
  <c r="AA63" i="17"/>
  <c r="W128" i="19"/>
  <c r="W129" i="20"/>
  <c r="U123"/>
  <c r="U116"/>
  <c r="U130"/>
  <c r="V129" i="17"/>
  <c r="V121"/>
  <c r="V136"/>
  <c r="V123"/>
  <c r="X117"/>
  <c r="X134"/>
  <c r="W135"/>
  <c r="W129"/>
  <c r="W139"/>
  <c r="W126"/>
  <c r="U121"/>
  <c r="U130"/>
  <c r="Z8" i="28"/>
  <c r="AA60" i="17"/>
  <c r="Z7" i="28"/>
  <c r="AA59" i="17"/>
  <c r="X123"/>
  <c r="W138"/>
  <c r="W121" i="19"/>
  <c r="X118"/>
  <c r="U133" i="20"/>
  <c r="X125"/>
  <c r="W131" i="19"/>
  <c r="W122" i="20"/>
  <c r="W130"/>
  <c r="W117"/>
  <c r="W120"/>
  <c r="U120"/>
  <c r="U131"/>
  <c r="U135"/>
  <c r="U125"/>
  <c r="U139"/>
  <c r="X129"/>
  <c r="X136"/>
  <c r="X119"/>
  <c r="V124"/>
  <c r="V131"/>
  <c r="V117"/>
  <c r="V114"/>
  <c r="V136"/>
  <c r="V138"/>
  <c r="V134" i="17"/>
  <c r="V131"/>
  <c r="V125"/>
  <c r="V138"/>
  <c r="V127"/>
  <c r="X139"/>
  <c r="X137"/>
  <c r="X129"/>
  <c r="X118"/>
  <c r="X132"/>
  <c r="W132"/>
  <c r="W123"/>
  <c r="W118"/>
  <c r="W124"/>
  <c r="W130"/>
  <c r="U125"/>
  <c r="U119"/>
  <c r="U136"/>
  <c r="U133"/>
  <c r="U134"/>
  <c r="Z15" i="28"/>
  <c r="AA61" i="20"/>
  <c r="V128" i="19"/>
  <c r="X137"/>
  <c r="W114" i="20"/>
  <c r="W126"/>
  <c r="W115"/>
  <c r="W133"/>
  <c r="U121"/>
  <c r="U117"/>
  <c r="X137"/>
  <c r="X135"/>
  <c r="X117"/>
  <c r="X138"/>
  <c r="V121"/>
  <c r="V127"/>
  <c r="V135"/>
  <c r="W124" i="19"/>
  <c r="W121" i="20"/>
  <c r="W123"/>
  <c r="U124"/>
  <c r="U136"/>
  <c r="U138"/>
  <c r="U122"/>
  <c r="X114"/>
  <c r="X122"/>
  <c r="X130"/>
  <c r="X115"/>
  <c r="X131"/>
  <c r="X118"/>
  <c r="V126"/>
  <c r="V129"/>
  <c r="V130"/>
  <c r="V139"/>
  <c r="Z13" i="28"/>
  <c r="AA59" i="20"/>
  <c r="Z17" i="28"/>
  <c r="AA63" i="20"/>
  <c r="Z16" i="28"/>
  <c r="AA62" i="20"/>
  <c r="Y81"/>
  <c r="Y102"/>
  <c r="Y84"/>
  <c r="Y99"/>
  <c r="Y83"/>
  <c r="Y78"/>
  <c r="Y89"/>
  <c r="Y91"/>
  <c r="Y82"/>
  <c r="Y119" s="1"/>
  <c r="Y79"/>
  <c r="Y116" s="1"/>
  <c r="Y65"/>
  <c r="Y95"/>
  <c r="Y88"/>
  <c r="Y98"/>
  <c r="Y90"/>
  <c r="Y87"/>
  <c r="Y76"/>
  <c r="Y113" s="1"/>
  <c r="Y96"/>
  <c r="Y101"/>
  <c r="Y86"/>
  <c r="Y80"/>
  <c r="Y93"/>
  <c r="Y94"/>
  <c r="Y77"/>
  <c r="Y97"/>
  <c r="Y100"/>
  <c r="AE12" i="28"/>
  <c r="Y92" i="20"/>
  <c r="Y129" s="1"/>
  <c r="Y85"/>
  <c r="Z14" i="28"/>
  <c r="AA60" i="20"/>
  <c r="T101"/>
  <c r="T77"/>
  <c r="T87"/>
  <c r="T100"/>
  <c r="T76"/>
  <c r="T113" s="1"/>
  <c r="T78"/>
  <c r="T115" s="1"/>
  <c r="T154" s="1"/>
  <c r="U154" s="1"/>
  <c r="T80"/>
  <c r="T79"/>
  <c r="T102"/>
  <c r="T139" s="1"/>
  <c r="T178" s="1"/>
  <c r="Z12" i="28"/>
  <c r="T82" i="20"/>
  <c r="AA58"/>
  <c r="T90"/>
  <c r="T83"/>
  <c r="T88"/>
  <c r="T125" s="1"/>
  <c r="T164" s="1"/>
  <c r="T89"/>
  <c r="T99"/>
  <c r="T86"/>
  <c r="T93"/>
  <c r="T92"/>
  <c r="T95"/>
  <c r="T85"/>
  <c r="T97"/>
  <c r="T81"/>
  <c r="T84"/>
  <c r="T91"/>
  <c r="T94"/>
  <c r="T131" s="1"/>
  <c r="T170" s="1"/>
  <c r="T65"/>
  <c r="T98"/>
  <c r="T96"/>
  <c r="U137" i="19"/>
  <c r="W131" i="20"/>
  <c r="W132"/>
  <c r="X120"/>
  <c r="V125"/>
  <c r="V133" i="19"/>
  <c r="V124"/>
  <c r="U125"/>
  <c r="U122"/>
  <c r="W136"/>
  <c r="X128"/>
  <c r="X124"/>
  <c r="V134"/>
  <c r="V121"/>
  <c r="V130"/>
  <c r="V136"/>
  <c r="U131"/>
  <c r="U128"/>
  <c r="U119"/>
  <c r="X129"/>
  <c r="X132"/>
  <c r="X134"/>
  <c r="X125"/>
  <c r="W124" i="20"/>
  <c r="W127"/>
  <c r="W118"/>
  <c r="W136"/>
  <c r="U118"/>
  <c r="U134"/>
  <c r="U132"/>
  <c r="U127"/>
  <c r="X126"/>
  <c r="X139"/>
  <c r="X132"/>
  <c r="X127"/>
  <c r="X123"/>
  <c r="X133"/>
  <c r="V137"/>
  <c r="V134"/>
  <c r="V115"/>
  <c r="V122"/>
  <c r="V119"/>
  <c r="V132"/>
  <c r="Z20" i="28"/>
  <c r="AA60" i="19"/>
  <c r="V137"/>
  <c r="V118"/>
  <c r="V131"/>
  <c r="U132"/>
  <c r="W122"/>
  <c r="W126"/>
  <c r="W123"/>
  <c r="W127"/>
  <c r="W137"/>
  <c r="W135"/>
  <c r="X135"/>
  <c r="X130"/>
  <c r="X122"/>
  <c r="Z19" i="28"/>
  <c r="AA59" i="19"/>
  <c r="W129"/>
  <c r="V125"/>
  <c r="V122"/>
  <c r="U134"/>
  <c r="W132"/>
  <c r="X121"/>
  <c r="Y90"/>
  <c r="Y97"/>
  <c r="Y85"/>
  <c r="Y100"/>
  <c r="Y81"/>
  <c r="Y91"/>
  <c r="Y98"/>
  <c r="Y82"/>
  <c r="Y83"/>
  <c r="Y87"/>
  <c r="Y86"/>
  <c r="Y123" s="1"/>
  <c r="AE18" i="28"/>
  <c r="Y84" i="19"/>
  <c r="Y121" s="1"/>
  <c r="Y80"/>
  <c r="Y117" s="1"/>
  <c r="Y63"/>
  <c r="Y99"/>
  <c r="Y93"/>
  <c r="Y89"/>
  <c r="Y88"/>
  <c r="Y94"/>
  <c r="Y96"/>
  <c r="Y95"/>
  <c r="Y92"/>
  <c r="Z21" i="28"/>
  <c r="AA61" i="19"/>
  <c r="T93"/>
  <c r="T84"/>
  <c r="T95"/>
  <c r="T86"/>
  <c r="T91"/>
  <c r="Z18" i="28"/>
  <c r="T89" i="19"/>
  <c r="T87"/>
  <c r="AA58"/>
  <c r="T63"/>
  <c r="T83"/>
  <c r="T88"/>
  <c r="T100"/>
  <c r="T97"/>
  <c r="T98"/>
  <c r="T92"/>
  <c r="T81"/>
  <c r="T82"/>
  <c r="T90"/>
  <c r="T127" s="1"/>
  <c r="T166" s="1"/>
  <c r="T96"/>
  <c r="T94"/>
  <c r="T131" s="1"/>
  <c r="T170" s="1"/>
  <c r="U170" s="1"/>
  <c r="V170" s="1"/>
  <c r="W170" s="1"/>
  <c r="X170" s="1"/>
  <c r="T85"/>
  <c r="T122" s="1"/>
  <c r="T161" s="1"/>
  <c r="U161" s="1"/>
  <c r="T80"/>
  <c r="T117" s="1"/>
  <c r="T99"/>
  <c r="X126"/>
  <c r="V135"/>
  <c r="V119"/>
  <c r="U133"/>
  <c r="U118"/>
  <c r="U130"/>
  <c r="V126"/>
  <c r="V127"/>
  <c r="V129"/>
  <c r="V123"/>
  <c r="V120"/>
  <c r="V132"/>
  <c r="U136"/>
  <c r="U127"/>
  <c r="U124"/>
  <c r="U121"/>
  <c r="W118"/>
  <c r="W130"/>
  <c r="W119"/>
  <c r="X133"/>
  <c r="X136"/>
  <c r="X119"/>
  <c r="X127"/>
  <c r="G180" i="17"/>
  <c r="H155"/>
  <c r="H152" i="20"/>
  <c r="G180"/>
  <c r="G178" i="19"/>
  <c r="H156"/>
  <c r="T136" l="1"/>
  <c r="T175" s="1"/>
  <c r="T133"/>
  <c r="T172" s="1"/>
  <c r="U172" s="1"/>
  <c r="V172" s="1"/>
  <c r="W172" s="1"/>
  <c r="X172" s="1"/>
  <c r="T129"/>
  <c r="T168" s="1"/>
  <c r="U168" s="1"/>
  <c r="Y133"/>
  <c r="U178" i="20"/>
  <c r="V178" s="1"/>
  <c r="W178" s="1"/>
  <c r="X178" s="1"/>
  <c r="T135" i="17"/>
  <c r="T174" s="1"/>
  <c r="U174" s="1"/>
  <c r="V174" s="1"/>
  <c r="W174" s="1"/>
  <c r="X174" s="1"/>
  <c r="Y120"/>
  <c r="Y129"/>
  <c r="Y136"/>
  <c r="Y134" i="20"/>
  <c r="Y117"/>
  <c r="Y138" i="17"/>
  <c r="V163"/>
  <c r="W163" s="1"/>
  <c r="X163" s="1"/>
  <c r="Y134"/>
  <c r="Y127"/>
  <c r="U141"/>
  <c r="W141"/>
  <c r="T127"/>
  <c r="T166" s="1"/>
  <c r="U166" s="1"/>
  <c r="V166" s="1"/>
  <c r="W166" s="1"/>
  <c r="X166" s="1"/>
  <c r="T119"/>
  <c r="T158" s="1"/>
  <c r="U158" s="1"/>
  <c r="V158" s="1"/>
  <c r="W158" s="1"/>
  <c r="X158" s="1"/>
  <c r="T128" i="20"/>
  <c r="T167" s="1"/>
  <c r="U167" s="1"/>
  <c r="V167" s="1"/>
  <c r="W167" s="1"/>
  <c r="X167" s="1"/>
  <c r="Y118" i="19"/>
  <c r="Y127"/>
  <c r="X141" i="17"/>
  <c r="V141"/>
  <c r="Y122"/>
  <c r="Y139"/>
  <c r="Y131"/>
  <c r="U141" i="20"/>
  <c r="T125" i="17"/>
  <c r="T164" s="1"/>
  <c r="U164" s="1"/>
  <c r="V164" s="1"/>
  <c r="W164" s="1"/>
  <c r="X164" s="1"/>
  <c r="T130"/>
  <c r="T169" s="1"/>
  <c r="U169" s="1"/>
  <c r="V169" s="1"/>
  <c r="W169" s="1"/>
  <c r="X169" s="1"/>
  <c r="T137"/>
  <c r="T176" s="1"/>
  <c r="U176" s="1"/>
  <c r="V176" s="1"/>
  <c r="W176" s="1"/>
  <c r="X176" s="1"/>
  <c r="T120"/>
  <c r="T159" s="1"/>
  <c r="U159" s="1"/>
  <c r="V159" s="1"/>
  <c r="W159" s="1"/>
  <c r="X159" s="1"/>
  <c r="Y130"/>
  <c r="T124" i="19"/>
  <c r="T163" s="1"/>
  <c r="U163" s="1"/>
  <c r="V163" s="1"/>
  <c r="W163" s="1"/>
  <c r="X163" s="1"/>
  <c r="Y129"/>
  <c r="T118" i="20"/>
  <c r="T157" s="1"/>
  <c r="U157" s="1"/>
  <c r="V157" s="1"/>
  <c r="W157" s="1"/>
  <c r="X157" s="1"/>
  <c r="T129"/>
  <c r="T168" s="1"/>
  <c r="U168" s="1"/>
  <c r="V168" s="1"/>
  <c r="W168" s="1"/>
  <c r="X168" s="1"/>
  <c r="T126"/>
  <c r="T165" s="1"/>
  <c r="U165" s="1"/>
  <c r="V165" s="1"/>
  <c r="W165" s="1"/>
  <c r="X165" s="1"/>
  <c r="B65"/>
  <c r="T116"/>
  <c r="T155" s="1"/>
  <c r="U155" s="1"/>
  <c r="V155" s="1"/>
  <c r="W155" s="1"/>
  <c r="X155" s="1"/>
  <c r="T137"/>
  <c r="T176" s="1"/>
  <c r="U176" s="1"/>
  <c r="V176" s="1"/>
  <c r="W176" s="1"/>
  <c r="X176" s="1"/>
  <c r="Y131"/>
  <c r="Y138"/>
  <c r="Y126"/>
  <c r="Y121"/>
  <c r="T133" i="17"/>
  <c r="T172" s="1"/>
  <c r="T117"/>
  <c r="T156" s="1"/>
  <c r="U156" s="1"/>
  <c r="V156" s="1"/>
  <c r="W156" s="1"/>
  <c r="X156" s="1"/>
  <c r="Y118"/>
  <c r="T123" i="19"/>
  <c r="T162" s="1"/>
  <c r="U162" s="1"/>
  <c r="V162" s="1"/>
  <c r="W162" s="1"/>
  <c r="X162" s="1"/>
  <c r="Y130"/>
  <c r="Y120"/>
  <c r="T133" i="20"/>
  <c r="T172" s="1"/>
  <c r="U172" s="1"/>
  <c r="V172" s="1"/>
  <c r="W172" s="1"/>
  <c r="X172" s="1"/>
  <c r="T122"/>
  <c r="T161" s="1"/>
  <c r="T114"/>
  <c r="T153" s="1"/>
  <c r="U153" s="1"/>
  <c r="V153" s="1"/>
  <c r="Y125"/>
  <c r="W141"/>
  <c r="T131" i="17"/>
  <c r="T170" s="1"/>
  <c r="U170" s="1"/>
  <c r="V170" s="1"/>
  <c r="W170" s="1"/>
  <c r="X170" s="1"/>
  <c r="V161"/>
  <c r="W161" s="1"/>
  <c r="X161" s="1"/>
  <c r="T121"/>
  <c r="T160" s="1"/>
  <c r="U160" s="1"/>
  <c r="V160" s="1"/>
  <c r="W160" s="1"/>
  <c r="X160" s="1"/>
  <c r="T136"/>
  <c r="T175" s="1"/>
  <c r="U175" s="1"/>
  <c r="V175" s="1"/>
  <c r="W175" s="1"/>
  <c r="X175" s="1"/>
  <c r="T123"/>
  <c r="T162" s="1"/>
  <c r="U162" s="1"/>
  <c r="V162" s="1"/>
  <c r="W162" s="1"/>
  <c r="X162" s="1"/>
  <c r="Y132"/>
  <c r="Y137"/>
  <c r="Y123"/>
  <c r="AA65"/>
  <c r="C10"/>
  <c r="T66"/>
  <c r="U66" s="1"/>
  <c r="V66" s="1"/>
  <c r="W66" s="1"/>
  <c r="X66" s="1"/>
  <c r="Y127" i="20"/>
  <c r="B65" i="17"/>
  <c r="V141" i="20"/>
  <c r="U170"/>
  <c r="V170" s="1"/>
  <c r="W170" s="1"/>
  <c r="X170" s="1"/>
  <c r="T134"/>
  <c r="T173" s="1"/>
  <c r="U173" s="1"/>
  <c r="U164"/>
  <c r="V164" s="1"/>
  <c r="W164" s="1"/>
  <c r="X164" s="1"/>
  <c r="Y137"/>
  <c r="Y130"/>
  <c r="Y133"/>
  <c r="W178" i="17"/>
  <c r="X178" s="1"/>
  <c r="T129"/>
  <c r="T168" s="1"/>
  <c r="U168" s="1"/>
  <c r="V168" s="1"/>
  <c r="W168" s="1"/>
  <c r="X168" s="1"/>
  <c r="T138"/>
  <c r="T177" s="1"/>
  <c r="U177" s="1"/>
  <c r="V177" s="1"/>
  <c r="W177" s="1"/>
  <c r="X177" s="1"/>
  <c r="T132"/>
  <c r="T171" s="1"/>
  <c r="U171" s="1"/>
  <c r="V171" s="1"/>
  <c r="W171" s="1"/>
  <c r="X171" s="1"/>
  <c r="Y125"/>
  <c r="Y133"/>
  <c r="Y126"/>
  <c r="Y128"/>
  <c r="Y119"/>
  <c r="Y135"/>
  <c r="T135" i="19"/>
  <c r="T174" s="1"/>
  <c r="U174" s="1"/>
  <c r="V174" s="1"/>
  <c r="W174" s="1"/>
  <c r="X174" s="1"/>
  <c r="T120"/>
  <c r="T159" s="1"/>
  <c r="U159" s="1"/>
  <c r="V159" s="1"/>
  <c r="W159" s="1"/>
  <c r="X159" s="1"/>
  <c r="Y136"/>
  <c r="X141" i="20"/>
  <c r="W157" i="17"/>
  <c r="X157" s="1"/>
  <c r="T126"/>
  <c r="T165" s="1"/>
  <c r="U165" s="1"/>
  <c r="V165" s="1"/>
  <c r="W165" s="1"/>
  <c r="X165" s="1"/>
  <c r="U172"/>
  <c r="V172" s="1"/>
  <c r="W172" s="1"/>
  <c r="X172" s="1"/>
  <c r="T134"/>
  <c r="T173" s="1"/>
  <c r="U173" s="1"/>
  <c r="V173" s="1"/>
  <c r="W173" s="1"/>
  <c r="X173" s="1"/>
  <c r="T128"/>
  <c r="T167" s="1"/>
  <c r="U167" s="1"/>
  <c r="V167" s="1"/>
  <c r="W167" s="1"/>
  <c r="X167" s="1"/>
  <c r="Y117"/>
  <c r="Y121"/>
  <c r="C10" i="20"/>
  <c r="AA65"/>
  <c r="T66"/>
  <c r="U66" s="1"/>
  <c r="V66" s="1"/>
  <c r="W66" s="1"/>
  <c r="X66" s="1"/>
  <c r="W139" i="19"/>
  <c r="U139"/>
  <c r="T118"/>
  <c r="T157" s="1"/>
  <c r="U157" s="1"/>
  <c r="V157" s="1"/>
  <c r="W157" s="1"/>
  <c r="X157" s="1"/>
  <c r="Y132"/>
  <c r="Y126"/>
  <c r="Y124"/>
  <c r="T135" i="20"/>
  <c r="T174" s="1"/>
  <c r="U174" s="1"/>
  <c r="V174" s="1"/>
  <c r="W174" s="1"/>
  <c r="X174" s="1"/>
  <c r="T121"/>
  <c r="T160" s="1"/>
  <c r="U160" s="1"/>
  <c r="V160" s="1"/>
  <c r="W160" s="1"/>
  <c r="X160" s="1"/>
  <c r="T132"/>
  <c r="T171" s="1"/>
  <c r="U171" s="1"/>
  <c r="V171" s="1"/>
  <c r="W171" s="1"/>
  <c r="X171" s="1"/>
  <c r="T136"/>
  <c r="T175" s="1"/>
  <c r="U175" s="1"/>
  <c r="V175" s="1"/>
  <c r="W175" s="1"/>
  <c r="X175" s="1"/>
  <c r="T127"/>
  <c r="T166" s="1"/>
  <c r="U166" s="1"/>
  <c r="V166" s="1"/>
  <c r="W166" s="1"/>
  <c r="X166" s="1"/>
  <c r="T138"/>
  <c r="T177" s="1"/>
  <c r="U177" s="1"/>
  <c r="V177" s="1"/>
  <c r="W177" s="1"/>
  <c r="X177" s="1"/>
  <c r="Y114"/>
  <c r="Y123"/>
  <c r="Y124"/>
  <c r="Y132"/>
  <c r="Y128"/>
  <c r="Y136"/>
  <c r="X139" i="19"/>
  <c r="V161"/>
  <c r="W161" s="1"/>
  <c r="X161" s="1"/>
  <c r="U161" i="20"/>
  <c r="V161" s="1"/>
  <c r="W161" s="1"/>
  <c r="X161" s="1"/>
  <c r="T123"/>
  <c r="T162" s="1"/>
  <c r="U162" s="1"/>
  <c r="V162" s="1"/>
  <c r="W162" s="1"/>
  <c r="X162" s="1"/>
  <c r="T120"/>
  <c r="T159" s="1"/>
  <c r="U159" s="1"/>
  <c r="V159" s="1"/>
  <c r="W159" s="1"/>
  <c r="X159" s="1"/>
  <c r="V154"/>
  <c r="W154" s="1"/>
  <c r="X154" s="1"/>
  <c r="W153"/>
  <c r="X153" s="1"/>
  <c r="Y122"/>
  <c r="Y120"/>
  <c r="Y118"/>
  <c r="V139" i="19"/>
  <c r="V173" i="20"/>
  <c r="W173" s="1"/>
  <c r="X173" s="1"/>
  <c r="T130"/>
  <c r="T169" s="1"/>
  <c r="U169" s="1"/>
  <c r="V169" s="1"/>
  <c r="W169" s="1"/>
  <c r="X169" s="1"/>
  <c r="T119"/>
  <c r="T158" s="1"/>
  <c r="U158" s="1"/>
  <c r="V158" s="1"/>
  <c r="W158" s="1"/>
  <c r="X158" s="1"/>
  <c r="T117"/>
  <c r="T156" s="1"/>
  <c r="U156" s="1"/>
  <c r="V156" s="1"/>
  <c r="W156" s="1"/>
  <c r="X156" s="1"/>
  <c r="T124"/>
  <c r="T163" s="1"/>
  <c r="U163" s="1"/>
  <c r="V163" s="1"/>
  <c r="W163" s="1"/>
  <c r="X163" s="1"/>
  <c r="Y135"/>
  <c r="Y115"/>
  <c r="Y139"/>
  <c r="U166" i="19"/>
  <c r="V166" s="1"/>
  <c r="W166" s="1"/>
  <c r="X166" s="1"/>
  <c r="T126"/>
  <c r="T165" s="1"/>
  <c r="U165" s="1"/>
  <c r="V165" s="1"/>
  <c r="W165" s="1"/>
  <c r="X165" s="1"/>
  <c r="T132"/>
  <c r="T171" s="1"/>
  <c r="U171" s="1"/>
  <c r="V171" s="1"/>
  <c r="W171" s="1"/>
  <c r="X171" s="1"/>
  <c r="Y131"/>
  <c r="Y119"/>
  <c r="Y137"/>
  <c r="T137"/>
  <c r="T176" s="1"/>
  <c r="U176" s="1"/>
  <c r="V176" s="1"/>
  <c r="W176" s="1"/>
  <c r="X176" s="1"/>
  <c r="B63"/>
  <c r="T128"/>
  <c r="T167" s="1"/>
  <c r="U167" s="1"/>
  <c r="V167" s="1"/>
  <c r="W167" s="1"/>
  <c r="X167" s="1"/>
  <c r="T130"/>
  <c r="T169" s="1"/>
  <c r="U169" s="1"/>
  <c r="V169" s="1"/>
  <c r="W169" s="1"/>
  <c r="X169" s="1"/>
  <c r="Y128"/>
  <c r="Y134"/>
  <c r="C10"/>
  <c r="AA63"/>
  <c r="T64"/>
  <c r="U64" s="1"/>
  <c r="V64" s="1"/>
  <c r="W64" s="1"/>
  <c r="X64" s="1"/>
  <c r="U175"/>
  <c r="V175" s="1"/>
  <c r="W175" s="1"/>
  <c r="X175" s="1"/>
  <c r="V168"/>
  <c r="W168" s="1"/>
  <c r="X168" s="1"/>
  <c r="T125"/>
  <c r="T164" s="1"/>
  <c r="U164" s="1"/>
  <c r="V164" s="1"/>
  <c r="W164" s="1"/>
  <c r="X164" s="1"/>
  <c r="T119"/>
  <c r="T158" s="1"/>
  <c r="U158" s="1"/>
  <c r="V158" s="1"/>
  <c r="W158" s="1"/>
  <c r="X158" s="1"/>
  <c r="T134"/>
  <c r="T173" s="1"/>
  <c r="U173" s="1"/>
  <c r="V173" s="1"/>
  <c r="W173" s="1"/>
  <c r="X173" s="1"/>
  <c r="T121"/>
  <c r="T160" s="1"/>
  <c r="U160" s="1"/>
  <c r="V160" s="1"/>
  <c r="W160" s="1"/>
  <c r="X160" s="1"/>
  <c r="Y125"/>
  <c r="Y135"/>
  <c r="Y122"/>
  <c r="H180" i="17"/>
  <c r="I155"/>
  <c r="I152" i="20"/>
  <c r="H180"/>
  <c r="H178" i="19"/>
  <c r="I156"/>
  <c r="Y142" i="17" l="1"/>
  <c r="Y140" i="19"/>
  <c r="Y142" i="20"/>
  <c r="T141" i="17"/>
  <c r="T142" s="1"/>
  <c r="U142" s="1"/>
  <c r="V142" s="1"/>
  <c r="W142" s="1"/>
  <c r="X142" s="1"/>
  <c r="T141" i="20"/>
  <c r="T142" s="1"/>
  <c r="U142" s="1"/>
  <c r="V142" s="1"/>
  <c r="W142" s="1"/>
  <c r="X142" s="1"/>
  <c r="T139" i="19"/>
  <c r="T140" s="1"/>
  <c r="U140" s="1"/>
  <c r="V140" s="1"/>
  <c r="W140" s="1"/>
  <c r="X140" s="1"/>
  <c r="J155" i="17"/>
  <c r="I180"/>
  <c r="I180" i="20"/>
  <c r="J152"/>
  <c r="I178" i="19"/>
  <c r="J156"/>
  <c r="J180" i="17" l="1"/>
  <c r="K155"/>
  <c r="J180" i="20"/>
  <c r="K152"/>
  <c r="J178" i="19"/>
  <c r="K156"/>
  <c r="L155" i="17" l="1"/>
  <c r="K180"/>
  <c r="L152" i="20"/>
  <c r="K180"/>
  <c r="K178" i="19"/>
  <c r="L156"/>
  <c r="L180" i="17" l="1"/>
  <c r="M155"/>
  <c r="M152" i="20"/>
  <c r="L180"/>
  <c r="L178" i="19"/>
  <c r="M156"/>
  <c r="M180" i="17" l="1"/>
  <c r="N155"/>
  <c r="M180" i="20"/>
  <c r="N152"/>
  <c r="M178" i="19"/>
  <c r="N156"/>
  <c r="O155" i="17" l="1"/>
  <c r="N180"/>
  <c r="N180" i="20"/>
  <c r="O152"/>
  <c r="N178" i="19"/>
  <c r="O156"/>
  <c r="P155" i="17" l="1"/>
  <c r="O180"/>
  <c r="O180" i="20"/>
  <c r="P152"/>
  <c r="O178" i="19"/>
  <c r="P156"/>
  <c r="P180" i="17" l="1"/>
  <c r="Q155"/>
  <c r="P180" i="20"/>
  <c r="Q152"/>
  <c r="P178" i="19"/>
  <c r="Q156"/>
  <c r="Q180" i="17" l="1"/>
  <c r="R155"/>
  <c r="Q180" i="20"/>
  <c r="R152"/>
  <c r="R156" i="19"/>
  <c r="Q178"/>
  <c r="R180" i="17" l="1"/>
  <c r="S155"/>
  <c r="R180" i="20"/>
  <c r="S152"/>
  <c r="R178" i="19"/>
  <c r="S156"/>
  <c r="T155" i="17" l="1"/>
  <c r="S180"/>
  <c r="S180" i="20"/>
  <c r="T152"/>
  <c r="T156" i="19"/>
  <c r="S178"/>
  <c r="T180" i="17" l="1"/>
  <c r="U155"/>
  <c r="T180" i="20"/>
  <c r="U152"/>
  <c r="T178" i="19"/>
  <c r="U156"/>
  <c r="U180" i="17" l="1"/>
  <c r="V155"/>
  <c r="U180" i="20"/>
  <c r="V152"/>
  <c r="U178" i="19"/>
  <c r="V156"/>
  <c r="V180" i="17" l="1"/>
  <c r="W155"/>
  <c r="V180" i="20"/>
  <c r="W152"/>
  <c r="W156" i="19"/>
  <c r="V178"/>
  <c r="W180" i="17" l="1"/>
  <c r="X155"/>
  <c r="X180" s="1"/>
  <c r="W180" i="20"/>
  <c r="X152"/>
  <c r="X180" s="1"/>
  <c r="W178" i="19"/>
  <c r="X156"/>
  <c r="X178" s="1"/>
  <c r="E13" i="16" l="1"/>
  <c r="E18"/>
  <c r="C14"/>
  <c r="E14"/>
  <c r="C13"/>
  <c r="C17"/>
  <c r="E17"/>
  <c r="E16"/>
  <c r="C16"/>
  <c r="C18"/>
  <c r="E15"/>
  <c r="C15"/>
  <c r="D13" l="1"/>
  <c r="D16"/>
  <c r="D14"/>
  <c r="D18"/>
  <c r="D15"/>
  <c r="D17"/>
</calcChain>
</file>

<file path=xl/comments1.xml><?xml version="1.0" encoding="utf-8"?>
<comments xmlns="http://schemas.openxmlformats.org/spreadsheetml/2006/main">
  <authors>
    <author>Tina Jayaweera</author>
  </authors>
  <commentList>
    <comment ref="B37" authorId="0">
      <text>
        <r>
          <rPr>
            <b/>
            <sz val="9"/>
            <color indexed="81"/>
            <rFont val="Tahoma"/>
            <family val="2"/>
          </rPr>
          <t>Tina Jayaweera:</t>
        </r>
        <r>
          <rPr>
            <sz val="9"/>
            <color indexed="81"/>
            <rFont val="Tahoma"/>
            <family val="2"/>
          </rPr>
          <t xml:space="preserve">
Saturation accounted for by CZ/HZ in measure savings</t>
        </r>
      </text>
    </comment>
    <comment ref="D41" authorId="0">
      <text>
        <r>
          <rPr>
            <b/>
            <sz val="9"/>
            <color indexed="81"/>
            <rFont val="Tahoma"/>
            <family val="2"/>
          </rPr>
          <t>Tina Jayaweera:</t>
        </r>
        <r>
          <rPr>
            <sz val="9"/>
            <color indexed="81"/>
            <rFont val="Tahoma"/>
            <family val="2"/>
          </rPr>
          <t xml:space="preserve">
New homes treated separately</t>
        </r>
      </text>
    </comment>
    <comment ref="B42" authorId="0">
      <text>
        <r>
          <rPr>
            <b/>
            <sz val="9"/>
            <color indexed="81"/>
            <rFont val="Tahoma"/>
            <family val="2"/>
          </rPr>
          <t>Tina Jayaweera:</t>
        </r>
        <r>
          <rPr>
            <sz val="9"/>
            <color indexed="81"/>
            <rFont val="Tahoma"/>
            <family val="2"/>
          </rPr>
          <t xml:space="preserve">
Saturation accounted for by CZ/HZ in measure savings</t>
        </r>
      </text>
    </comment>
  </commentList>
</comments>
</file>

<file path=xl/comments2.xml><?xml version="1.0" encoding="utf-8"?>
<comments xmlns="http://schemas.openxmlformats.org/spreadsheetml/2006/main">
  <authors>
    <author>Tina Jayaweera</author>
  </authors>
  <commentList>
    <comment ref="B37" authorId="0">
      <text>
        <r>
          <rPr>
            <b/>
            <sz val="9"/>
            <color indexed="81"/>
            <rFont val="Tahoma"/>
            <family val="2"/>
          </rPr>
          <t>Tina Jayaweera:</t>
        </r>
        <r>
          <rPr>
            <sz val="9"/>
            <color indexed="81"/>
            <rFont val="Tahoma"/>
            <family val="2"/>
          </rPr>
          <t xml:space="preserve">
Saturation accounted for by CZ/HZ in measure potential</t>
        </r>
      </text>
    </comment>
    <comment ref="B41" authorId="0">
      <text>
        <r>
          <rPr>
            <b/>
            <sz val="9"/>
            <color indexed="81"/>
            <rFont val="Tahoma"/>
            <family val="2"/>
          </rPr>
          <t>Tina Jayaweera:</t>
        </r>
        <r>
          <rPr>
            <sz val="9"/>
            <color indexed="81"/>
            <rFont val="Tahoma"/>
            <family val="2"/>
          </rPr>
          <t xml:space="preserve">
Saturation accounted for in HVAC weighting to estimate potential by CZ/HZ</t>
        </r>
      </text>
    </comment>
    <comment ref="B42" authorId="0">
      <text>
        <r>
          <rPr>
            <b/>
            <sz val="9"/>
            <color indexed="81"/>
            <rFont val="Tahoma"/>
            <family val="2"/>
          </rPr>
          <t>Tina Jayaweera:</t>
        </r>
        <r>
          <rPr>
            <sz val="9"/>
            <color indexed="81"/>
            <rFont val="Tahoma"/>
            <family val="2"/>
          </rPr>
          <t xml:space="preserve">
Saturation accounted for by CZ/HZ in measure potential</t>
        </r>
      </text>
    </comment>
  </commentList>
</comments>
</file>

<file path=xl/comments3.xml><?xml version="1.0" encoding="utf-8"?>
<comments xmlns="http://schemas.openxmlformats.org/spreadsheetml/2006/main">
  <authors>
    <author>Tina Jayaweera</author>
  </authors>
  <commentList>
    <comment ref="B36" authorId="0">
      <text>
        <r>
          <rPr>
            <b/>
            <sz val="9"/>
            <color indexed="81"/>
            <rFont val="Tahoma"/>
            <family val="2"/>
          </rPr>
          <t>Tina Jayaweera:</t>
        </r>
        <r>
          <rPr>
            <sz val="9"/>
            <color indexed="81"/>
            <rFont val="Tahoma"/>
            <family val="2"/>
          </rPr>
          <t xml:space="preserve">
Saturation accounted for in HVAC weighting to estimate potential by CZ/HZ</t>
        </r>
      </text>
    </comment>
    <comment ref="B41" authorId="0">
      <text>
        <r>
          <rPr>
            <b/>
            <sz val="9"/>
            <color indexed="81"/>
            <rFont val="Tahoma"/>
            <family val="2"/>
          </rPr>
          <t>Tina Jayaweera:</t>
        </r>
        <r>
          <rPr>
            <sz val="9"/>
            <color indexed="81"/>
            <rFont val="Tahoma"/>
            <family val="2"/>
          </rPr>
          <t xml:space="preserve">
Saturation accounted for in HVAC weighting to estimate potential by CZ/HZ</t>
        </r>
      </text>
    </comment>
  </commentList>
</comments>
</file>

<file path=xl/comments4.xml><?xml version="1.0" encoding="utf-8"?>
<comments xmlns="http://schemas.openxmlformats.org/spreadsheetml/2006/main">
  <authors>
    <author xml:space="preserve"> </author>
    <author>Tina Jayaweera</author>
  </authors>
  <commentList>
    <comment ref="I6"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O6"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A7"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B7"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C7"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D7" authorId="0">
      <text>
        <r>
          <rPr>
            <b/>
            <sz val="8"/>
            <color indexed="81"/>
            <rFont val="Tahoma"/>
            <family val="2"/>
          </rPr>
          <t xml:space="preserve"> :ProCost</t>
        </r>
        <r>
          <rPr>
            <sz val="8"/>
            <color indexed="81"/>
            <rFont val="Tahoma"/>
            <family val="2"/>
          </rPr>
          <t xml:space="preserve">
Physical life of the measure in years.  Must be &gt;=1.</t>
        </r>
      </text>
    </comment>
    <comment ref="E7"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F7"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G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H7"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I7"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J7"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K7"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L7"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M7"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N7"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O7" authorId="0">
      <text>
        <r>
          <rPr>
            <b/>
            <sz val="8"/>
            <color indexed="81"/>
            <rFont val="Tahoma"/>
            <family val="2"/>
          </rPr>
          <t xml:space="preserve"> :</t>
        </r>
        <r>
          <rPr>
            <sz val="8"/>
            <color indexed="81"/>
            <rFont val="Tahoma"/>
            <family val="2"/>
          </rPr>
          <t xml:space="preserve">
Annual gas savings, or increases, in therms.</t>
        </r>
      </text>
    </comment>
    <comment ref="P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BH72"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M72" authorId="1">
      <text>
        <r>
          <rPr>
            <sz val="9"/>
            <color indexed="81"/>
            <rFont val="Tahoma"/>
            <family val="2"/>
          </rPr>
          <t>Direct and program administrative costs of the measure to sponsor.  Separate costs for each sponsor.
Depends on share of costs incurred by sponsor, sponsor cost of capital, and financing term which are user-defined inputs.  Includes applicable Capital, O&amp;M, Periodic Replacement and Program Administrative costs.  Sponsor costs are levelized over program life.
Does not include any adjustments for benefit.
NOTE:  Units are per kWh for 'Electric' runs and per therm for 'Gas' runs for all sponsors.</t>
        </r>
      </text>
    </comment>
    <comment ref="CE72" authorId="1">
      <text>
        <r>
          <rPr>
            <sz val="9"/>
            <color indexed="81"/>
            <rFont val="Tahoma"/>
            <family val="2"/>
          </rPr>
          <t xml:space="preserve">All costs minus all benefits regardless of which sponsor incurs the cost or accrues the benefits.
TRC Net Levelized Cost includes all applicable costs and all benefits.  In addition to energy system costs and benefits, TRC Net Levelized Cost includes non-energy, other-fuel, O&amp;M, periodic-replacement and risk-mitigation benefits and costs.
TRC Net Levelized Cost corresponds to TRC B/C ratios with regard to the costs and benefits included.  Benefits are subtracted from costs, then levelized over the life of the measure.
The Risk-Mitigation credit is used to determine program cost-effectiveness and impacts both the TRC B/C ratio and the TRC Net Levelized Cost.  If Risk-Mitigation credit is non-zero, TRC Levelized Cost will be reduced by the risk-mitigation benefit.
When using ProCost to build conservation supply curves, the user should set the Risk-Mitigation Credit to zero so the credit is not reflected in the supply curves. </t>
        </r>
      </text>
    </comment>
    <comment ref="CW72"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H115"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M115" authorId="1">
      <text>
        <r>
          <rPr>
            <sz val="9"/>
            <color indexed="81"/>
            <rFont val="Tahoma"/>
            <family val="2"/>
          </rPr>
          <t>Direct and program administrative costs of the measure to sponsor.  Separate costs for each sponsor.
Depends on share of costs incurred by sponsor, sponsor cost of capital, and financing term which are user-defined inputs.  Includes applicable Capital, O&amp;M, Periodic Replacement and Program Administrative costs.  Sponsor costs are levelized over program life.
Does not include any adjustments for benefit.
NOTE:  Units are per kWh for 'Electric' runs and per therm for 'Gas' runs for all sponsors.</t>
        </r>
      </text>
    </comment>
    <comment ref="CE115" authorId="1">
      <text>
        <r>
          <rPr>
            <sz val="9"/>
            <color indexed="81"/>
            <rFont val="Tahoma"/>
            <family val="2"/>
          </rPr>
          <t xml:space="preserve">All costs minus all benefits regardless of which sponsor incurs the cost or accrues the benefits.
TRC Net Levelized Cost includes all applicable costs and all benefits.  In addition to energy system costs and benefits, TRC Net Levelized Cost includes non-energy, other-fuel, O&amp;M, periodic-replacement and risk-mitigation benefits and costs.
TRC Net Levelized Cost corresponds to TRC B/C ratios with regard to the costs and benefits included.  Benefits are subtracted from costs, then levelized over the life of the measure.
The Risk-Mitigation credit is used to determine program cost-effectiveness and impacts both the TRC B/C ratio and the TRC Net Levelized Cost.  If Risk-Mitigation credit is non-zero, TRC Levelized Cost will be reduced by the risk-mitigation benefit.
When using ProCost to build conservation supply curves, the user should set the Risk-Mitigation Credit to zero so the credit is not reflected in the supply curves. </t>
        </r>
      </text>
    </comment>
    <comment ref="CW115"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List>
</comments>
</file>

<file path=xl/comments5.xml><?xml version="1.0" encoding="utf-8"?>
<comments xmlns="http://schemas.openxmlformats.org/spreadsheetml/2006/main">
  <authors>
    <author xml:space="preserve"> </author>
  </authors>
  <commentList>
    <comment ref="K4"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Q4"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C5"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D5"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E5"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F5" authorId="0">
      <text>
        <r>
          <rPr>
            <b/>
            <sz val="8"/>
            <color indexed="81"/>
            <rFont val="Tahoma"/>
            <family val="2"/>
          </rPr>
          <t xml:space="preserve"> :ProCost</t>
        </r>
        <r>
          <rPr>
            <sz val="8"/>
            <color indexed="81"/>
            <rFont val="Tahoma"/>
            <family val="2"/>
          </rPr>
          <t xml:space="preserve">
Physical life of the measure in years.  Must be &gt;=1.</t>
        </r>
      </text>
    </comment>
    <comment ref="G5"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H5"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I5"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J5"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K5"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L5"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M5"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N5"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O5"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P5"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Q5" authorId="0">
      <text>
        <r>
          <rPr>
            <b/>
            <sz val="8"/>
            <color indexed="81"/>
            <rFont val="Tahoma"/>
            <family val="2"/>
          </rPr>
          <t xml:space="preserve"> :</t>
        </r>
        <r>
          <rPr>
            <sz val="8"/>
            <color indexed="81"/>
            <rFont val="Tahoma"/>
            <family val="2"/>
          </rPr>
          <t xml:space="preserve">
Annual gas savings, or increases, in therms.</t>
        </r>
      </text>
    </comment>
    <comment ref="R5"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K145"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Q145"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C146"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D146"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E146"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F146" authorId="0">
      <text>
        <r>
          <rPr>
            <b/>
            <sz val="8"/>
            <color indexed="81"/>
            <rFont val="Tahoma"/>
            <family val="2"/>
          </rPr>
          <t xml:space="preserve"> :ProCost</t>
        </r>
        <r>
          <rPr>
            <sz val="8"/>
            <color indexed="81"/>
            <rFont val="Tahoma"/>
            <family val="2"/>
          </rPr>
          <t xml:space="preserve">
Physical life of the measure in years.  Must be &gt;=1.</t>
        </r>
      </text>
    </comment>
    <comment ref="G146"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H146"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I146"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J146"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K146"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L146"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M146"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N146"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O146"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P146"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Q146" authorId="0">
      <text>
        <r>
          <rPr>
            <b/>
            <sz val="8"/>
            <color indexed="81"/>
            <rFont val="Tahoma"/>
            <family val="2"/>
          </rPr>
          <t xml:space="preserve"> :</t>
        </r>
        <r>
          <rPr>
            <sz val="8"/>
            <color indexed="81"/>
            <rFont val="Tahoma"/>
            <family val="2"/>
          </rPr>
          <t xml:space="preserve">
Annual gas savings, or increases, in therms.</t>
        </r>
      </text>
    </comment>
    <comment ref="R146"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K249"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Q249"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C250"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D250"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E250"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F250" authorId="0">
      <text>
        <r>
          <rPr>
            <b/>
            <sz val="8"/>
            <color indexed="81"/>
            <rFont val="Tahoma"/>
            <family val="2"/>
          </rPr>
          <t xml:space="preserve"> :ProCost</t>
        </r>
        <r>
          <rPr>
            <sz val="8"/>
            <color indexed="81"/>
            <rFont val="Tahoma"/>
            <family val="2"/>
          </rPr>
          <t xml:space="preserve">
Physical life of the measure in years.  Must be &gt;=1.</t>
        </r>
      </text>
    </comment>
    <comment ref="G250"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H250"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I250"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J250"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K250"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L250"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M250"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N250"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O250"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P250"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Q250" authorId="0">
      <text>
        <r>
          <rPr>
            <b/>
            <sz val="8"/>
            <color indexed="81"/>
            <rFont val="Tahoma"/>
            <family val="2"/>
          </rPr>
          <t xml:space="preserve"> :</t>
        </r>
        <r>
          <rPr>
            <sz val="8"/>
            <color indexed="81"/>
            <rFont val="Tahoma"/>
            <family val="2"/>
          </rPr>
          <t xml:space="preserve">
Annual gas savings, or increases, in therms.</t>
        </r>
      </text>
    </comment>
    <comment ref="R250"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List>
</comments>
</file>

<file path=xl/comments6.xml><?xml version="1.0" encoding="utf-8"?>
<comments xmlns="http://schemas.openxmlformats.org/spreadsheetml/2006/main">
  <authors>
    <author xml:space="preserve"> </author>
  </authors>
  <commentList>
    <comment ref="J5"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P5"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B6"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C6"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D6"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E6" authorId="0">
      <text>
        <r>
          <rPr>
            <b/>
            <sz val="8"/>
            <color indexed="81"/>
            <rFont val="Tahoma"/>
            <family val="2"/>
          </rPr>
          <t xml:space="preserve"> :ProCost</t>
        </r>
        <r>
          <rPr>
            <sz val="8"/>
            <color indexed="81"/>
            <rFont val="Tahoma"/>
            <family val="2"/>
          </rPr>
          <t xml:space="preserve">
Physical life of the measure in years.  Must be &gt;=1.</t>
        </r>
      </text>
    </comment>
    <comment ref="F6"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G6"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H6"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I6"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J6"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K6"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L6"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M6"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N6"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O6"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P6" authorId="0">
      <text>
        <r>
          <rPr>
            <b/>
            <sz val="8"/>
            <color indexed="81"/>
            <rFont val="Tahoma"/>
            <family val="2"/>
          </rPr>
          <t xml:space="preserve"> :</t>
        </r>
        <r>
          <rPr>
            <sz val="8"/>
            <color indexed="81"/>
            <rFont val="Tahoma"/>
            <family val="2"/>
          </rPr>
          <t xml:space="preserve">
Annual gas savings, or increases, in therms.</t>
        </r>
      </text>
    </comment>
    <comment ref="Q6"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J88"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P88"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B89"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C89"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D89"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E89" authorId="0">
      <text>
        <r>
          <rPr>
            <b/>
            <sz val="8"/>
            <color indexed="81"/>
            <rFont val="Tahoma"/>
            <family val="2"/>
          </rPr>
          <t xml:space="preserve"> :ProCost</t>
        </r>
        <r>
          <rPr>
            <sz val="8"/>
            <color indexed="81"/>
            <rFont val="Tahoma"/>
            <family val="2"/>
          </rPr>
          <t xml:space="preserve">
Physical life of the measure in years.  Must be &gt;=1.</t>
        </r>
      </text>
    </comment>
    <comment ref="F89"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G89"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H89"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I89"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J89"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K89"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L89"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M89"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N89"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O89"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P89" authorId="0">
      <text>
        <r>
          <rPr>
            <b/>
            <sz val="8"/>
            <color indexed="81"/>
            <rFont val="Tahoma"/>
            <family val="2"/>
          </rPr>
          <t xml:space="preserve"> :</t>
        </r>
        <r>
          <rPr>
            <sz val="8"/>
            <color indexed="81"/>
            <rFont val="Tahoma"/>
            <family val="2"/>
          </rPr>
          <t xml:space="preserve">
Annual gas savings, or increases, in therms.</t>
        </r>
      </text>
    </comment>
    <comment ref="Q89"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List>
</comments>
</file>

<file path=xl/comments7.xml><?xml version="1.0" encoding="utf-8"?>
<comments xmlns="http://schemas.openxmlformats.org/spreadsheetml/2006/main">
  <authors>
    <author xml:space="preserve"> </author>
    <author>Hadley</author>
  </authors>
  <commentList>
    <comment ref="I6" authorId="0">
      <text>
        <r>
          <rPr>
            <b/>
            <sz val="8"/>
            <color indexed="81"/>
            <rFont val="Tahoma"/>
            <family val="2"/>
          </rPr>
          <t xml:space="preserve"> :ProCost</t>
        </r>
        <r>
          <rPr>
            <sz val="8"/>
            <color indexed="81"/>
            <rFont val="Tahoma"/>
            <family val="2"/>
          </rPr>
          <t xml:space="preserve">
Periodic replacement costs and savings of the measure.
These are costs and savings that occur periodically, but at different periods than annually.  
Can be positive or negative.  Periodic replacement costs for both the measure and the baseline measure should be included if applicable. 
ProCost can analyze these costs in two ways dependent on the 'Repeat Periodic Replacement'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per fixture must be replaced at years 6 and 11.  Lamp and labor costs, expressed as positive costs, are entered as a cost and the period would be entered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O6" authorId="0">
      <text>
        <r>
          <rPr>
            <b/>
            <sz val="8"/>
            <color indexed="81"/>
            <rFont val="Tahoma"/>
            <family val="2"/>
          </rPr>
          <t xml:space="preserve"> :ProCost</t>
        </r>
        <r>
          <rPr>
            <sz val="8"/>
            <color indexed="81"/>
            <rFont val="Tahoma"/>
            <family val="2"/>
          </rPr>
          <t xml:space="preserve">
If the measure has gas savings for increases, enter the annual savings and shape of the savings here.
Example:  Clothes washer saves electric motor and dryer energy and gas water heat.  </t>
        </r>
      </text>
    </comment>
    <comment ref="A7"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B7"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C7"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D7" authorId="0">
      <text>
        <r>
          <rPr>
            <b/>
            <sz val="8"/>
            <color indexed="81"/>
            <rFont val="Tahoma"/>
            <family val="2"/>
          </rPr>
          <t xml:space="preserve"> :ProCost</t>
        </r>
        <r>
          <rPr>
            <sz val="8"/>
            <color indexed="81"/>
            <rFont val="Tahoma"/>
            <family val="2"/>
          </rPr>
          <t xml:space="preserve">
Physical life of the measure in years.  Must be &gt;=1.</t>
        </r>
      </text>
    </comment>
    <comment ref="E7"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F7" authorId="0">
      <text>
        <r>
          <rPr>
            <b/>
            <sz val="8"/>
            <color indexed="81"/>
            <rFont val="Tahoma"/>
            <family val="2"/>
          </rPr>
          <t xml:space="preserve"> :ProCost</t>
        </r>
        <r>
          <rPr>
            <sz val="8"/>
            <color indexed="81"/>
            <rFont val="Tahoma"/>
            <family val="2"/>
          </rPr>
          <t xml:space="preserve">
Annual operations and maintenance cost for the measure in dollars.  Must be incremental cost over the baseline alternative.  May be positive, negative or zero.  
Dollars must be denominated in the same year as 'Input Cost Reference Year' input on the ProData page. 
O&amp;M costs are entered as positive values.    Negative values represent O&amp;M savings compared to the baseline alternative. 
Example:  Annualized maintenance cost for a heat pump heating system compared to a baseline electric resistance  heating system.
</t>
        </r>
      </text>
    </comment>
    <comment ref="G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H7"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I7"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J7"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K7"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L7"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M7"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N7"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O7" authorId="0">
      <text>
        <r>
          <rPr>
            <b/>
            <sz val="8"/>
            <color indexed="81"/>
            <rFont val="Tahoma"/>
            <family val="2"/>
          </rPr>
          <t xml:space="preserve"> :</t>
        </r>
        <r>
          <rPr>
            <sz val="8"/>
            <color indexed="81"/>
            <rFont val="Tahoma"/>
            <family val="2"/>
          </rPr>
          <t xml:space="preserve">
Annual gas savings, or increases, in therms.</t>
        </r>
      </text>
    </comment>
    <comment ref="P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shapes are in the MC_AND_Loadshape file.   
</t>
        </r>
      </text>
    </comment>
    <comment ref="BH148"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M148" authorId="1">
      <text>
        <r>
          <rPr>
            <sz val="9"/>
            <color indexed="81"/>
            <rFont val="Tahoma"/>
            <family val="2"/>
          </rPr>
          <t>Direct and program administrative costs of the measure to sponsor.  Separate costs for each sponsor.
Depends on share of costs incurred by sponsor, sponsor cost of capital, and financing term which are user-defined inputs.  Includes applicable Capital, O&amp;M, Periodic Replacement and Program Administrative costs.  Sponsor costs are levelized over program life.
Does not include any adjustments for benefit.
NOTE:  Units are per kWh for 'Electric' runs and per therm for 'Gas' runs for all sponsors.</t>
        </r>
      </text>
    </comment>
    <comment ref="CE148" authorId="1">
      <text>
        <r>
          <rPr>
            <sz val="9"/>
            <color indexed="81"/>
            <rFont val="Tahoma"/>
            <family val="2"/>
          </rPr>
          <t xml:space="preserve">All costs minus all benefits regardless of which sponsor incurs the cost or accrues the benefits.
TRC Net Levelized Cost includes all applicable costs and all benefits.  In addition to energy system costs and benefits, TRC Net Levelized Cost includes non-energy, other-fuel, O&amp;M, periodic-replacement and risk-mitigation benefits and costs.
TRC Net Levelized Cost corresponds to TRC B/C ratios with regard to the costs and benefits included.  Benefits are subtracted from costs, then levelized over the life of the measure.
The Risk-Mitigation credit is used to determine program cost-effectiveness and impacts both the TRC B/C ratio and the TRC Net Levelized Cost.  If Risk-Mitigation credit is non-zero, TRC Levelized Cost will be reduced by the risk-mitigation benefit.
When using ProCost to build conservation supply curves, the user should set the Risk-Mitigation Credit to zero so the credit is not reflected in the supply curves. </t>
        </r>
      </text>
    </comment>
    <comment ref="CW148"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List>
</comments>
</file>

<file path=xl/comments8.xml><?xml version="1.0" encoding="utf-8"?>
<comments xmlns="http://schemas.openxmlformats.org/spreadsheetml/2006/main">
  <authors>
    <author>Tom Eckman</author>
  </authors>
  <commentList>
    <comment ref="A30" authorId="0">
      <text>
        <r>
          <rPr>
            <b/>
            <sz val="8"/>
            <color indexed="81"/>
            <rFont val="Tahoma"/>
            <family val="2"/>
          </rPr>
          <t>Tom Eckman:</t>
        </r>
        <r>
          <rPr>
            <sz val="8"/>
            <color indexed="81"/>
            <rFont val="Tahoma"/>
            <family val="2"/>
          </rPr>
          <t xml:space="preserve">
Description of conservation or renewable resource technology, measure or practice.</t>
        </r>
      </text>
    </comment>
  </commentList>
</comments>
</file>

<file path=xl/comments9.xml><?xml version="1.0" encoding="utf-8"?>
<comments xmlns="http://schemas.openxmlformats.org/spreadsheetml/2006/main">
  <authors>
    <author>Ben Larson</author>
  </authors>
  <commentList>
    <comment ref="A26" authorId="0">
      <text>
        <r>
          <rPr>
            <b/>
            <sz val="9"/>
            <color indexed="81"/>
            <rFont val="Tahoma"/>
            <family val="2"/>
          </rPr>
          <t>Ben Larson:</t>
        </r>
        <r>
          <rPr>
            <sz val="9"/>
            <color indexed="81"/>
            <rFont val="Tahoma"/>
            <family val="2"/>
          </rPr>
          <t xml:space="preserve">
Capital cost determined with survey of major national retail chain stores so we don't expect a price variation by cooling zone</t>
        </r>
      </text>
    </comment>
    <comment ref="A35" authorId="0">
      <text>
        <r>
          <rPr>
            <b/>
            <sz val="9"/>
            <color indexed="81"/>
            <rFont val="Tahoma"/>
            <family val="2"/>
          </rPr>
          <t>Ben Larson:</t>
        </r>
        <r>
          <rPr>
            <sz val="9"/>
            <color indexed="81"/>
            <rFont val="Tahoma"/>
            <family val="2"/>
          </rPr>
          <t xml:space="preserve">
Previous year's summary data appear to be published in late September. 2011 is the latest full year for which data are available.</t>
        </r>
      </text>
    </comment>
  </commentList>
</comments>
</file>

<file path=xl/sharedStrings.xml><?xml version="1.0" encoding="utf-8"?>
<sst xmlns="http://schemas.openxmlformats.org/spreadsheetml/2006/main" count="3559" uniqueCount="922">
  <si>
    <t>Data Set Name</t>
  </si>
  <si>
    <t>Measure Index Name</t>
  </si>
  <si>
    <t>Costs must be denominated in the same year as 'Input Cost Reference Year' =</t>
  </si>
  <si>
    <t>Input Data</t>
  </si>
  <si>
    <t>Periodic Replacement Costs and Savings and Replacement Period</t>
  </si>
  <si>
    <t>Gas Inputs</t>
  </si>
  <si>
    <t>Category Name</t>
  </si>
  <si>
    <t>Measure Name</t>
  </si>
  <si>
    <t>Savings (kwh/yr)</t>
  </si>
  <si>
    <t>Life (yrs)</t>
  </si>
  <si>
    <t>Capital Cost</t>
  </si>
  <si>
    <t>Annual O&amp;M</t>
  </si>
  <si>
    <t>Shape Pointer</t>
  </si>
  <si>
    <t>Non-E Val ($/yr)</t>
  </si>
  <si>
    <t>Cost 1 ($)</t>
  </si>
  <si>
    <t xml:space="preserve">Period 1 </t>
  </si>
  <si>
    <t>Cost 2 ($)</t>
  </si>
  <si>
    <t>Period 2</t>
  </si>
  <si>
    <t>Cost 3 ($)</t>
  </si>
  <si>
    <t>Period 3</t>
  </si>
  <si>
    <t>Savings (therms/yr)</t>
  </si>
  <si>
    <t>Category</t>
  </si>
  <si>
    <t>Measure</t>
  </si>
  <si>
    <t>TRC B/C Ratio</t>
  </si>
  <si>
    <t>TRC Net Levelized Cost (Net of All Benefits) in mills/kWh</t>
  </si>
  <si>
    <t>First Cost</t>
  </si>
  <si>
    <t>Admin Cost</t>
  </si>
  <si>
    <t>First Year Program Cost</t>
  </si>
  <si>
    <t>PV Cost</t>
  </si>
  <si>
    <t>PV Benefits</t>
  </si>
  <si>
    <t>Unit Program Cost: First Year Program Cost in $/average annual kW saved</t>
  </si>
  <si>
    <t>Utility System Net Levelized Cost (Net of T&amp;D Capacity Benefits, Act Credit &amp; Risk-Mitigation) in mills/kWh</t>
  </si>
  <si>
    <t>Net Electric &amp; Gas System CO2 Avoided (Lifetime Tons)</t>
  </si>
  <si>
    <t>Jan</t>
  </si>
  <si>
    <t>Feb</t>
  </si>
  <si>
    <t>Mar</t>
  </si>
  <si>
    <t>Apr</t>
  </si>
  <si>
    <t>May</t>
  </si>
  <si>
    <t>Jun</t>
  </si>
  <si>
    <t>Jul</t>
  </si>
  <si>
    <t>Aug</t>
  </si>
  <si>
    <t>Sep</t>
  </si>
  <si>
    <t>Oct</t>
  </si>
  <si>
    <t>Nov</t>
  </si>
  <si>
    <t>Dec</t>
  </si>
  <si>
    <t>Shaped Savings Results; By Category and sorted by TRC BC ratio</t>
  </si>
  <si>
    <t>Busbar Savings</t>
  </si>
  <si>
    <t>Concatenate</t>
  </si>
  <si>
    <t>Vintage</t>
  </si>
  <si>
    <t>Single Family</t>
  </si>
  <si>
    <t>Multifamily - Low Rise</t>
  </si>
  <si>
    <t>Multifamily - High Rise</t>
  </si>
  <si>
    <t>Manufactured</t>
  </si>
  <si>
    <t>Measure  Index</t>
  </si>
  <si>
    <t>Methodology</t>
  </si>
  <si>
    <t>Measure Bundle</t>
  </si>
  <si>
    <t>Report Year</t>
  </si>
  <si>
    <t>REG_TOTAL_STOCK_# HOMES</t>
  </si>
  <si>
    <t>Total Regional Stock</t>
  </si>
  <si>
    <t>Applicability</t>
  </si>
  <si>
    <t>MAX</t>
  </si>
  <si>
    <t>Achievability =&gt;</t>
  </si>
  <si>
    <t>SUPPLY CURVE SAVINGS BY BUNDLE</t>
  </si>
  <si>
    <t>kWh per home</t>
  </si>
  <si>
    <t>lvlcost</t>
  </si>
  <si>
    <t>segment</t>
  </si>
  <si>
    <t>measure</t>
  </si>
  <si>
    <t>RECOMBINE MEASURE BUNDLES INTO SUPPLY CURVE CUMULATIVE</t>
  </si>
  <si>
    <t>Block 1: &lt;= 0 mills/kWh</t>
  </si>
  <si>
    <t>&gt;=-9999</t>
  </si>
  <si>
    <t>&lt;=0</t>
  </si>
  <si>
    <t>Block 2: &lt;= 10 mills/kWh</t>
  </si>
  <si>
    <t>&gt;0</t>
  </si>
  <si>
    <t>&lt;=10</t>
  </si>
  <si>
    <t>Block 3: 10-20 mills/kWh</t>
  </si>
  <si>
    <t>&gt;10</t>
  </si>
  <si>
    <t>&lt;=20</t>
  </si>
  <si>
    <t>Block 4: 20-30 mills/kWh</t>
  </si>
  <si>
    <t>&gt;20</t>
  </si>
  <si>
    <t>&lt;=30</t>
  </si>
  <si>
    <t>Block 5: 30-40 mills/kWh</t>
  </si>
  <si>
    <t>&gt;30</t>
  </si>
  <si>
    <t>&lt;=40</t>
  </si>
  <si>
    <t>Block 6: 40-50 mills/kWh</t>
  </si>
  <si>
    <t>&gt;40</t>
  </si>
  <si>
    <t>&lt;=50</t>
  </si>
  <si>
    <t>Block 7: 50-60 mills/kWh</t>
  </si>
  <si>
    <t>&gt;50</t>
  </si>
  <si>
    <t>&lt;=60</t>
  </si>
  <si>
    <t>Block 8: 60-70 mills/kWh</t>
  </si>
  <si>
    <t>&gt;60</t>
  </si>
  <si>
    <t>&lt;=70</t>
  </si>
  <si>
    <t>Block 9: 70-80 mills/kWh</t>
  </si>
  <si>
    <t>&gt;70</t>
  </si>
  <si>
    <t>&lt;=80</t>
  </si>
  <si>
    <t>Block 10: 80-90 mills/kWh</t>
  </si>
  <si>
    <t>&gt;80</t>
  </si>
  <si>
    <t>&lt;=90</t>
  </si>
  <si>
    <t>Block 11: 90-100 mills/kWh</t>
  </si>
  <si>
    <t>&gt;90</t>
  </si>
  <si>
    <t>&lt;=100</t>
  </si>
  <si>
    <t>Block 12: 100-110 mills/kWh</t>
  </si>
  <si>
    <t>&gt;100</t>
  </si>
  <si>
    <t>&lt;=110</t>
  </si>
  <si>
    <t>Block 13: 110-120 mills/kWh</t>
  </si>
  <si>
    <t>&gt;110</t>
  </si>
  <si>
    <t>&lt;=120</t>
  </si>
  <si>
    <t>Block 14: 120-130 mills/kWh</t>
  </si>
  <si>
    <t>&gt;120</t>
  </si>
  <si>
    <t>&lt;=130</t>
  </si>
  <si>
    <t>Block 15: 130-140 mills/kWh</t>
  </si>
  <si>
    <t>&gt;130</t>
  </si>
  <si>
    <t>&lt;=140</t>
  </si>
  <si>
    <t>Block 16: 140-150 mills/kWh</t>
  </si>
  <si>
    <t>&gt;140</t>
  </si>
  <si>
    <t>&lt;=150</t>
  </si>
  <si>
    <t>Block 17: 150-160 mills/kWh</t>
  </si>
  <si>
    <t>&gt;150</t>
  </si>
  <si>
    <t>&lt;=160</t>
  </si>
  <si>
    <t>Block 18: 160-170 mills/kWh</t>
  </si>
  <si>
    <t>&gt;160</t>
  </si>
  <si>
    <t>&lt;=170</t>
  </si>
  <si>
    <t>Block 19: 170-180 mills/kWh</t>
  </si>
  <si>
    <t>&gt;170</t>
  </si>
  <si>
    <t>&lt;=180</t>
  </si>
  <si>
    <t>Block 20: 180-190 mills/kWh</t>
  </si>
  <si>
    <t>&gt;180</t>
  </si>
  <si>
    <t>&lt;=190</t>
  </si>
  <si>
    <t>Block 21: 190-200 mills/kWh</t>
  </si>
  <si>
    <t>&gt;190</t>
  </si>
  <si>
    <t>&lt;=200</t>
  </si>
  <si>
    <t>Block 22: &gt; 200 mills/kWh</t>
  </si>
  <si>
    <t>&gt;200</t>
  </si>
  <si>
    <t>&lt;=9999</t>
  </si>
  <si>
    <t>RECOMBINE MEASURE BUNDLES INTO SUPPLY CURVE INCREMENTAL</t>
  </si>
  <si>
    <t>Total per Year</t>
  </si>
  <si>
    <t>Total Cumulative</t>
  </si>
  <si>
    <t>='[7P Forecasts D1.xlsx]Res Forecast (Base Case)'!$D$5</t>
  </si>
  <si>
    <t>Measure Life</t>
  </si>
  <si>
    <t>Saturation</t>
  </si>
  <si>
    <t>Measure:</t>
  </si>
  <si>
    <t>Item</t>
  </si>
  <si>
    <t>Methods &amp; Sources</t>
  </si>
  <si>
    <t>Note</t>
  </si>
  <si>
    <t>7P Updates</t>
  </si>
  <si>
    <t>Measures Described</t>
  </si>
  <si>
    <t>Applicable Stock</t>
  </si>
  <si>
    <t>Baseline Saturation</t>
  </si>
  <si>
    <t>Permutations</t>
  </si>
  <si>
    <t>Savings Shape</t>
  </si>
  <si>
    <t>Achievable Ramp Rate</t>
  </si>
  <si>
    <t>Retro or LO</t>
  </si>
  <si>
    <t>Early Retrofit Parameters</t>
  </si>
  <si>
    <t>R or L</t>
  </si>
  <si>
    <t>Savings 2
(kWh)</t>
  </si>
  <si>
    <t>Remaining
Life (yrs)</t>
  </si>
  <si>
    <t>Salvage Value ($)</t>
  </si>
  <si>
    <t>aMW</t>
  </si>
  <si>
    <t>Existing</t>
  </si>
  <si>
    <t>ProCost Results</t>
  </si>
  <si>
    <t xml:space="preserve">Version:    </t>
  </si>
  <si>
    <t>ProCost 3.0 - Beta04</t>
  </si>
  <si>
    <t>Run Time:</t>
  </si>
  <si>
    <t>Regurgitation of ProData input parameters which were used for this run</t>
  </si>
  <si>
    <t>Run Parameters</t>
  </si>
  <si>
    <t>Marginal Cost &amp; Conservation Load Shape Parameters</t>
  </si>
  <si>
    <t>Sponsor Parameters</t>
  </si>
  <si>
    <t>Program Parameters</t>
  </si>
  <si>
    <t>Utility System Parameters</t>
  </si>
  <si>
    <t>Run Type</t>
  </si>
  <si>
    <t>Electric</t>
  </si>
  <si>
    <t>Marginal Costs and Savings Shape File</t>
  </si>
  <si>
    <t>6P MidC Final (with carbon)</t>
  </si>
  <si>
    <t>Customer</t>
  </si>
  <si>
    <t>Wholesale Elec</t>
  </si>
  <si>
    <t>Retail Elec</t>
  </si>
  <si>
    <t>Nat Gas</t>
  </si>
  <si>
    <t>Program Life (yrs)</t>
  </si>
  <si>
    <t>Gas</t>
  </si>
  <si>
    <t>Negative B/C Ratios</t>
  </si>
  <si>
    <t>Off</t>
  </si>
  <si>
    <t>Marginal Elec Avoided Cost Input Worksheet</t>
  </si>
  <si>
    <t>7P Mid</t>
  </si>
  <si>
    <t>Conservation Load Shapes</t>
  </si>
  <si>
    <t>Real After-Tax Cost of Capital</t>
  </si>
  <si>
    <t>Program Start Date</t>
  </si>
  <si>
    <t>Bulk System T&amp;D Loss Factor</t>
  </si>
  <si>
    <t>Admin Cost @ Category Level</t>
  </si>
  <si>
    <t>On</t>
  </si>
  <si>
    <t>Elec Savings Shape Input Worksheet</t>
  </si>
  <si>
    <t>GLSShapes</t>
  </si>
  <si>
    <t>6P_Gas_Final</t>
  </si>
  <si>
    <t>Financial Life (years)</t>
  </si>
  <si>
    <t>Present Value Time Zero</t>
  </si>
  <si>
    <t>Bulk System T&amp;D Credit ($/kw-yr)($/dailytherm-yr)</t>
  </si>
  <si>
    <t xml:space="preserve">Repeat Periodic Replacement </t>
  </si>
  <si>
    <t>Marginal Gas Avoided Cost Input Worksheet</t>
  </si>
  <si>
    <t>7P Gas</t>
  </si>
  <si>
    <t>Input Cost Reference Year</t>
  </si>
  <si>
    <t>Bulk System T&amp;D I2R Loss Component (%)</t>
  </si>
  <si>
    <t>N/A</t>
  </si>
  <si>
    <t>Gas Savings Shape Input Worksheet</t>
  </si>
  <si>
    <t xml:space="preserve">Sponsor Share of Initial Capital Cost </t>
  </si>
  <si>
    <t>Real Discount Rate</t>
  </si>
  <si>
    <t>Local System Dist Loss Factor</t>
  </si>
  <si>
    <t>Run Type:</t>
  </si>
  <si>
    <t>Marginal Elec CO2 per kWh Input Worksheet</t>
  </si>
  <si>
    <t>CO2 lbs per kWh .95</t>
  </si>
  <si>
    <t>CO2 lbs per therm</t>
  </si>
  <si>
    <t>Sponsor Share of Annual O&amp;M</t>
  </si>
  <si>
    <t>Capital Real Escalation Rate</t>
  </si>
  <si>
    <t>Local System Dist Credit ($/kw-yr)($/dailytherm-yr)</t>
  </si>
  <si>
    <t>Negative B/C Ratios:</t>
  </si>
  <si>
    <t>False:  (Converts Negative B/C Ratios)</t>
  </si>
  <si>
    <t>Marginal Gas CO2 per therm Input Worksheet</t>
  </si>
  <si>
    <t>Zero Dollars per ton CO2</t>
  </si>
  <si>
    <t>Sponsor Share of Periodic Replacement Cost</t>
  </si>
  <si>
    <t>Admin Cost (as % of Initial Capital Cost)</t>
  </si>
  <si>
    <t>Local System Dist I2R Loss Component (%)</t>
  </si>
  <si>
    <t>Admin Cost / Category Level:</t>
  </si>
  <si>
    <t>True:  Admin Costs added at Category Results</t>
  </si>
  <si>
    <t>Marginal Avoided Cost CO2 Input Worksheet</t>
  </si>
  <si>
    <t>LineLossShapes</t>
  </si>
  <si>
    <t>Sponsor Share of Admin Cost</t>
  </si>
  <si>
    <t>Regional Act Conservation Credit (%)</t>
  </si>
  <si>
    <t>Risk-Mitigation Credit (mills/kWh)(mills/therm) - Retro.</t>
  </si>
  <si>
    <t>Periodic O&amp;M Treatment:</t>
  </si>
  <si>
    <t>True:  (Periodic O&amp;M Repeats over measure life)</t>
  </si>
  <si>
    <t>Line Loss Shape Input Worksheet</t>
  </si>
  <si>
    <t>Last Year of Non-Customer O&amp;M &amp; Period Replacement</t>
  </si>
  <si>
    <t>Report Annual Carbon Saved for Year</t>
  </si>
  <si>
    <t>Risk-Mitigation Credit (mills/kWh)(mills/therm) - Lost Op.</t>
  </si>
  <si>
    <t>Measure Results; Sorted in same order as input</t>
  </si>
  <si>
    <t>Total Results</t>
  </si>
  <si>
    <t>Measure Input Data</t>
  </si>
  <si>
    <t>Savings</t>
  </si>
  <si>
    <t>PV Capital</t>
  </si>
  <si>
    <t>PV Admin</t>
  </si>
  <si>
    <t>PV O&amp;M</t>
  </si>
  <si>
    <t>PV Periodic Repl.</t>
  </si>
  <si>
    <t>Total PV Capital, O&amp;M and Periodic Repl Costs</t>
  </si>
  <si>
    <t>PV Wholesale Electric Utility Costs &amp; Benefits</t>
  </si>
  <si>
    <t>PV Retail Electric Utility Costs &amp; Benefits</t>
  </si>
  <si>
    <t>PV Electric Utility System Costs &amp; Benefits</t>
  </si>
  <si>
    <t>Electric Utility System Economics</t>
  </si>
  <si>
    <t>Sponsor Levelized Cost (mills/kwh)</t>
  </si>
  <si>
    <t>PV Regional Costs &amp; Benefits</t>
  </si>
  <si>
    <t>TRC Economics</t>
  </si>
  <si>
    <t>Physical CO2</t>
  </si>
  <si>
    <t>PV Gas Utility System Costs &amp; Benefits</t>
  </si>
  <si>
    <t>Gas Utility System Economics</t>
  </si>
  <si>
    <t>Site Savings (kWh)</t>
  </si>
  <si>
    <t>Site Savings (therms)</t>
  </si>
  <si>
    <t>Capital Cost ($/unit)</t>
  </si>
  <si>
    <t>Annual O&amp;M Cost ($/unit)</t>
  </si>
  <si>
    <t>PV Per. Repl. Cost ($/unit)</t>
  </si>
  <si>
    <t>Load Shape (electric)</t>
  </si>
  <si>
    <t>Diversified Load Factor (electric)</t>
  </si>
  <si>
    <t>Wholesale Power Coincidence Factor (electric)</t>
  </si>
  <si>
    <t>Wholesale Electric Energy (kWh)</t>
  </si>
  <si>
    <t>Wholesale Electric Demand (kw)</t>
  </si>
  <si>
    <t>Retail Electric Demand (kW)</t>
  </si>
  <si>
    <t>Wholesale Gas Energy (therms/yr)</t>
  </si>
  <si>
    <t>Wholesale Gas Demand (therms/day)</t>
  </si>
  <si>
    <t>Retail Gas Demand (therms/day)</t>
  </si>
  <si>
    <t>Wholesale Electric</t>
  </si>
  <si>
    <t>Retail Electric</t>
  </si>
  <si>
    <t>Natural Gas</t>
  </si>
  <si>
    <t>Total</t>
  </si>
  <si>
    <t>Wholesale Utility System Energy</t>
  </si>
  <si>
    <t>Wholesale Utility System T&amp;D Def. Cap.</t>
  </si>
  <si>
    <t>Wholesale Utility System Act C-E Credit</t>
  </si>
  <si>
    <t>Wholesale Utility System Risk Mitigation Benefit</t>
  </si>
  <si>
    <t>Wholesale Utility System Total System Benefit</t>
  </si>
  <si>
    <t>Wholesale Utility System Total Non-Consumer Cost</t>
  </si>
  <si>
    <t>Wholesale Utility System B/C Ratio</t>
  </si>
  <si>
    <t>Retail Utility System Energy</t>
  </si>
  <si>
    <t>Retail Utility System T&amp;D Def. Cap.</t>
  </si>
  <si>
    <t>Retail Utility System Act C-E Credit</t>
  </si>
  <si>
    <t>Retail Utility System Risk Mitigation Benefit</t>
  </si>
  <si>
    <t>Retail Utility System Total System Benefit</t>
  </si>
  <si>
    <t>Retail Utility System Total Non-Consumer Cost</t>
  </si>
  <si>
    <t>Retail Utility System System B/C Ratio</t>
  </si>
  <si>
    <t>Utility System Energy</t>
  </si>
  <si>
    <t>Utility System T&amp;D Def. Cap.</t>
  </si>
  <si>
    <t>Utility System Act C-E Credit</t>
  </si>
  <si>
    <t>Utility System Total Risk Mitigation Benefit</t>
  </si>
  <si>
    <t>Utility System Total System Benefit</t>
  </si>
  <si>
    <t>Utility System Total Non-Consumer Cost</t>
  </si>
  <si>
    <t>Utility System Net Levelized Cost (Net of Elec T&amp;D Capacity Benefits, Act Credit &amp; Risk-Mitigation Benefit) in mills/kwh</t>
  </si>
  <si>
    <t>Utility System System B/C Ratio</t>
  </si>
  <si>
    <t>Wholesale Electric Levelized Cost</t>
  </si>
  <si>
    <t>Retail Electric Levelized Cost</t>
  </si>
  <si>
    <t>Natural Gas Levelized Cost</t>
  </si>
  <si>
    <t>Customer Levelized Cost</t>
  </si>
  <si>
    <t>Total Levelized Cost</t>
  </si>
  <si>
    <t>PV Regional Electric Energy</t>
  </si>
  <si>
    <t>PV Regional Gas Energy</t>
  </si>
  <si>
    <t>PV Regional Electric T&amp;D Def. Cap.</t>
  </si>
  <si>
    <t>PV Regional Gas T&amp;D Def. Cap.</t>
  </si>
  <si>
    <t>PV Regional Electric System CO2</t>
  </si>
  <si>
    <t>PV Regional Gas System CO2</t>
  </si>
  <si>
    <t>PV Regional Electric System Risk-Mitigation Benefit</t>
  </si>
  <si>
    <t>PV Regional Gas System Risk-Mitigation Benefit</t>
  </si>
  <si>
    <t>PV Regional Non-E Value</t>
  </si>
  <si>
    <t>PV Regional Act Credit</t>
  </si>
  <si>
    <t>PV Regional Capital Cost</t>
  </si>
  <si>
    <t>PV Regional Admin Cost</t>
  </si>
  <si>
    <t>PV Regional Annual O&amp;M Cost</t>
  </si>
  <si>
    <t>PV Regional Periodic Replacement Cost</t>
  </si>
  <si>
    <t>PV Total Regional Benefit</t>
  </si>
  <si>
    <t>PV Total Regional Cost</t>
  </si>
  <si>
    <t>Electric System CO2 Avoided (Lifetime Tons)</t>
  </si>
  <si>
    <t>Gas System CO2 Avoided (Lifetime Tons)</t>
  </si>
  <si>
    <t>Total System CO2 Avoided (Lifetime Tons)</t>
  </si>
  <si>
    <t>Electric System CO2 Avoided (Annual Tons in 2018)</t>
  </si>
  <si>
    <t>Gas System CO2 Avoided (Annual Tons in 2018)</t>
  </si>
  <si>
    <t>Total System CO2 Avoided (Annual Tons in 2018)</t>
  </si>
  <si>
    <t>Gas Site Savings (therms)</t>
  </si>
  <si>
    <t>Load Shape (gas)</t>
  </si>
  <si>
    <t>Diversitfied Load Factor (gas)</t>
  </si>
  <si>
    <t>Wholesale Coincidence Factor (gas)</t>
  </si>
  <si>
    <t>Total Gas Utility System Energy</t>
  </si>
  <si>
    <t>Gas Utility System T&amp;D Def. Cap.</t>
  </si>
  <si>
    <t>Gas Utility System Risk Mitigation Benefit</t>
  </si>
  <si>
    <t>Gas Utility System Total System Benefit</t>
  </si>
  <si>
    <t>Gas Utility System Total Non-Consumer Cost</t>
  </si>
  <si>
    <t>Gas Utility System Net Levelized Cost (Net of Gas T&amp;D Capacity Benefits &amp; Risk-Mitigation Benefits) in cents/therm</t>
  </si>
  <si>
    <t>Gas Utility System System B/C Ratio</t>
  </si>
  <si>
    <t>(na)</t>
  </si>
  <si>
    <t>Category Results; Sorted by TRC Levelized Cost</t>
  </si>
  <si>
    <t>Supply Curve Results; Categories sorted by TRC Net Levelized Cost</t>
  </si>
  <si>
    <t>Totals for Categories with Benefits Exceeding Costs.    Levelized cost is TRC Net Levelized Cost (Net of Benefits)</t>
  </si>
  <si>
    <t>Totals Basis</t>
  </si>
  <si>
    <t>Busbar Electric Savings in kWh</t>
  </si>
  <si>
    <t>Measures with B/C &gt; 1.00</t>
  </si>
  <si>
    <t>Categories with B/C &gt; 1.00</t>
  </si>
  <si>
    <t>Supply Curve Results:  By TRC Net Levelized Cost - Net of Benefits</t>
  </si>
  <si>
    <t>ResSpHtHPZ1</t>
  </si>
  <si>
    <t>ResSpHtHPZ2</t>
  </si>
  <si>
    <t>ResSpHtHPZ3</t>
  </si>
  <si>
    <t>GDP Deflator</t>
  </si>
  <si>
    <t xml:space="preserve">Methodology:  For the Natural Replacement case.  Start with 2015 Stock decayed over time for demolition and retirement.  Add the New stock not addressed by the New Building Programs.  Then apply natural turnover rate based on measure life. The rate is the annual fraction of the stock that is replaced in any year.  Also apply the achievable penetration rate by year and the measure applicability factor.  Achievable penetration includes program ramp up.  The applicability factor represents the portion of the available stock that the measure applies to which is 100percent minus the baseline fraction that is doing the measure absent program.  The product is the annual available # of homes.  Number of homes times savings per home for aMW potential available by year for each type.  Turnover Rate, Achievable Penetration Rate and Applicability Factor are looked up from ResMaster.  Savings available for the retrofit measure apply only to the non-NR residual # of homes at the 20th year.  </t>
  </si>
  <si>
    <t>NR</t>
  </si>
  <si>
    <t># Homes FOR EXISTING STOCK</t>
  </si>
  <si>
    <t># Homes NOT TREATED FROM NEW STOCK AND THUS AVAILABLE FOR NR POOL FROM SC-NEW</t>
  </si>
  <si>
    <t>ONLY INCLUDE AFTER ONE EUL</t>
  </si>
  <si>
    <t>New Stock into NR/Retro Pool</t>
  </si>
  <si>
    <t>EXISTING STOCK AVAILABLE TO NR/RETROFIT POOL</t>
  </si>
  <si>
    <t>APPLY MEASURE APPLICABILITY, SATURATION TURNOVER RATE FOR MAX ANNUAL # UNITS</t>
  </si>
  <si>
    <t>Turnover Rate</t>
  </si>
  <si>
    <t>INCREMENTAL ACHIEVABILITY</t>
  </si>
  <si>
    <t>&gt;210</t>
  </si>
  <si>
    <t>&gt;220</t>
  </si>
  <si>
    <t>&gt;230</t>
  </si>
  <si>
    <t>&gt;240</t>
  </si>
  <si>
    <t>&gt;250</t>
  </si>
  <si>
    <t>&gt;260</t>
  </si>
  <si>
    <t>&gt;270</t>
  </si>
  <si>
    <t>&gt;280</t>
  </si>
  <si>
    <t>&gt;290</t>
  </si>
  <si>
    <t>&gt;300</t>
  </si>
  <si>
    <t>&lt;=210</t>
  </si>
  <si>
    <t>&lt;=220</t>
  </si>
  <si>
    <t>&lt;=230</t>
  </si>
  <si>
    <t>&lt;=240</t>
  </si>
  <si>
    <t>&lt;=250</t>
  </si>
  <si>
    <t>&lt;=260</t>
  </si>
  <si>
    <t>&lt;=270</t>
  </si>
  <si>
    <t>&lt;=280</t>
  </si>
  <si>
    <t>&lt;=290</t>
  </si>
  <si>
    <t>&lt;=300</t>
  </si>
  <si>
    <t>Block 22: 200-210 mills/kWh</t>
  </si>
  <si>
    <t>Block 23: 210-220 mills/kWh</t>
  </si>
  <si>
    <t>Block 24: 220-230 mills/kWh</t>
  </si>
  <si>
    <t>Block 25: 230-240 mills/kWh</t>
  </si>
  <si>
    <t>Block 26: 240-250 mills/kWh</t>
  </si>
  <si>
    <t>Block 27: 250-260 mills/kWh</t>
  </si>
  <si>
    <t>Block 28: 260-270 mills/kWh</t>
  </si>
  <si>
    <t>Block 29: 270-280 mills/kWh</t>
  </si>
  <si>
    <t>Block 30: 280-290 mills/kWh</t>
  </si>
  <si>
    <t>Block 31: 290-300 mills/kWh</t>
  </si>
  <si>
    <t>Block 32: &gt; 300 mills/kWh</t>
  </si>
  <si>
    <t>RBSA</t>
  </si>
  <si>
    <t>R-All-HVAC-CAC-All-All-E</t>
  </si>
  <si>
    <t>R-All-HVAC-ASHP-All-All-E</t>
  </si>
  <si>
    <t>Heating Savings</t>
  </si>
  <si>
    <t>Cooling Savings</t>
  </si>
  <si>
    <t>Electric System CO2 Avoided (Annual Tons in 2020)</t>
  </si>
  <si>
    <t>Gas System CO2 Avoided (Annual Tons in 2020)</t>
  </si>
  <si>
    <t>Total System CO2 Avoided (Annual Tons in 2020)</t>
  </si>
  <si>
    <t>Existing Single Family Home HVAC Conversion - Convert FAF w/CAC to Heat Pump - House with "Good Insulation" - Heating Zone 1</t>
  </si>
  <si>
    <t>Existing Single Family Home HVAC Conversion - Convert FAF w/CAC to Heat Pump - House with "Good Insulation" - Heating Zone 2</t>
  </si>
  <si>
    <t>Existing Single Family Home HVAC Conversion - Convert FAF w/CAC to Heat Pump - House with "Good Insulation" - Heating Zone 3</t>
  </si>
  <si>
    <t>Existing Single Family Home HVAC Conversion - Convert FAF w/CAC to Heat Pump - House with "Fair Insulation" - Heating Zone 1</t>
  </si>
  <si>
    <t>Existing Single Family Home HVAC Conversion - Convert FAF w/CAC to Heat Pump - House with "Fair Insulation" - Heating Zone 2</t>
  </si>
  <si>
    <t>Existing Single Family Home HVAC Conversion - Convert FAF w/CAC to Heat Pump - House with "Fair Insulation" - Heating Zone 3</t>
  </si>
  <si>
    <t>Existing Single Family Home HVAC Conversion - Convert FAF w/CAC to Heat Pump - House with "Poor Insulation" - Heating Zone 1</t>
  </si>
  <si>
    <t>Existing Single Family Home HVAC Conversion - Convert FAF w/CAC to Heat Pump - House with "Poor Insulation" - Heating Zone 2</t>
  </si>
  <si>
    <t>Existing Single Family Home HVAC Conversion - Convert FAF w/CAC to Heat Pump - House with "Poor Insulation" - Heating Zone 3</t>
  </si>
  <si>
    <t>Existing Single Family Home HVAC Conversion - Convert FAF w/o CAC to Heat Pump - House with "Good Insulation" - Heating Zone 1 - Cooling Zone 1</t>
  </si>
  <si>
    <t>Existing Single Family Home HVAC Conversion - Convert FAF w/o CAC to Heat Pump - House with "Good Insulation" - Heating Zone 1 - Cooling Zone 2</t>
  </si>
  <si>
    <t>Existing Single Family Home HVAC Conversion - Convert FAF w/o CAC to Heat Pump - House with "Good Insulation" - Heating Zone 1 - Cooling Zone 3</t>
  </si>
  <si>
    <t>Existing Single Family Home HVAC Conversion - Convert FAF w/o CAC to Heat Pump - House with "Good Insulation" - Heating Zone 2 - Cooling Zone 1</t>
  </si>
  <si>
    <t>Existing Single Family Home HVAC Conversion - Convert FAF w/o CAC to Heat Pump - House with "Good Insulation" - Heating Zone 2 - Cooling Zone 2</t>
  </si>
  <si>
    <t>Existing Single Family Home HVAC Conversion - Convert FAF w/o CAC to Heat Pump - House with "Good Insulation" - Heating Zone 2 - Cooling Zone 3</t>
  </si>
  <si>
    <t>Existing Single Family Home HVAC Conversion - Convert FAF w/o CAC to Heat Pump - House with "Good Insulation" - Heating Zone 3 - Cooling Zone 1</t>
  </si>
  <si>
    <t>Existing Single Family Home HVAC Conversion - Convert FAF w/o CAC to Heat Pump - House with "Good Insulation" - Heating Zone 3 - Cooling Zone 2</t>
  </si>
  <si>
    <t>Existing Single Family Home HVAC Conversion - Convert FAF w/o CAC to Heat Pump - House with "Good Insulation" - Heating Zone 3 - Cooling Zone 3</t>
  </si>
  <si>
    <t>Existing Single Family Home HVAC Conversion - Convert FAF w/o CAC to Heat Pump - House with "Fair Insulation" - Heating Zone 1 - Cooling Zone 1</t>
  </si>
  <si>
    <t>Existing Single Family Home HVAC Conversion - Convert FAF w/o CAC to Heat Pump - House with "Fair Insulation" - Heating Zone 1 - Cooling Zone 2</t>
  </si>
  <si>
    <t>Existing Single Family Home HVAC Conversion - Convert FAF w/o CAC to Heat Pump - House with "Fair Insulation" - Heating Zone 1 - Cooling Zone 3</t>
  </si>
  <si>
    <t>Existing Single Family Home HVAC Conversion - Convert FAF w/o CAC to Heat Pump - House with "Fair Insulation" - Heating Zone 2 - Cooling Zone 1</t>
  </si>
  <si>
    <t>Existing Single Family Home HVAC Conversion - Convert FAF w/o CAC to Heat Pump - House with "Fair Insulation" - Heating Zone 2 - Cooling Zone 2</t>
  </si>
  <si>
    <t>Existing Single Family Home HVAC Conversion - Convert FAF w/o CAC to Heat Pump - House with "Fair Insulation" - Heating Zone 2 - Cooling Zone 3</t>
  </si>
  <si>
    <t>Existing Single Family Home HVAC Conversion - Convert FAF w/o CAC to Heat Pump - House with "Fair Insulation" - Heating Zone 3 - Cooling Zone 1</t>
  </si>
  <si>
    <t>Existing Single Family Home HVAC Conversion - Convert FAF w/o CAC to Heat Pump - House with "Fair Insulation" - Heating Zone 3 - Cooling Zone 2</t>
  </si>
  <si>
    <t>Existing Single Family Home HVAC Conversion - Convert FAF w/o CAC to Heat Pump - House with "Fair Insulation" - Heating Zone 3 - Cooling Zone 3</t>
  </si>
  <si>
    <t>Existing Single Family Home HVAC Conversion - Convert FAF w/o CAC to Heat Pump - House with "Poor Insulation" - Heating Zone 1 - Cooling Zone 1</t>
  </si>
  <si>
    <t>Existing Single Family Home HVAC Conversion - Convert FAF w/o CAC to Heat Pump - House with "Poor Insulation" - Heating Zone 1 - Cooling Zone 2</t>
  </si>
  <si>
    <t>Existing Single Family Home HVAC Conversion - Convert FAF w/o CAC to Heat Pump - House with "Poor Insulation" - Heating Zone 1 - Cooling Zone 3</t>
  </si>
  <si>
    <t>Existing Single Family Home HVAC Conversion - Convert FAF w/o CAC to Heat Pump - House with "Poor Insulation" - Heating Zone 2 - Cooling Zone 1</t>
  </si>
  <si>
    <t>Existing Single Family Home HVAC Conversion - Convert FAF w/o CAC to Heat Pump - House with "Poor Insulation" - Heating Zone 2 - Cooling Zone 2</t>
  </si>
  <si>
    <t>Existing Single Family Home HVAC Conversion - Convert FAF w/o CAC to Heat Pump - House with "Poor Insulation" - Heating Zone 2 - Cooling Zone 3</t>
  </si>
  <si>
    <t>Existing Single Family Home HVAC Conversion - Convert FAF w/o CAC to Heat Pump - House with "Poor Insulation" - Heating Zone 3 - Cooling Zone 1</t>
  </si>
  <si>
    <t>Existing Single Family Home HVAC Conversion - Convert FAF w/o CAC to Heat Pump - House with "Poor Insulation" - Heating Zone 3 - Cooling Zone 2</t>
  </si>
  <si>
    <t>Existing Single Family Home HVAC Conversion - Convert FAF w/o CAC to Heat Pump - House with "Poor Insulation" - Heating Zone 3 - Cooling Zone 3</t>
  </si>
  <si>
    <t>Existing Single Family Home HVAC Upgrade - Heat Pump Upgrade to 9.0 HSPF/14 SEER - Heating Zone 1</t>
  </si>
  <si>
    <t>Existing Single Family Home HVAC Upgrade - Heat Pump Upgrade to 9.0 HSPF/14 SEER - Heating Zone 2</t>
  </si>
  <si>
    <t>Existing Single Family Home HVAC Upgrade - Heat Pump Upgrade to 9.0 HSPF/14 SEER - Heating Zone 3</t>
  </si>
  <si>
    <t>Existing Single Family Home HVAC Upgrade - Central Heat Pump Upgrade to Variable Capacity Central Heat Pump - Heating Zone 1 - Cooling Zone 1</t>
  </si>
  <si>
    <t>Existing Single Family Home HVAC Upgrade - Central Heat Pump Upgrade to Variable Capacity Central Heat Pump - Heating Zone 1 - Cooling Zone 2</t>
  </si>
  <si>
    <t>Existing Single Family Home HVAC Upgrade - Central Heat Pump Upgrade to Variable Capacity Central Heat Pump - Heating Zone 1 - Cooling Zone 3</t>
  </si>
  <si>
    <t>Existing Single Family Home HVAC Upgrade - Central Heat Pump Upgrade to Variable Capacity Central Heat Pump - Heating Zone 2 - Cooling Zone 1</t>
  </si>
  <si>
    <t>Existing Single Family Home HVAC Upgrade - Central Heat Pump Upgrade to Variable Capacity Central Heat Pump - Heating Zone 2 - Cooling Zone 2</t>
  </si>
  <si>
    <t>Existing Single Family Home HVAC Upgrade - Central Heat Pump Upgrade to Variable Capacity Central Heat Pump - Heating Zone 2 - Cooling Zone 3</t>
  </si>
  <si>
    <t>Existing Single Family Home HVAC Upgrade - Central Heat Pump Upgrade to Variable Capacity Central Heat Pump - Heating Zone 3 - Cooling Zone 1</t>
  </si>
  <si>
    <t>Existing Single Family Home HVAC Upgrade - Central Heat Pump Upgrade to Variable Capacity Central Heat Pump - Heating Zone 3 - Cooling Zone 2</t>
  </si>
  <si>
    <t>Existing Single Family Home HVAC Upgrade - Central Heat Pump Upgrade to Variable Capacity Central Heat Pump - Heating Zone 3 - Cooling Zone 3</t>
  </si>
  <si>
    <t>Zonal to DHP No Screen HZ1CZ1</t>
  </si>
  <si>
    <t>Zonal to DHP No Screen HZ2CZ1</t>
  </si>
  <si>
    <t>Zonal to DHP No Screen HZ3CZ1</t>
  </si>
  <si>
    <t>Zonal to DHP No Screen HZ1CZ2</t>
  </si>
  <si>
    <t>Zonal to DHP No Screen HZ2CZ2</t>
  </si>
  <si>
    <t>Zonal to DHP No Screen HZ3CZ2</t>
  </si>
  <si>
    <t>Zonal to DHP No Screen HZ1CZ3</t>
  </si>
  <si>
    <t>Zonal to DHP No Screen HZ2CZ3</t>
  </si>
  <si>
    <t>Zonal to DHP No Screen HZ3CZ3</t>
  </si>
  <si>
    <t>ResCACZ1</t>
  </si>
  <si>
    <t>ResCACZ2</t>
  </si>
  <si>
    <t>ResCACZ3</t>
  </si>
  <si>
    <t>ResSFHVAC_v1_Proposed5</t>
  </si>
  <si>
    <t>Only include "good" insulation permutation, Adjust cost to 2012$</t>
  </si>
  <si>
    <t>Make Incremental HP upgrade HSPF 9.0 -&gt; VSHP 10.0</t>
  </si>
  <si>
    <t>Collapse HZ2 &amp; HZ3 and CZ2 &amp; CZ3</t>
  </si>
  <si>
    <t>Climate Zone Combination</t>
  </si>
  <si>
    <t>All</t>
  </si>
  <si>
    <t>Heating Zone 1 - Cooling Zone 1</t>
  </si>
  <si>
    <t>Heating Zone 1 - Cooling Zone 2</t>
  </si>
  <si>
    <t>Heating Zone 1 - Cooling Zone 3</t>
  </si>
  <si>
    <t>Heating Zone 2 - Cooling Zone 1</t>
  </si>
  <si>
    <t>Heating Zone 2 - Cooling Zone 2</t>
  </si>
  <si>
    <t>Heating Zone 2 - Cooling Zone 3</t>
  </si>
  <si>
    <t>Heating Zone 3 - Cooling Zone 1</t>
  </si>
  <si>
    <t>Heating Zone 3 - Cooling Zone 2</t>
  </si>
  <si>
    <t>Heating Zone 3 - Cooling Zone 3</t>
  </si>
  <si>
    <t>Since we don't have statistically significant distribution of FAF and Zonal heating by CZ2/3 and HZ2/3, use overal # homes distribution</t>
  </si>
  <si>
    <t>ID climate zone</t>
  </si>
  <si>
    <t>Only HZ2&amp;3 and CZ2&amp;3</t>
  </si>
  <si>
    <t>Heating Zone 1</t>
  </si>
  <si>
    <t>Heating Zone 2</t>
  </si>
  <si>
    <t>Heating Zone 3</t>
  </si>
  <si>
    <t>HZ1CZ1</t>
  </si>
  <si>
    <t>HZ2CZ1</t>
  </si>
  <si>
    <t>HZ3CZ1</t>
  </si>
  <si>
    <t>HZ1CZ2</t>
  </si>
  <si>
    <t>HZ2CZ2</t>
  </si>
  <si>
    <t>HZ3CZ2</t>
  </si>
  <si>
    <t>HZ1CZ3</t>
  </si>
  <si>
    <t>HZ2CZ3</t>
  </si>
  <si>
    <t>HZ3CZ3</t>
  </si>
  <si>
    <t>HZ1</t>
  </si>
  <si>
    <t>HZ23</t>
  </si>
  <si>
    <t>HZ1CZ23</t>
  </si>
  <si>
    <t>HZ23CZ1</t>
  </si>
  <si>
    <t>HZ23CZ23</t>
  </si>
  <si>
    <t>L</t>
  </si>
  <si>
    <t>Existing Single Family Home HVAC Conversion - Convert FAF w/CAC to Heat Pump - House with "Good Insulation" + HZ1</t>
  </si>
  <si>
    <t>Existing Single Family Home HVAC Conversion - Convert FAF w/CAC to Heat Pump - House with "Good Insulation" + HZ23</t>
  </si>
  <si>
    <t>Existing Single Family Home HVAC Conversion - Convert FAF w/o CAC to Heat Pump - House with "Good Insulation" + HZ1CZ23</t>
  </si>
  <si>
    <t>Existing Single Family Home HVAC Conversion - Convert FAF w/o CAC to Heat Pump - House with "Good Insulation" + HZ23CZ1</t>
  </si>
  <si>
    <t>Existing Single Family Home HVAC Conversion - Convert FAF w/o CAC to Heat Pump - House with "Good Insulation" + HZ23CZ23</t>
  </si>
  <si>
    <t>Existing Single Family Home HVAC Upgrade + HZ1</t>
  </si>
  <si>
    <t>Existing Single Family Home HVAC Upgrade + HZ23</t>
  </si>
  <si>
    <t>Existing Single Family Home HVAC Upgrade - Central Heat Pump Upgrade to Variable Capacity Central Heat Pump + HZ1CZ1</t>
  </si>
  <si>
    <t>Existing Single Family Home HVAC Upgrade - Central Heat Pump Upgrade to Variable Capacity Central Heat Pump + HZ1CZ23</t>
  </si>
  <si>
    <t>Existing Single Family Home HVAC Upgrade - Central Heat Pump Upgrade to Variable Capacity Central Heat Pump + HZ23CZ1</t>
  </si>
  <si>
    <t>Existing Single Family Home HVAC Upgrade - Central Heat Pump Upgrade to Variable Capacity Central Heat Pump + HZ23CZ23</t>
  </si>
  <si>
    <t>Zonal to DHP No Screen + HZ1CZ1</t>
  </si>
  <si>
    <t>Zonal to DHP No Screen + HZ1CZ23</t>
  </si>
  <si>
    <t>Zonal to DHP No Screen + HZ23CZ1</t>
  </si>
  <si>
    <t>Zonal to DHP No Screen + HZ23CZ23</t>
  </si>
  <si>
    <t>FAF</t>
  </si>
  <si>
    <t>Zonal</t>
  </si>
  <si>
    <t>Existing Single Family Home HVAC Conversion - Convert FAF w/o CAC to Heat Pump - House with "Good Insulation" + HZ1CZ1</t>
  </si>
  <si>
    <t>Savings Allocation by Cost Bin and Month for Segments 1</t>
  </si>
  <si>
    <t>Savings Allocation by Cost Bin and Month for Segments 2</t>
  </si>
  <si>
    <t>Savings Allocation by Category and Month for Segments 1</t>
  </si>
  <si>
    <t>Savings Allocation by Category and Month for Segments 2</t>
  </si>
  <si>
    <t>Wholesale KW</t>
  </si>
  <si>
    <t>savingsYear</t>
  </si>
  <si>
    <t>BPA Sector</t>
  </si>
  <si>
    <t>BPA EndUse</t>
  </si>
  <si>
    <t>BPA Category</t>
  </si>
  <si>
    <t>BPA TAP</t>
  </si>
  <si>
    <t>SumOfkWhBusbar</t>
  </si>
  <si>
    <t>SumOfaMWBusbar</t>
  </si>
  <si>
    <t>Residential</t>
  </si>
  <si>
    <t>HVAC</t>
  </si>
  <si>
    <t>HVAC System</t>
  </si>
  <si>
    <t>Air Conditioners</t>
  </si>
  <si>
    <t>Air-Source Heat Pumps w/Duct Sealing</t>
  </si>
  <si>
    <t>Air-Source Heat Pumps w/o Duct Sealing</t>
  </si>
  <si>
    <t>Ductless Heat Pumps</t>
  </si>
  <si>
    <t>w/o CAC</t>
  </si>
  <si>
    <t>w/ CAC</t>
  </si>
  <si>
    <t>Conversion</t>
  </si>
  <si>
    <t>Upgrade (FAF + ASHP saturation)</t>
  </si>
  <si>
    <t>From RBSA</t>
  </si>
  <si>
    <t>Existing SF Heat Pump</t>
  </si>
  <si>
    <t>Based on RTF HP estimate</t>
  </si>
  <si>
    <t>New, based on SEEM and calibration</t>
  </si>
  <si>
    <t>RBSA on electric FAF and zonal heating saturation</t>
  </si>
  <si>
    <t>Based on RBSA, by climate zone</t>
  </si>
  <si>
    <t>SEEM</t>
  </si>
  <si>
    <t>Upgrade to HSPF 9.0 and variable capacity (10 HSPF)</t>
  </si>
  <si>
    <t>RTF 15 yrs</t>
  </si>
  <si>
    <t>Only permutation of home with "good" insulation included to avoid double counting from shell measures potential</t>
  </si>
  <si>
    <t>LO 6Slow</t>
  </si>
  <si>
    <t>ASHP and DHP programs exist, but infrastructure needs expanding</t>
  </si>
  <si>
    <t>Used 20-yr LO</t>
  </si>
  <si>
    <t>RTF basis from program data</t>
  </si>
  <si>
    <t>new version of SEEM</t>
  </si>
  <si>
    <t>6P did not include 10HSPF</t>
  </si>
  <si>
    <t>Block 2: 0-10 mills/kWh</t>
  </si>
  <si>
    <t>SEEM results from:</t>
  </si>
  <si>
    <t>\\nas2\Q\SeventhPlan\Conservation Analysis\Res\Res New Const\SF RNC equip_SEEM.xlsm</t>
  </si>
  <si>
    <t>ASHP Upgrade</t>
  </si>
  <si>
    <t>Phase II Weighted Savings</t>
  </si>
  <si>
    <t>Calibration Heating Credit</t>
  </si>
  <si>
    <t>kWh</t>
  </si>
  <si>
    <t xml:space="preserve">kWh </t>
  </si>
  <si>
    <t>therms</t>
  </si>
  <si>
    <t>Output Label 2</t>
  </si>
  <si>
    <t>heat</t>
  </si>
  <si>
    <t>fanheat</t>
  </si>
  <si>
    <t>cool</t>
  </si>
  <si>
    <t>vent</t>
  </si>
  <si>
    <t>lights</t>
  </si>
  <si>
    <t>dhw</t>
  </si>
  <si>
    <t>$</t>
  </si>
  <si>
    <t>IECC09_hp90_HZ1_CZ1</t>
  </si>
  <si>
    <t>IECC09_hp90_HZ1_CZ2</t>
  </si>
  <si>
    <t>IECC09_hp90_HZ1_CZ3</t>
  </si>
  <si>
    <t>IECC09_hp90_HZ2_CZ1</t>
  </si>
  <si>
    <t>IECC09_hp90_HZ2_CZ2</t>
  </si>
  <si>
    <t>IECC09_hp90_HZ2_CZ3</t>
  </si>
  <si>
    <t>IECC09_hp90_HZ3_CZ1</t>
  </si>
  <si>
    <t>IECC09_hp90_HZ3_CZ2</t>
  </si>
  <si>
    <t>IECC09_hp90_HZ3_CZ3</t>
  </si>
  <si>
    <t>IECC09_VCHP_HZ1_CZ1</t>
  </si>
  <si>
    <t>IECC09_VCHP_HZ1_CZ2</t>
  </si>
  <si>
    <t>IECC09_VCHP_HZ1_CZ3</t>
  </si>
  <si>
    <t>IECC09_VCHP_HZ2_CZ1</t>
  </si>
  <si>
    <t>IECC09_VCHP_HZ2_CZ2</t>
  </si>
  <si>
    <t>IECC09_VCHP_HZ2_CZ3</t>
  </si>
  <si>
    <t>IECC09_VCHP_HZ3_CZ1</t>
  </si>
  <si>
    <t>IECC09_VCHP_HZ3_CZ2</t>
  </si>
  <si>
    <t>IECC09_VCHP_HZ3_CZ3</t>
  </si>
  <si>
    <t>IECC09_DHP_HZ1_CZ1</t>
  </si>
  <si>
    <t>IECC09_DHP_HZ1_CZ2</t>
  </si>
  <si>
    <t>IECC09_DHP_HZ1_CZ3</t>
  </si>
  <si>
    <t>IECC09_DHP_HZ2_CZ1</t>
  </si>
  <si>
    <t>IECC09_DHP_HZ2_CZ2</t>
  </si>
  <si>
    <t>IECC09_DHP_HZ2_CZ3</t>
  </si>
  <si>
    <t>IECC09_DHP_HZ3_CZ1</t>
  </si>
  <si>
    <t>IECC09_DHP_HZ3_CZ2</t>
  </si>
  <si>
    <t>IECC09_DHP_HZ3_CZ3</t>
  </si>
  <si>
    <t>Cost Equations (2012$'s)</t>
  </si>
  <si>
    <t>Heat Pump</t>
  </si>
  <si>
    <t>CAC</t>
  </si>
  <si>
    <t>Slope</t>
  </si>
  <si>
    <t>Intercept</t>
  </si>
  <si>
    <t>GDP Deflator 2012$'s to 2012$'s</t>
  </si>
  <si>
    <t>GDP Deflator 2014$'s to 2012$'s</t>
  </si>
  <si>
    <t>Convert existing system to 8.5 HSPF Heat Pump</t>
  </si>
  <si>
    <t>Weighted avg cost of a central air conditioner</t>
  </si>
  <si>
    <t>The weighted average cost of a FAF</t>
  </si>
  <si>
    <t>Standard Info. Workbook</t>
  </si>
  <si>
    <t>Insulation Level</t>
  </si>
  <si>
    <t>Heating Zone</t>
  </si>
  <si>
    <t>Average Tons</t>
  </si>
  <si>
    <t>HP Cost (2012$'s)</t>
  </si>
  <si>
    <t>CAC Cost (2012$'s)</t>
  </si>
  <si>
    <t>FAF Cost (2012$'s)</t>
  </si>
  <si>
    <t>Good</t>
  </si>
  <si>
    <t>HSPF</t>
  </si>
  <si>
    <t>Tons</t>
  </si>
  <si>
    <r>
      <t>Cost 
[</t>
    </r>
    <r>
      <rPr>
        <sz val="10"/>
        <rFont val="Arial"/>
        <family val="2"/>
      </rPr>
      <t>2012$'s (8.5), 2014$'s (VCHP)]</t>
    </r>
  </si>
  <si>
    <t>Cost 2012$'s</t>
  </si>
  <si>
    <t>VCHP</t>
  </si>
  <si>
    <t>Technology, Measure or Practice</t>
  </si>
  <si>
    <t>Cost (2012 $)</t>
  </si>
  <si>
    <t>Notes</t>
  </si>
  <si>
    <t>Source</t>
  </si>
  <si>
    <t>Upgrade to 9.0 HSPF heat pump</t>
  </si>
  <si>
    <t>Upgrade 8.5 HSPF to 9 HSPF Heat Pump</t>
  </si>
  <si>
    <t>Upgrade to 10.0 HSPF inverter driven heat pump</t>
  </si>
  <si>
    <t>Upgrade 8.5 HSPF to VCHP</t>
  </si>
  <si>
    <t>Standard Info. Workbook, Installer Interviews, invoices.  Assumes 3.0 Ton HP.</t>
  </si>
  <si>
    <t>Install Ductless Heat Pump to displace zonal resistance heat</t>
  </si>
  <si>
    <t>Varies</t>
  </si>
  <si>
    <t>Install DHP</t>
  </si>
  <si>
    <t>Calculated</t>
  </si>
  <si>
    <t>Install Ductless Heat Pump to displace Electric FAF heat</t>
  </si>
  <si>
    <t>Climate Zone</t>
  </si>
  <si>
    <t>Heat Pump Cost</t>
  </si>
  <si>
    <t>CAC Replacement Cost</t>
  </si>
  <si>
    <t>Houses Forecasted to have CAC (without measure)</t>
  </si>
  <si>
    <t>CAC Cost "Credit"</t>
  </si>
  <si>
    <t>RAC Replacement Cost</t>
  </si>
  <si>
    <t>Houses Forecasted to have RAC</t>
  </si>
  <si>
    <t>RAC Cost "Credit"</t>
  </si>
  <si>
    <t>Net Incremental Cost</t>
  </si>
  <si>
    <t>Baseline Cooling Consumption</t>
  </si>
  <si>
    <t>Houses with Cooling in Baseline</t>
  </si>
  <si>
    <t>Avg Baseline Cooling Consumption</t>
  </si>
  <si>
    <t>Efficient-Case Cooling Consumption</t>
  </si>
  <si>
    <t>Houses with Cooling in Efficient-Case</t>
  </si>
  <si>
    <t>Avg Efficient-Case Cooling Consumption</t>
  </si>
  <si>
    <t>Cooling Savings (kWh/yr)</t>
  </si>
  <si>
    <t>Added AC Use (kWh/yr)</t>
  </si>
  <si>
    <t>Houses with Added AC Use</t>
  </si>
  <si>
    <t>Cooling NEB (kWh/yr)</t>
  </si>
  <si>
    <t>Annual Cooling NEB</t>
  </si>
  <si>
    <t>HVAC Upgrade - Heat Pump Upgrade to 9.0 HSPF/14 SEER - Heating Zone 1 Cooling Zone 1</t>
  </si>
  <si>
    <t>HVAC Upgrade - Heat Pump Upgrade to 9.0 HSPF/14 SEER - Heating Zone 1 Cooling Zone 2</t>
  </si>
  <si>
    <t>HVAC Upgrade - Heat Pump Upgrade to 9.0 HSPF/14 SEER - Heating Zone 1 Cooling Zone 3</t>
  </si>
  <si>
    <t>HVAC Upgrade - Heat Pump Upgrade to 9.0 HSPF/14 SEER - Heating Zone 2 Cooling Zone 1</t>
  </si>
  <si>
    <t>HVAC Upgrade - Heat Pump Upgrade to 9.0 HSPF/14 SEER - Heating Zone 2 Cooling Zone 2</t>
  </si>
  <si>
    <t>HVAC Upgrade - Heat Pump Upgrade to 9.0 HSPF/14 SEER - Heating Zone 2 Cooling Zone 3</t>
  </si>
  <si>
    <t>HVAC Upgrade - Heat Pump Upgrade to 9.0 HSPF/14 SEER - Heating Zone 3 Cooling Zone 1</t>
  </si>
  <si>
    <t>HVAC Upgrade - Heat Pump Upgrade to 9.0 HSPF/14 SEER - Heating Zone 3 Cooling Zone 2</t>
  </si>
  <si>
    <t>HVAC Upgrade - Heat Pump Upgrade to 9.0 HSPF/14 SEER - Heating Zone 3 Cooling Zone 3</t>
  </si>
  <si>
    <t>HVAC Upgrade - Central Heat Pump Upgrade to Variable Capacity Central Heat Pump - Heating Zone 1 - Cooling Zone 1</t>
  </si>
  <si>
    <t>HVAC Upgrade - Central Heat Pump Upgrade to Variable Capacity Central Heat Pump - Heating Zone 1 - Cooling Zone 2</t>
  </si>
  <si>
    <t>HVAC Upgrade - Central Heat Pump Upgrade to Variable Capacity Central Heat Pump - Heating Zone 1 - Cooling Zone 3</t>
  </si>
  <si>
    <t>HVAC Upgrade - Central Heat Pump Upgrade to Variable Capacity Central Heat Pump - Heating Zone 2 - Cooling Zone 1</t>
  </si>
  <si>
    <t>HVAC Upgrade - Central Heat Pump Upgrade to Variable Capacity Central Heat Pump - Heating Zone 2 - Cooling Zone 2</t>
  </si>
  <si>
    <t>HVAC Upgrade - Central Heat Pump Upgrade to Variable Capacity Central Heat Pump - Heating Zone 2 - Cooling Zone 3</t>
  </si>
  <si>
    <t>HVAC Upgrade - Central Heat Pump Upgrade to Variable Capacity Central Heat Pump - Heating Zone 3 - Cooling Zone 1</t>
  </si>
  <si>
    <t>HVAC Upgrade - Central Heat Pump Upgrade to Variable Capacity Central Heat Pump - Heating Zone 3 - Cooling Zone 2</t>
  </si>
  <si>
    <t>HVAC Upgrade - Central Heat Pump Upgrade to Variable Capacity Central Heat Pump - Heating Zone 3 - Cooling Zone 3</t>
  </si>
  <si>
    <t>Zonal to DHP</t>
  </si>
  <si>
    <t>HZ1, CZ1</t>
  </si>
  <si>
    <t>HZ2, CZ1</t>
  </si>
  <si>
    <t>HZ3, CZ1</t>
  </si>
  <si>
    <t>HZ1, CZ2</t>
  </si>
  <si>
    <t>HZ2, CZ2</t>
  </si>
  <si>
    <t>HZ3, CZ2</t>
  </si>
  <si>
    <t>HZ1, CZ3</t>
  </si>
  <si>
    <t>HZ2, CZ3</t>
  </si>
  <si>
    <t>HZ3, CZ3</t>
  </si>
  <si>
    <t>RBSA:</t>
  </si>
  <si>
    <t xml:space="preserve">From </t>
  </si>
  <si>
    <t>PROPOSED_SEEMruns_SingleFamilyExistingASHPConversions_December2014</t>
  </si>
  <si>
    <t>From Ductless Heat Pump Impact &amp; Process Evaluation: Field Metering Report, May 1, 2012. Prepared by Ecotope for NEEA</t>
  </si>
  <si>
    <t>Cooling Zone</t>
  </si>
  <si>
    <t>Heating System</t>
  </si>
  <si>
    <t>Weighting</t>
  </si>
  <si>
    <t>http://neea.org/docs/default-source/reports/ductless-heat-pump-impact-process-evaluation-field-metering-report.pdf?sfvrsn=29</t>
  </si>
  <si>
    <t>RAC</t>
  </si>
  <si>
    <t>None</t>
  </si>
  <si>
    <t xml:space="preserve">Table 18. </t>
  </si>
  <si>
    <t>DHP Cooling Use</t>
  </si>
  <si>
    <t>Electric Zonal</t>
  </si>
  <si>
    <t xml:space="preserve">Cluster </t>
  </si>
  <si>
    <t>DHP Cooling Use (kWh/yr)</t>
  </si>
  <si>
    <t>N</t>
  </si>
  <si>
    <t>Electric FAF</t>
  </si>
  <si>
    <t>Mean (kWh/yr)</t>
  </si>
  <si>
    <t>SD</t>
  </si>
  <si>
    <t>Willamette</t>
  </si>
  <si>
    <t>Puget Sound</t>
  </si>
  <si>
    <t>Inland Empire</t>
  </si>
  <si>
    <t>Boise/Twin</t>
  </si>
  <si>
    <t>Eastern Idaho</t>
  </si>
  <si>
    <t>Average/Total</t>
  </si>
  <si>
    <t>RBSA, Average of a 20-year period with an assumed 4% growth rate (4% based on Council forecast):</t>
  </si>
  <si>
    <r>
      <t>Cooling Use by Cooling Zone</t>
    </r>
    <r>
      <rPr>
        <b/>
        <sz val="9"/>
        <color theme="1"/>
        <rFont val="Arial"/>
        <family val="2"/>
      </rPr>
      <t xml:space="preserve"> if Prior Cooling</t>
    </r>
  </si>
  <si>
    <t>Source: same metered dataset as Table 18</t>
  </si>
  <si>
    <r>
      <t>Cooling Use by Cooling Zone</t>
    </r>
    <r>
      <rPr>
        <b/>
        <sz val="9"/>
        <color theme="1"/>
        <rFont val="Arial"/>
        <family val="2"/>
      </rPr>
      <t xml:space="preserve"> if NO Prior Cooling</t>
    </r>
  </si>
  <si>
    <t>Change</t>
  </si>
  <si>
    <t>VARIALBLE CAPACITY HEAT PUMPS INSTALLED COSTS  (Source: Ecotope.  Email from Ben Larson 12/5/2014.)</t>
  </si>
  <si>
    <t>SYSTEMS INCENTED BY THE CEC/BPA/PTCS PROGRAM</t>
  </si>
  <si>
    <t>Duct</t>
  </si>
  <si>
    <t>Extra</t>
  </si>
  <si>
    <t>COMPLETION DATE</t>
  </si>
  <si>
    <t>HP BRAND</t>
  </si>
  <si>
    <t>TONS</t>
  </si>
  <si>
    <t>INVOICED AMOUNT</t>
  </si>
  <si>
    <t>DUCT REPAIR INCLUDED IN INVOICE?</t>
  </si>
  <si>
    <t>"EXTRA" WORK INVOLVED?</t>
  </si>
  <si>
    <t>Cost</t>
  </si>
  <si>
    <t>Cost/Ton</t>
  </si>
  <si>
    <t>Repair?</t>
  </si>
  <si>
    <t>Work?</t>
  </si>
  <si>
    <t>BRYANT</t>
  </si>
  <si>
    <t>YES</t>
  </si>
  <si>
    <t>4 + 2</t>
  </si>
  <si>
    <t>AMERICAN STANDARD</t>
  </si>
  <si>
    <t>NO</t>
  </si>
  <si>
    <t>VARIALBLE CAPACITY HEAT PUMPS BID PROPOSAL COSTS IN CEC'S BPA/PTCS HEAT PUMP PROGRAM</t>
  </si>
  <si>
    <t>BID PROPOSAL DATE</t>
  </si>
  <si>
    <t>BID AMOUNT</t>
  </si>
  <si>
    <t>DUCT REPAIR INCLUDED IN BID?</t>
  </si>
  <si>
    <t xml:space="preserve"> </t>
  </si>
  <si>
    <t>TRANE</t>
  </si>
  <si>
    <t>Percentile</t>
  </si>
  <si>
    <t>3 Ton</t>
  </si>
  <si>
    <t>4 Ton</t>
  </si>
  <si>
    <t>We installed an Carrier Greenspeed heat pump system last week (3 ton) and the proposal was $10,400.00 – this was an equipment only job.</t>
  </si>
  <si>
    <t>mean</t>
  </si>
  <si>
    <t xml:space="preserve">I talked with XXX at XXX and got some more rough numbers. For the Vancouver area they’re usually installing about 2.5 or 3 ton systems. </t>
  </si>
  <si>
    <t xml:space="preserve">A GreenSpeed with electric furnace backup and tstat and anything to get the system installed (testing, electrician, sheet metal transitions), but </t>
  </si>
  <si>
    <t xml:space="preserve">no major duct work, is going for about $12,000. He estimated closer to $13,000 for a 4 ton, but they haven’t installed any of those yet. They just </t>
  </si>
  <si>
    <t xml:space="preserve">did a GreenSpeed hybrid with modulating gas furnace backup and high end filtration system for $15,500. It would have been about $14,500 </t>
  </si>
  <si>
    <t>without the filtration system.</t>
  </si>
  <si>
    <t>I think XXX's system (5 ton with zoning) was about $25k all in down in Eugene.</t>
  </si>
  <si>
    <t>Heat Savings (kWh)</t>
  </si>
  <si>
    <t>Cool Savings (kWh)</t>
  </si>
  <si>
    <t>Heat Shape</t>
  </si>
  <si>
    <t>Cool Shape</t>
  </si>
  <si>
    <t>Non Electric Savings (kWh/yr)</t>
  </si>
  <si>
    <t>Non Electric Savings ($/year)</t>
  </si>
  <si>
    <t>Cooling NEB</t>
  </si>
  <si>
    <t>HVAC Upgrade - Heat Pump Upgrade to 9.0 HSPF/14 SEER - HZ1CZ1</t>
  </si>
  <si>
    <t>HVAC Upgrade - Heat Pump Upgrade to 9.0 HSPF/14 SEER - HZ1CZ2</t>
  </si>
  <si>
    <t>HVAC Upgrade - Heat Pump Upgrade to 9.0 HSPF/14 SEER - HZ1CZ3</t>
  </si>
  <si>
    <t>HVAC Upgrade - Heat Pump Upgrade to 9.0 HSPF/14 SEER - HZ2CZ1</t>
  </si>
  <si>
    <t>HVAC Upgrade - Heat Pump Upgrade to 9.0 HSPF/14 SEER - HZ2CZ2</t>
  </si>
  <si>
    <t>HVAC Upgrade - Heat Pump Upgrade to 9.0 HSPF/14 SEER - HZ2CZ3</t>
  </si>
  <si>
    <t>HVAC Upgrade - Heat Pump Upgrade to 9.0 HSPF/14 SEER - HZ3CZ1</t>
  </si>
  <si>
    <t>HVAC Upgrade - Heat Pump Upgrade to 9.0 HSPF/14 SEER - HZ3CZ2</t>
  </si>
  <si>
    <t>HVAC Upgrade - Heat Pump Upgrade to 9.0 HSPF/14 SEER - HZ3CZ3</t>
  </si>
  <si>
    <t>HVAC Upgrade - Central Heat Pump Upgrade to Variable Capacity Central Heat Pump - HZ1CZ1</t>
  </si>
  <si>
    <t>HVAC Upgrade - Central Heat Pump Upgrade to Variable Capacity Central Heat Pump - HZ1CZ2</t>
  </si>
  <si>
    <t>HVAC Upgrade - Central Heat Pump Upgrade to Variable Capacity Central Heat Pump - HZ1CZ3</t>
  </si>
  <si>
    <t>HVAC Upgrade - Central Heat Pump Upgrade to Variable Capacity Central Heat Pump - HZ2CZ1</t>
  </si>
  <si>
    <t>HVAC Upgrade - Central Heat Pump Upgrade to Variable Capacity Central Heat Pump - HZ2CZ2</t>
  </si>
  <si>
    <t>HVAC Upgrade - Central Heat Pump Upgrade to Variable Capacity Central Heat Pump - HZ2CZ3</t>
  </si>
  <si>
    <t>HVAC Upgrade - Central Heat Pump Upgrade to Variable Capacity Central Heat Pump - HZ3CZ1</t>
  </si>
  <si>
    <t>HVAC Upgrade - Central Heat Pump Upgrade to Variable Capacity Central Heat Pump - HZ3CZ2</t>
  </si>
  <si>
    <t>HVAC Upgrade - Central Heat Pump Upgrade to Variable Capacity Central Heat Pump - HZ3CZ3</t>
  </si>
  <si>
    <t>Zonal to DHP HZ1CZ1</t>
  </si>
  <si>
    <t>Zonal to DHP HZ1CZ2</t>
  </si>
  <si>
    <t>Zonal to DHP HZ1CZ3</t>
  </si>
  <si>
    <t>Zonal to DHP HZ2CZ1</t>
  </si>
  <si>
    <t>Zonal to DHP HZ2CZ2</t>
  </si>
  <si>
    <t>Zonal to DHP HZ2CZ3</t>
  </si>
  <si>
    <t>Zonal to DHP HZ3CZ1</t>
  </si>
  <si>
    <t>Zonal to DHP HZ3CZ2</t>
  </si>
  <si>
    <t>Zonal to DHP HZ3CZ3</t>
  </si>
  <si>
    <t>Since we don't have statistically significant distribution of new homes by climate zone, weight by population distribution</t>
  </si>
  <si>
    <t>New Homes</t>
  </si>
  <si>
    <t>New SF HVAC Upgrade - Heat Pump Upgrade to 9.0 HSPF/14 SEER - HZ1CZ1</t>
  </si>
  <si>
    <t>New SF HVAC Upgrade - Heat Pump Upgrade to 9.0 HSPF/14 SEER - HZ1CZ2</t>
  </si>
  <si>
    <t>New SF HVAC Upgrade - Heat Pump Upgrade to 9.0 HSPF/14 SEER - HZ1CZ3</t>
  </si>
  <si>
    <t>New SF HVAC Upgrade - Heat Pump Upgrade to 9.0 HSPF/14 SEER - HZ2CZ1</t>
  </si>
  <si>
    <t>New SF HVAC Upgrade - Heat Pump Upgrade to 9.0 HSPF/14 SEER - HZ2CZ2</t>
  </si>
  <si>
    <t>New SF HVAC Upgrade - Heat Pump Upgrade to 9.0 HSPF/14 SEER - HZ2CZ3</t>
  </si>
  <si>
    <t>New SF HVAC Upgrade - Heat Pump Upgrade to 9.0 HSPF/14 SEER - HZ3CZ1</t>
  </si>
  <si>
    <t>New SF HVAC Upgrade - Heat Pump Upgrade to 9.0 HSPF/14 SEER - HZ3CZ2</t>
  </si>
  <si>
    <t>New SF HVAC Upgrade - Heat Pump Upgrade to 9.0 HSPF/14 SEER - HZ3CZ3</t>
  </si>
  <si>
    <t>New SF HVAC Upgrade - Central Heat Pump Upgrade to Variable Capacity Central Heat Pump - HZ1CZ1</t>
  </si>
  <si>
    <t>New SF HVAC Upgrade - Central Heat Pump Upgrade to Variable Capacity Central Heat Pump - HZ1CZ2</t>
  </si>
  <si>
    <t>New SF HVAC Upgrade - Central Heat Pump Upgrade to Variable Capacity Central Heat Pump - HZ1CZ3</t>
  </si>
  <si>
    <t>New SF HVAC Upgrade - Central Heat Pump Upgrade to Variable Capacity Central Heat Pump - HZ2CZ1</t>
  </si>
  <si>
    <t>New SF HVAC Upgrade - Central Heat Pump Upgrade to Variable Capacity Central Heat Pump - HZ2CZ2</t>
  </si>
  <si>
    <t>New SF HVAC Upgrade - Central Heat Pump Upgrade to Variable Capacity Central Heat Pump - HZ2CZ3</t>
  </si>
  <si>
    <t>New SF HVAC Upgrade - Central Heat Pump Upgrade to Variable Capacity Central Heat Pump - HZ3CZ1</t>
  </si>
  <si>
    <t>New SF HVAC Upgrade - Central Heat Pump Upgrade to Variable Capacity Central Heat Pump - HZ3CZ2</t>
  </si>
  <si>
    <t>New SF HVAC Upgrade - Central Heat Pump Upgrade to Variable Capacity Central Heat Pump - HZ3CZ3</t>
  </si>
  <si>
    <t>New SF Zonal to DHP HZ1CZ1</t>
  </si>
  <si>
    <t>New SF Zonal to DHP HZ1CZ2</t>
  </si>
  <si>
    <t>New SF Zonal to DHP HZ1CZ3</t>
  </si>
  <si>
    <t>New SF Zonal to DHP HZ2CZ1</t>
  </si>
  <si>
    <t>New SF Zonal to DHP HZ2CZ2</t>
  </si>
  <si>
    <t>New SF Zonal to DHP HZ2CZ3</t>
  </si>
  <si>
    <t>New SF Zonal to DHP HZ3CZ1</t>
  </si>
  <si>
    <t>New SF Zonal to DHP HZ3CZ2</t>
  </si>
  <si>
    <t>New SF Zonal to DHP HZ3CZ3</t>
  </si>
  <si>
    <t>New SF HVAC Upgrade - Heat Pump Upgrade to 9.0 HSPF/14 SEER</t>
  </si>
  <si>
    <t>New SF Zonal to DHP</t>
  </si>
  <si>
    <t>New SF HVAC Upgrade - Central Heat Pump Upgrade to Variable Capacity Central Heat Pump</t>
  </si>
  <si>
    <t>New Homes only.  Also use this to calculate New Homes not addressed due to achievability, and send that to the Retrofit pool.</t>
  </si>
  <si>
    <t>New</t>
  </si>
  <si>
    <t># homes</t>
  </si>
  <si>
    <t>REG_TOTAL_STOCK_FLOOR</t>
  </si>
  <si>
    <t>% Saturation</t>
  </si>
  <si>
    <t>TRC Net Levelized Cost (Net of All Benefits)</t>
  </si>
  <si>
    <t>SC_New</t>
  </si>
  <si>
    <t>CALCULATE # HOMES NOT ADDRESSED BY MEASURE AND ADD TO RETROFIT POOL</t>
  </si>
  <si>
    <t># HOMES RESIDUAL &amp; AVAILABLE TO NR/RETROFIT POOL</t>
  </si>
  <si>
    <t>APPLICABLE NEW STOCK MINUS TREATED</t>
  </si>
  <si>
    <t>Homes</t>
  </si>
  <si>
    <t>Total Residual to NR/Retro Pool</t>
  </si>
  <si>
    <t>New SF HVAC Conversion - Convert FAF w/CAC to Heat Pump - House with "Good Insulation" + HZ1</t>
  </si>
  <si>
    <t>Ramp Rate</t>
  </si>
  <si>
    <t>Resource Type</t>
  </si>
  <si>
    <t>Sector</t>
  </si>
  <si>
    <t>End Use</t>
  </si>
  <si>
    <t>kWh per unit</t>
  </si>
  <si>
    <t>kW per unit</t>
  </si>
  <si>
    <t>New Const</t>
  </si>
  <si>
    <t>Electric FAF - Region</t>
  </si>
  <si>
    <t>Electric Zonal - Region</t>
  </si>
  <si>
    <t>Heat Pump - Region</t>
  </si>
  <si>
    <t>Cost Data and Analysis</t>
  </si>
  <si>
    <t>Cost Deflator 2011 to 2012</t>
  </si>
  <si>
    <t>From RTF SIW</t>
  </si>
  <si>
    <t>Cost Deflator 2010 to 2012</t>
  </si>
  <si>
    <t>DHP Cost</t>
  </si>
  <si>
    <t>Sources:</t>
  </si>
  <si>
    <t>1) http://rtf.nwcouncil.org/meetings/2013/08/DHP%20UES%20Costs-NEBs_2013-08-20_v3.pptx</t>
  </si>
  <si>
    <t>August 20, 2013 presentation to RTF</t>
  </si>
  <si>
    <t>2) DHP_allInstall_out.csv</t>
  </si>
  <si>
    <t>DHP Size</t>
  </si>
  <si>
    <t>3/4 ≤ tons ≤ 2</t>
  </si>
  <si>
    <t>1 indoor unit. 1 outdoor unit</t>
  </si>
  <si>
    <t>HSPF ≥ 9.5</t>
  </si>
  <si>
    <t>Climate</t>
  </si>
  <si>
    <t>DHP Cost (2010 $s)</t>
  </si>
  <si>
    <t>DHP Cost (2012 $s)</t>
  </si>
  <si>
    <t>HZ2</t>
  </si>
  <si>
    <t>HZ3</t>
  </si>
  <si>
    <t>Overall</t>
  </si>
  <si>
    <t>AC Cost</t>
  </si>
  <si>
    <t>Room A/C capital costs</t>
  </si>
  <si>
    <t>Source:</t>
  </si>
  <si>
    <t>http://rtf.nwcouncil.org/meetings/2013/08/DHP%20UES%20Costs-NEBs_2013-08-20_v3.pptx</t>
  </si>
  <si>
    <t>ResSFHVAC_v1_Proposed5.xlsm</t>
  </si>
  <si>
    <t>AC Cost  (2010 $s)</t>
  </si>
  <si>
    <t>AC Cost  (2012 $s)</t>
  </si>
  <si>
    <t>Cooling Capital Cost Offset</t>
  </si>
  <si>
    <t>CZ1</t>
  </si>
  <si>
    <t>CZ2</t>
  </si>
  <si>
    <t>CZ3</t>
  </si>
  <si>
    <t>Supplemental Fuel Avoided Costs</t>
  </si>
  <si>
    <t>Set equal to the regional average retail residential electric rate</t>
  </si>
  <si>
    <t>Source:  EIA 2011</t>
  </si>
  <si>
    <t>Total Electric Sales (MWh)</t>
  </si>
  <si>
    <t>Weight</t>
  </si>
  <si>
    <t>Residential Retail Rate (cents/kWh)</t>
  </si>
  <si>
    <t>2011 $/kWh</t>
  </si>
  <si>
    <t>2006 $/kWh</t>
  </si>
  <si>
    <t>ID</t>
  </si>
  <si>
    <t>MT</t>
  </si>
  <si>
    <t>OR</t>
  </si>
  <si>
    <t>WA</t>
  </si>
  <si>
    <t>SCRATCH</t>
  </si>
  <si>
    <t>Heating Zone 1, Cooling Zone 1</t>
  </si>
  <si>
    <t>Heating Zone 1, Cooling Zone 2</t>
  </si>
  <si>
    <t>Heating Zone 1, Cooling Zone 3</t>
  </si>
  <si>
    <t>Heating Zone 2, Cooling Zone 1</t>
  </si>
  <si>
    <t>Heating Zone 2, Cooling Zone 2</t>
  </si>
  <si>
    <t>Heating Zone 2, Cooling Zone 3</t>
  </si>
  <si>
    <t>Heating Zone 3, Cooling Zone 1</t>
  </si>
  <si>
    <t>Heating Zone 3, Cooling Zone 2</t>
  </si>
  <si>
    <t>Heating Zone 3, Cooling Zone 3</t>
  </si>
  <si>
    <t>IECC09_HP90PTCS_HZ1_CZ1</t>
  </si>
  <si>
    <t>IECC09_HP90PTCS_HZ1_CZ2</t>
  </si>
  <si>
    <t>IECC09_HP90PTCS_HZ1_CZ3</t>
  </si>
  <si>
    <t>IECC09_HP90PTCS_HZ2_CZ1</t>
  </si>
  <si>
    <t>IECC09_HP90PTCS_HZ2_CZ2</t>
  </si>
  <si>
    <t>IECC09_HP90PTCS_HZ2_CZ3</t>
  </si>
  <si>
    <t>IECC09_HP90PTCS_HZ3_CZ1</t>
  </si>
  <si>
    <t>IECC09_HP90PTCS_HZ3_CZ2</t>
  </si>
  <si>
    <t>IECC09_HP90PTCS_HZ3_CZ3</t>
  </si>
  <si>
    <t>IECC09_HP90HRV_HZ1_CZ1</t>
  </si>
  <si>
    <t>IECC09_HP90HRV_HZ1_CZ2</t>
  </si>
  <si>
    <t>IECC09_HP90HRV_HZ1_CZ3</t>
  </si>
  <si>
    <t>IECC09_HP90HRV_HZ2_CZ1</t>
  </si>
  <si>
    <t>IECC09_HP90HRV_HZ2_CZ2</t>
  </si>
  <si>
    <t>IECC09_HP90HRV_HZ2_CZ3</t>
  </si>
  <si>
    <t>IECC09_HP90HRV_HZ3_CZ1</t>
  </si>
  <si>
    <t>IECC09_HP90HRV_HZ3_CZ2</t>
  </si>
  <si>
    <t>IECC09_HP90HRV_HZ3_CZ3</t>
  </si>
  <si>
    <t>SEEM96 does not have cooling output for a VCHP</t>
  </si>
  <si>
    <t>Bonversion of furnace -&gt; ASHP, upgrade of ASHP to higher efficiency (including variable capacity), conversion of zonal to ductless heat pump</t>
  </si>
  <si>
    <t>Similar to 6P, added VB option</t>
  </si>
  <si>
    <t>Energy Savings Balculation Basis</t>
  </si>
  <si>
    <t>ResSFHVAB_v1_Proposed5</t>
  </si>
  <si>
    <t>Baseline HVAB Loads</t>
  </si>
  <si>
    <t>Bosts</t>
  </si>
  <si>
    <t>HVAB - electric furnace or ASHP</t>
  </si>
  <si>
    <t>Measure Bategory</t>
  </si>
  <si>
    <t>TRB Net Levelized Bost (Net of All Benefits)</t>
  </si>
  <si>
    <t>Savings Allocation by Bategory and Month for Segments 1</t>
  </si>
  <si>
    <t>Savings Allocation by Bategory and Month for Segments 2</t>
  </si>
  <si>
    <t>Use same kWh savings as existing home which used SEEM97</t>
  </si>
  <si>
    <t>$/kWh calib heating benefit</t>
  </si>
  <si>
    <t>End Use:</t>
  </si>
  <si>
    <t>New Homes only.  This measure of converting FAF -&gt; ASHP is not used in the 7P due to the assumed small portion of new homes w/FAF installation</t>
  </si>
  <si>
    <t>Total Max Potential</t>
  </si>
  <si>
    <t>For New Construction Only. Existing SF based on RTF workbook (ResSFHVAC_v1_Proposed5)</t>
  </si>
  <si>
    <t>R-All-HVAC-DHP_cool-All-All-N</t>
  </si>
  <si>
    <t>R-All-HVAC-ERconvertDHP-HZ1-All-N</t>
  </si>
  <si>
    <t>R-All-HVAC-ERconvertDHP-HZ2-All-N</t>
  </si>
  <si>
    <t>R-All-HVAC-ERconvertDHP-HZ3-All-N</t>
  </si>
  <si>
    <t>Q:\SeventhPlan\Conservation Analysis\Global EE Inputs\MC Files\MC_AND_LOADSHAPE_v3.0_24segment-7P-D9 - NewSegValues.xlsx</t>
  </si>
  <si>
    <t>Wednesday, 25 March , 2015 at 2:55 PM</t>
  </si>
</sst>
</file>

<file path=xl/styles.xml><?xml version="1.0" encoding="utf-8"?>
<styleSheet xmlns="http://schemas.openxmlformats.org/spreadsheetml/2006/main">
  <numFmts count="20">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0000000000000"/>
    <numFmt numFmtId="166" formatCode="0.000000"/>
    <numFmt numFmtId="167" formatCode="0.0000"/>
    <numFmt numFmtId="168" formatCode="_(&quot;$&quot;* #,##0_);_(&quot;$&quot;* \(#,##0\);_(&quot;$&quot;* &quot;-&quot;??_);_(@_)"/>
    <numFmt numFmtId="169" formatCode="m/d/\ h:mm"/>
    <numFmt numFmtId="170" formatCode="mmm\-yyyy"/>
    <numFmt numFmtId="171" formatCode="0.0;[Red]\-0.0"/>
    <numFmt numFmtId="172" formatCode="\ "/>
    <numFmt numFmtId="173" formatCode="_(* #,##0.00_);_(* \(#,##0.00\);_(* &quot;-&quot;?_);_(@_)"/>
    <numFmt numFmtId="174" formatCode="0.0%"/>
    <numFmt numFmtId="175" formatCode="0.000"/>
    <numFmt numFmtId="176" formatCode="_(* #,##0.0_);_(* \(#,##0.0\);_(* &quot;-&quot;??_);_(@_)"/>
    <numFmt numFmtId="177" formatCode="_(* #,##0_);_(* \(#,##0\);_(* &quot;-&quot;??_);_(@_)"/>
  </numFmts>
  <fonts count="80">
    <font>
      <sz val="10"/>
      <name val="Arial"/>
      <family val="2"/>
    </font>
    <font>
      <sz val="10"/>
      <color theme="1"/>
      <name val="Arial"/>
      <family val="2"/>
    </font>
    <font>
      <sz val="10"/>
      <color theme="1"/>
      <name val="Arial"/>
      <family val="2"/>
    </font>
    <font>
      <sz val="12"/>
      <name val="Arial"/>
      <family val="2"/>
    </font>
    <font>
      <b/>
      <i/>
      <sz val="10"/>
      <name val="Arial"/>
      <family val="2"/>
    </font>
    <font>
      <sz val="10"/>
      <name val="Arial"/>
      <family val="2"/>
    </font>
    <font>
      <b/>
      <sz val="10"/>
      <color rgb="FFFF0000"/>
      <name val="Arial"/>
      <family val="2"/>
    </font>
    <font>
      <b/>
      <sz val="10"/>
      <color indexed="9"/>
      <name val="Arial"/>
      <family val="2"/>
    </font>
    <font>
      <sz val="10"/>
      <color indexed="22"/>
      <name val="Arial"/>
      <family val="2"/>
    </font>
    <font>
      <sz val="10"/>
      <color indexed="12"/>
      <name val="Arial"/>
      <family val="2"/>
    </font>
    <font>
      <sz val="10"/>
      <color indexed="8"/>
      <name val="Arial"/>
      <family val="2"/>
    </font>
    <font>
      <b/>
      <sz val="10"/>
      <name val="Arial"/>
      <family val="2"/>
    </font>
    <font>
      <sz val="10"/>
      <color indexed="9"/>
      <name val="Arial"/>
      <family val="2"/>
    </font>
    <font>
      <b/>
      <sz val="8"/>
      <color indexed="81"/>
      <name val="Tahoma"/>
      <family val="2"/>
    </font>
    <font>
      <sz val="8"/>
      <color indexed="81"/>
      <name val="Tahoma"/>
      <family val="2"/>
    </font>
    <font>
      <sz val="12"/>
      <name val="Times New Roman"/>
      <family val="1"/>
    </font>
    <font>
      <b/>
      <sz val="12"/>
      <name val="Times New Roman"/>
      <family val="1"/>
    </font>
    <font>
      <sz val="9"/>
      <color indexed="81"/>
      <name val="Tahoma"/>
      <family val="2"/>
    </font>
    <font>
      <b/>
      <sz val="9"/>
      <color indexed="81"/>
      <name val="Tahoma"/>
      <family val="2"/>
    </font>
    <font>
      <b/>
      <sz val="11"/>
      <color theme="1"/>
      <name val="Calibri"/>
      <family val="2"/>
      <scheme val="minor"/>
    </font>
    <font>
      <sz val="11"/>
      <color theme="1"/>
      <name val="Calibri"/>
      <family val="2"/>
      <scheme val="minor"/>
    </font>
    <font>
      <sz val="11"/>
      <name val="Calibri"/>
      <family val="2"/>
      <scheme val="minor"/>
    </font>
    <font>
      <b/>
      <sz val="11"/>
      <name val="Calibri"/>
      <family val="2"/>
      <scheme val="minor"/>
    </font>
    <font>
      <u/>
      <sz val="10"/>
      <color theme="10"/>
      <name val="Arial"/>
      <family val="2"/>
    </font>
    <font>
      <b/>
      <sz val="14"/>
      <color theme="1"/>
      <name val="Calibri"/>
      <family val="2"/>
      <scheme val="minor"/>
    </font>
    <font>
      <sz val="11"/>
      <color indexed="8"/>
      <name val="Calibri"/>
      <family val="2"/>
    </font>
    <font>
      <sz val="11"/>
      <color indexed="63"/>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Times New Roman"/>
      <family val="1"/>
    </font>
    <font>
      <b/>
      <sz val="10"/>
      <color indexed="8"/>
      <name val="Arial"/>
      <family val="2"/>
    </font>
    <font>
      <i/>
      <sz val="11"/>
      <color indexed="23"/>
      <name val="Calibri"/>
      <family val="2"/>
    </font>
    <font>
      <sz val="11"/>
      <color indexed="17"/>
      <name val="Calibri"/>
      <family val="2"/>
    </font>
    <font>
      <b/>
      <sz val="15"/>
      <color indexed="56"/>
      <name val="Calibri"/>
      <family val="2"/>
    </font>
    <font>
      <b/>
      <sz val="15"/>
      <color indexed="62"/>
      <name val="Calibri"/>
      <family val="2"/>
    </font>
    <font>
      <b/>
      <sz val="13"/>
      <color indexed="62"/>
      <name val="Calibri"/>
      <family val="2"/>
    </font>
    <font>
      <b/>
      <sz val="11"/>
      <color indexed="56"/>
      <name val="Calibri"/>
      <family val="2"/>
    </font>
    <font>
      <b/>
      <sz val="11"/>
      <color indexed="62"/>
      <name val="Calibri"/>
      <family val="2"/>
    </font>
    <font>
      <u/>
      <sz val="10"/>
      <color indexed="12"/>
      <name val="Arial"/>
      <family val="2"/>
    </font>
    <font>
      <u/>
      <sz val="7"/>
      <color indexed="12"/>
      <name val="Arial"/>
      <family val="2"/>
    </font>
    <font>
      <u/>
      <sz val="10"/>
      <color indexed="12"/>
      <name val="Times New Roman"/>
      <family val="1"/>
    </font>
    <font>
      <u/>
      <sz val="11"/>
      <color theme="10"/>
      <name val="Calibri"/>
      <family val="2"/>
    </font>
    <font>
      <u/>
      <sz val="11"/>
      <color theme="10"/>
      <name val="Calibri"/>
      <family val="2"/>
      <scheme val="minor"/>
    </font>
    <font>
      <sz val="11"/>
      <color indexed="62"/>
      <name val="Calibri"/>
      <family val="2"/>
    </font>
    <font>
      <sz val="11"/>
      <color indexed="52"/>
      <name val="Calibri"/>
      <family val="2"/>
    </font>
    <font>
      <sz val="11"/>
      <color indexed="60"/>
      <name val="Calibri"/>
      <family val="2"/>
    </font>
    <font>
      <sz val="9"/>
      <name val="Arial"/>
      <family val="2"/>
    </font>
    <font>
      <sz val="12"/>
      <name val="Helv"/>
    </font>
    <font>
      <sz val="10"/>
      <name val="MS Sans Serif"/>
      <family val="2"/>
    </font>
    <font>
      <b/>
      <sz val="11"/>
      <color indexed="63"/>
      <name val="Calibri"/>
      <family val="2"/>
    </font>
    <font>
      <b/>
      <sz val="18"/>
      <color indexed="56"/>
      <name val="Cambria"/>
      <family val="2"/>
    </font>
    <font>
      <sz val="10"/>
      <name val="Helv"/>
    </font>
    <font>
      <sz val="10"/>
      <name val="Helv"/>
      <charset val="204"/>
    </font>
    <font>
      <b/>
      <sz val="18"/>
      <color indexed="62"/>
      <name val="Cambria"/>
      <family val="2"/>
    </font>
    <font>
      <b/>
      <sz val="11"/>
      <color indexed="8"/>
      <name val="Calibri"/>
      <family val="2"/>
    </font>
    <font>
      <sz val="11"/>
      <color indexed="10"/>
      <name val="Calibri"/>
      <family val="2"/>
    </font>
    <font>
      <sz val="10"/>
      <name val="굴림"/>
      <family val="3"/>
      <charset val="129"/>
    </font>
    <font>
      <sz val="10"/>
      <color indexed="10"/>
      <name val="Arial"/>
      <family val="2"/>
    </font>
    <font>
      <b/>
      <sz val="9"/>
      <color theme="1"/>
      <name val="Arial"/>
      <family val="2"/>
    </font>
    <font>
      <b/>
      <sz val="10"/>
      <color theme="0"/>
      <name val="Calibri"/>
      <family val="2"/>
      <scheme val="minor"/>
    </font>
    <font>
      <sz val="10"/>
      <color theme="1"/>
      <name val="Calibri"/>
      <family val="2"/>
      <scheme val="minor"/>
    </font>
    <font>
      <b/>
      <sz val="13"/>
      <color theme="3"/>
      <name val="Arial"/>
      <family val="2"/>
    </font>
    <font>
      <sz val="10"/>
      <color theme="1"/>
      <name val="Century"/>
      <family val="1"/>
    </font>
    <font>
      <b/>
      <sz val="10"/>
      <color theme="1"/>
      <name val="Century"/>
      <family val="1"/>
    </font>
    <font>
      <sz val="11"/>
      <name val="Calibri"/>
      <family val="2"/>
    </font>
    <font>
      <sz val="9"/>
      <color theme="1"/>
      <name val="Arial"/>
      <family val="2"/>
    </font>
    <font>
      <sz val="10"/>
      <name val="Verdana"/>
      <family val="2"/>
    </font>
    <font>
      <u/>
      <sz val="10"/>
      <name val="Arial"/>
      <family val="2"/>
    </font>
    <font>
      <b/>
      <sz val="8"/>
      <name val="Arial"/>
      <family val="2"/>
    </font>
    <font>
      <sz val="8"/>
      <name val="Arial"/>
      <family val="2"/>
    </font>
    <font>
      <sz val="10"/>
      <color theme="1"/>
      <name val="Miriam Fixed"/>
      <family val="3"/>
      <charset val="177"/>
    </font>
    <font>
      <sz val="11"/>
      <color theme="1"/>
      <name val="Miriam Fixed"/>
      <family val="3"/>
      <charset val="177"/>
    </font>
    <font>
      <u/>
      <sz val="9"/>
      <color theme="10"/>
      <name val="Arial"/>
      <family val="2"/>
    </font>
    <font>
      <sz val="9"/>
      <color rgb="FF000000"/>
      <name val="Arial"/>
      <family val="2"/>
    </font>
    <font>
      <b/>
      <sz val="10"/>
      <color theme="1"/>
      <name val="Arial"/>
      <family val="2"/>
    </font>
    <font>
      <b/>
      <sz val="12"/>
      <color theme="1"/>
      <name val="Arial"/>
      <family val="2"/>
    </font>
    <font>
      <sz val="9"/>
      <color theme="1"/>
      <name val="Calibri"/>
      <family val="2"/>
    </font>
    <font>
      <sz val="11"/>
      <color theme="1"/>
      <name val="Calibri"/>
      <family val="2"/>
    </font>
  </fonts>
  <fills count="91">
    <fill>
      <patternFill patternType="none"/>
    </fill>
    <fill>
      <patternFill patternType="gray125"/>
    </fill>
    <fill>
      <patternFill patternType="solid">
        <fgColor indexed="18"/>
        <bgColor indexed="64"/>
      </patternFill>
    </fill>
    <fill>
      <patternFill patternType="solid">
        <fgColor indexed="26"/>
        <bgColor indexed="64"/>
      </patternFill>
    </fill>
    <fill>
      <patternFill patternType="solid">
        <fgColor indexed="12"/>
        <bgColor indexed="64"/>
      </patternFill>
    </fill>
    <fill>
      <patternFill patternType="solid">
        <fgColor indexed="22"/>
        <bgColor indexed="64"/>
      </patternFill>
    </fill>
    <fill>
      <patternFill patternType="solid">
        <fgColor theme="4" tint="0.79998168889431442"/>
        <bgColor indexed="64"/>
      </patternFill>
    </fill>
    <fill>
      <patternFill patternType="solid">
        <fgColor indexed="57"/>
        <bgColor indexed="64"/>
      </patternFill>
    </fill>
    <fill>
      <patternFill patternType="solid">
        <fgColor indexed="47"/>
        <bgColor indexed="64"/>
      </patternFill>
    </fill>
    <fill>
      <patternFill patternType="solid">
        <fgColor indexed="44"/>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indexed="31"/>
      </patternFill>
    </fill>
    <fill>
      <patternFill patternType="solid">
        <fgColor indexed="9"/>
      </patternFill>
    </fill>
    <fill>
      <patternFill patternType="solid">
        <fgColor indexed="8"/>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29"/>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30"/>
        <bgColor indexed="30"/>
      </patternFill>
    </fill>
    <fill>
      <patternFill patternType="solid">
        <fgColor indexed="62"/>
      </patternFill>
    </fill>
    <fill>
      <patternFill patternType="solid">
        <fgColor indexed="45"/>
        <bgColor indexed="45"/>
      </patternFill>
    </fill>
    <fill>
      <patternFill patternType="solid">
        <fgColor indexed="29"/>
        <bgColor indexed="29"/>
      </patternFill>
    </fill>
    <fill>
      <patternFill patternType="solid">
        <fgColor indexed="10"/>
      </patternFill>
    </fill>
    <fill>
      <patternFill patternType="solid">
        <fgColor indexed="42"/>
        <bgColor indexed="42"/>
      </patternFill>
    </fill>
    <fill>
      <patternFill patternType="solid">
        <fgColor indexed="11"/>
        <bgColor indexed="11"/>
      </patternFill>
    </fill>
    <fill>
      <patternFill patternType="solid">
        <fgColor indexed="57"/>
      </patternFill>
    </fill>
    <fill>
      <patternFill patternType="solid">
        <fgColor indexed="46"/>
        <bgColor indexed="46"/>
      </patternFill>
    </fill>
    <fill>
      <patternFill patternType="solid">
        <fgColor indexed="36"/>
        <bgColor indexed="36"/>
      </patternFill>
    </fill>
    <fill>
      <patternFill patternType="solid">
        <fgColor indexed="54"/>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53"/>
      </patternFill>
    </fill>
    <fill>
      <patternFill patternType="solid">
        <fgColor indexed="55"/>
      </patternFill>
    </fill>
    <fill>
      <patternFill patternType="lightUp">
        <fgColor indexed="9"/>
        <bgColor indexed="49"/>
      </patternFill>
    </fill>
    <fill>
      <patternFill patternType="lightUp">
        <fgColor indexed="9"/>
        <bgColor indexed="10"/>
      </patternFill>
    </fill>
    <fill>
      <patternFill patternType="lightUp">
        <fgColor indexed="9"/>
        <bgColor indexed="57"/>
      </patternFill>
    </fill>
    <fill>
      <patternFill patternType="solid">
        <fgColor indexed="8"/>
        <bgColor indexed="64"/>
      </patternFill>
    </fill>
    <fill>
      <patternFill patternType="solid">
        <fgColor theme="3"/>
        <bgColor indexed="64"/>
      </patternFill>
    </fill>
    <fill>
      <patternFill patternType="solid">
        <fgColor theme="6" tint="0.59999389629810485"/>
        <bgColor indexed="64"/>
      </patternFill>
    </fill>
    <fill>
      <patternFill patternType="solid">
        <fgColor indexed="60"/>
        <bgColor indexed="64"/>
      </patternFill>
    </fill>
    <fill>
      <patternFill patternType="solid">
        <fgColor indexed="31"/>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3"/>
        <bgColor indexed="64"/>
      </patternFill>
    </fill>
    <fill>
      <patternFill patternType="solid">
        <fgColor indexed="41"/>
        <bgColor indexed="64"/>
      </patternFill>
    </fill>
    <fill>
      <patternFill patternType="solid">
        <fgColor theme="8" tint="0.59999389629810485"/>
        <bgColor indexed="64"/>
      </patternFill>
    </fill>
    <fill>
      <patternFill patternType="solid">
        <fgColor indexed="42"/>
        <bgColor indexed="64"/>
      </patternFill>
    </fill>
    <fill>
      <patternFill patternType="solid">
        <fgColor rgb="FF92D050"/>
        <bgColor indexed="64"/>
      </patternFill>
    </fill>
    <fill>
      <patternFill patternType="solid">
        <fgColor rgb="FF00B050"/>
        <bgColor indexed="64"/>
      </patternFill>
    </fill>
    <fill>
      <patternFill patternType="solid">
        <fgColor rgb="FF00B0F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FF0000"/>
        <bgColor indexed="64"/>
      </patternFill>
    </fill>
    <fill>
      <patternFill patternType="solid">
        <fgColor theme="0" tint="-0.14996795556505021"/>
        <bgColor indexed="64"/>
      </patternFill>
    </fill>
    <fill>
      <patternFill patternType="solid">
        <fgColor indexed="9"/>
        <bgColor indexed="64"/>
      </patternFill>
    </fill>
    <fill>
      <patternFill patternType="solid">
        <fgColor theme="6"/>
        <bgColor indexed="64"/>
      </patternFill>
    </fill>
    <fill>
      <patternFill patternType="solid">
        <fgColor indexed="50"/>
        <bgColor indexed="64"/>
      </patternFill>
    </fill>
  </fills>
  <borders count="79">
    <border>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style="thin">
        <color indexed="64"/>
      </top>
      <bottom style="thin">
        <color indexed="64"/>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s>
  <cellStyleXfs count="8155">
    <xf numFmtId="0" fontId="0" fillId="0" borderId="0">
      <alignment readingOrder="1"/>
    </xf>
    <xf numFmtId="44" fontId="5" fillId="0" borderId="0" applyFont="0" applyFill="0" applyBorder="0" applyAlignment="0" applyProtection="0"/>
    <xf numFmtId="0" fontId="3" fillId="0" borderId="0"/>
    <xf numFmtId="0" fontId="5" fillId="0" borderId="0"/>
    <xf numFmtId="0" fontId="5" fillId="0" borderId="0"/>
    <xf numFmtId="0" fontId="5" fillId="9" borderId="0" applyNumberFormat="0" applyAlignment="0">
      <alignment horizontal="right"/>
    </xf>
    <xf numFmtId="0" fontId="5" fillId="8" borderId="0" applyNumberFormat="0" applyAlignment="0"/>
    <xf numFmtId="169" fontId="15" fillId="0" borderId="0"/>
    <xf numFmtId="0" fontId="16" fillId="0" borderId="0">
      <alignment horizontal="center" wrapText="1"/>
    </xf>
    <xf numFmtId="9" fontId="5" fillId="0" borderId="0" applyFont="0" applyFill="0" applyBorder="0" applyAlignment="0" applyProtection="0"/>
    <xf numFmtId="0" fontId="20" fillId="0" borderId="0"/>
    <xf numFmtId="9" fontId="20" fillId="0" borderId="0" applyFont="0" applyFill="0" applyBorder="0" applyAlignment="0" applyProtection="0"/>
    <xf numFmtId="43" fontId="20" fillId="0" borderId="0" applyFont="0" applyFill="0" applyBorder="0" applyAlignment="0" applyProtection="0"/>
    <xf numFmtId="0" fontId="5" fillId="0" borderId="0">
      <alignment readingOrder="1"/>
    </xf>
    <xf numFmtId="0" fontId="5" fillId="0" borderId="0">
      <alignment readingOrder="1"/>
    </xf>
    <xf numFmtId="0" fontId="5" fillId="0" borderId="0">
      <alignment readingOrder="1"/>
    </xf>
    <xf numFmtId="0" fontId="25" fillId="17" borderId="0" applyNumberFormat="0" applyBorder="0" applyAlignment="0" applyProtection="0"/>
    <xf numFmtId="0" fontId="25" fillId="18" borderId="0" applyNumberFormat="0" applyBorder="0" applyAlignment="0" applyProtection="0"/>
    <xf numFmtId="0" fontId="26" fillId="19" borderId="0" applyNumberFormat="0" applyBorder="0" applyAlignment="0" applyProtection="0"/>
    <xf numFmtId="0" fontId="25" fillId="20" borderId="0" applyNumberFormat="0" applyBorder="0" applyAlignment="0" applyProtection="0"/>
    <xf numFmtId="0" fontId="26" fillId="21" borderId="0" applyNumberFormat="0" applyBorder="0" applyAlignment="0" applyProtection="0"/>
    <xf numFmtId="0" fontId="25" fillId="22" borderId="0" applyNumberFormat="0" applyBorder="0" applyAlignment="0" applyProtection="0"/>
    <xf numFmtId="0" fontId="25" fillId="20" borderId="0" applyNumberFormat="0" applyBorder="0" applyAlignment="0" applyProtection="0"/>
    <xf numFmtId="0" fontId="26" fillId="23" borderId="0" applyNumberFormat="0" applyBorder="0" applyAlignment="0" applyProtection="0"/>
    <xf numFmtId="0" fontId="25" fillId="24" borderId="0" applyNumberFormat="0" applyBorder="0" applyAlignment="0" applyProtection="0"/>
    <xf numFmtId="0" fontId="25" fillId="18" borderId="0" applyNumberFormat="0" applyBorder="0" applyAlignment="0" applyProtection="0"/>
    <xf numFmtId="0" fontId="26" fillId="19" borderId="0" applyNumberFormat="0" applyBorder="0" applyAlignment="0" applyProtection="0"/>
    <xf numFmtId="0" fontId="25" fillId="25" borderId="0" applyNumberFormat="0" applyBorder="0" applyAlignment="0" applyProtection="0"/>
    <xf numFmtId="0" fontId="26" fillId="25" borderId="0" applyNumberFormat="0" applyBorder="0" applyAlignment="0" applyProtection="0"/>
    <xf numFmtId="0" fontId="25" fillId="21" borderId="0" applyNumberFormat="0" applyBorder="0" applyAlignment="0" applyProtection="0"/>
    <xf numFmtId="0" fontId="26" fillId="21"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6" fillId="27" borderId="0" applyNumberFormat="0" applyBorder="0" applyAlignment="0" applyProtection="0"/>
    <xf numFmtId="0" fontId="25" fillId="28" borderId="0" applyNumberFormat="0" applyBorder="0" applyAlignment="0" applyProtection="0"/>
    <xf numFmtId="0" fontId="25" fillId="20" borderId="0" applyNumberFormat="0" applyBorder="0" applyAlignment="0" applyProtection="0"/>
    <xf numFmtId="0" fontId="26" fillId="28" borderId="0" applyNumberFormat="0" applyBorder="0" applyAlignment="0" applyProtection="0"/>
    <xf numFmtId="0" fontId="25" fillId="29" borderId="0" applyNumberFormat="0" applyBorder="0" applyAlignment="0" applyProtection="0"/>
    <xf numFmtId="0" fontId="25" fillId="20" borderId="0" applyNumberFormat="0" applyBorder="0" applyAlignment="0" applyProtection="0"/>
    <xf numFmtId="0" fontId="26" fillId="30" borderId="0" applyNumberFormat="0" applyBorder="0" applyAlignment="0" applyProtection="0"/>
    <xf numFmtId="0" fontId="25" fillId="24" borderId="0" applyNumberFormat="0" applyBorder="0" applyAlignment="0" applyProtection="0"/>
    <xf numFmtId="0" fontId="25" fillId="27" borderId="0" applyNumberFormat="0" applyBorder="0" applyAlignment="0" applyProtection="0"/>
    <xf numFmtId="0" fontId="26" fillId="27" borderId="0" applyNumberFormat="0" applyBorder="0" applyAlignment="0" applyProtection="0"/>
    <xf numFmtId="0" fontId="25" fillId="26" borderId="0" applyNumberFormat="0" applyBorder="0" applyAlignment="0" applyProtection="0"/>
    <xf numFmtId="0" fontId="26" fillId="26" borderId="0" applyNumberFormat="0" applyBorder="0" applyAlignment="0" applyProtection="0"/>
    <xf numFmtId="0" fontId="25" fillId="31" borderId="0" applyNumberFormat="0" applyBorder="0" applyAlignment="0" applyProtection="0"/>
    <xf numFmtId="0" fontId="25" fillId="21" borderId="0" applyNumberFormat="0" applyBorder="0" applyAlignment="0" applyProtection="0"/>
    <xf numFmtId="0" fontId="26" fillId="2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28" borderId="0" applyNumberFormat="0" applyBorder="0" applyAlignment="0" applyProtection="0"/>
    <xf numFmtId="0" fontId="27" fillId="20"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20" borderId="0" applyNumberFormat="0" applyBorder="0" applyAlignment="0" applyProtection="0"/>
    <xf numFmtId="0" fontId="27" fillId="30" borderId="0" applyNumberFormat="0" applyBorder="0" applyAlignment="0" applyProtection="0"/>
    <xf numFmtId="0" fontId="27" fillId="34"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5"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2" fillId="38" borderId="0" applyNumberFormat="0" applyBorder="0" applyAlignment="0" applyProtection="0"/>
    <xf numFmtId="0" fontId="27" fillId="3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2" fillId="41"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12" fillId="44" borderId="0" applyNumberFormat="0" applyBorder="0" applyAlignment="0" applyProtection="0"/>
    <xf numFmtId="0" fontId="27" fillId="45" borderId="0" applyNumberFormat="0" applyBorder="0" applyAlignment="0" applyProtection="0"/>
    <xf numFmtId="0" fontId="27" fillId="20" borderId="0" applyNumberFormat="0" applyBorder="0" applyAlignment="0" applyProtection="0"/>
    <xf numFmtId="0" fontId="27" fillId="45"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27" fillId="34"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10" fillId="49" borderId="0" applyNumberFormat="0" applyBorder="0" applyAlignment="0" applyProtection="0"/>
    <xf numFmtId="0" fontId="10" fillId="37" borderId="0" applyNumberFormat="0" applyBorder="0" applyAlignment="0" applyProtection="0"/>
    <xf numFmtId="0" fontId="12" fillId="50"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10" fillId="5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27" fillId="54" borderId="0" applyNumberFormat="0" applyBorder="0" applyAlignment="0" applyProtection="0"/>
    <xf numFmtId="0" fontId="27" fillId="54" borderId="0" applyNumberFormat="0" applyBorder="0" applyAlignment="0" applyProtection="0"/>
    <xf numFmtId="0" fontId="28" fillId="20" borderId="0" applyNumberFormat="0" applyBorder="0" applyAlignment="0" applyProtection="0"/>
    <xf numFmtId="0" fontId="28" fillId="24" borderId="0" applyNumberFormat="0" applyBorder="0" applyAlignment="0" applyProtection="0"/>
    <xf numFmtId="0" fontId="28" fillId="20" borderId="0" applyNumberFormat="0" applyBorder="0" applyAlignment="0" applyProtection="0"/>
    <xf numFmtId="0" fontId="29" fillId="27" borderId="17" applyNumberFormat="0" applyAlignment="0" applyProtection="0"/>
    <xf numFmtId="0" fontId="29" fillId="18" borderId="17" applyNumberFormat="0" applyAlignment="0" applyProtection="0"/>
    <xf numFmtId="0" fontId="29" fillId="18" borderId="17" applyNumberFormat="0" applyAlignment="0" applyProtection="0"/>
    <xf numFmtId="0" fontId="30" fillId="55" borderId="18" applyNumberFormat="0" applyAlignment="0" applyProtection="0"/>
    <xf numFmtId="0" fontId="30" fillId="55" borderId="18" applyNumberFormat="0" applyAlignment="0" applyProtection="0"/>
    <xf numFmtId="41"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5" fillId="9" borderId="0" applyNumberFormat="0" applyAlignment="0">
      <alignment horizontal="right"/>
    </xf>
    <xf numFmtId="0" fontId="5" fillId="9" borderId="0" applyNumberFormat="0" applyAlignment="0">
      <alignment horizontal="right"/>
    </xf>
    <xf numFmtId="0" fontId="5" fillId="9" borderId="0" applyNumberFormat="0" applyAlignment="0">
      <alignment horizontal="right"/>
    </xf>
    <xf numFmtId="0" fontId="5" fillId="9" borderId="0" applyNumberFormat="0" applyAlignment="0">
      <alignment horizontal="right"/>
    </xf>
    <xf numFmtId="0" fontId="5" fillId="9" borderId="0" applyNumberFormat="0" applyAlignment="0">
      <alignment horizontal="right"/>
    </xf>
    <xf numFmtId="0" fontId="32" fillId="56" borderId="0" applyNumberFormat="0" applyBorder="0" applyAlignment="0" applyProtection="0"/>
    <xf numFmtId="0" fontId="32" fillId="57" borderId="0" applyNumberFormat="0" applyBorder="0" applyAlignment="0" applyProtection="0"/>
    <xf numFmtId="0" fontId="32" fillId="58" borderId="0" applyNumberFormat="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5" fillId="0" borderId="19" applyNumberFormat="0" applyFill="0" applyAlignment="0" applyProtection="0"/>
    <xf numFmtId="0" fontId="36" fillId="0" borderId="20" applyNumberFormat="0" applyFill="0" applyAlignment="0" applyProtection="0"/>
    <xf numFmtId="0" fontId="36" fillId="0" borderId="20" applyNumberFormat="0" applyFill="0" applyAlignment="0" applyProtection="0"/>
    <xf numFmtId="0" fontId="7" fillId="59" borderId="21">
      <alignment horizontal="left"/>
    </xf>
    <xf numFmtId="0" fontId="37" fillId="0" borderId="22" applyNumberFormat="0" applyFill="0" applyAlignment="0" applyProtection="0"/>
    <xf numFmtId="0" fontId="38" fillId="0" borderId="23"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21" borderId="17" applyNumberFormat="0" applyAlignment="0" applyProtection="0"/>
    <xf numFmtId="0" fontId="45" fillId="21" borderId="17" applyNumberFormat="0" applyAlignment="0" applyProtection="0"/>
    <xf numFmtId="0" fontId="46" fillId="0" borderId="25" applyNumberFormat="0" applyFill="0" applyAlignment="0" applyProtection="0"/>
    <xf numFmtId="0" fontId="46" fillId="0" borderId="25" applyNumberFormat="0" applyFill="0" applyAlignment="0" applyProtection="0"/>
    <xf numFmtId="0" fontId="47" fillId="30" borderId="0" applyNumberFormat="0" applyBorder="0" applyAlignment="0" applyProtection="0"/>
    <xf numFmtId="0" fontId="47" fillId="30" borderId="0" applyNumberFormat="0" applyBorder="0" applyAlignment="0" applyProtection="0"/>
    <xf numFmtId="0" fontId="25" fillId="0" borderId="0"/>
    <xf numFmtId="0" fontId="5" fillId="0" borderId="0"/>
    <xf numFmtId="0" fontId="25" fillId="0" borderId="0"/>
    <xf numFmtId="0" fontId="25" fillId="0" borderId="0"/>
    <xf numFmtId="0" fontId="5" fillId="0" borderId="0"/>
    <xf numFmtId="0" fontId="5" fillId="0" borderId="0">
      <alignment readingOrder="1"/>
    </xf>
    <xf numFmtId="0" fontId="20"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0" fillId="0" borderId="0"/>
    <xf numFmtId="0" fontId="20" fillId="0" borderId="0"/>
    <xf numFmtId="0" fontId="5" fillId="0" borderId="0"/>
    <xf numFmtId="0" fontId="20" fillId="0" borderId="0"/>
    <xf numFmtId="0" fontId="20" fillId="0" borderId="0"/>
    <xf numFmtId="0" fontId="5" fillId="0" borderId="0">
      <alignment readingOrder="1"/>
    </xf>
    <xf numFmtId="0" fontId="20" fillId="0" borderId="0"/>
    <xf numFmtId="0" fontId="5" fillId="0" borderId="0"/>
    <xf numFmtId="0" fontId="5" fillId="0" borderId="0"/>
    <xf numFmtId="0" fontId="5" fillId="0" borderId="0"/>
    <xf numFmtId="0" fontId="5" fillId="0" borderId="0"/>
    <xf numFmtId="0" fontId="5" fillId="0" borderId="0"/>
    <xf numFmtId="0" fontId="5" fillId="0" borderId="0">
      <alignment readingOrder="1"/>
    </xf>
    <xf numFmtId="0" fontId="5" fillId="0" borderId="0"/>
    <xf numFmtId="0" fontId="25" fillId="0" borderId="0"/>
    <xf numFmtId="0" fontId="25" fillId="0" borderId="0"/>
    <xf numFmtId="0" fontId="20" fillId="0" borderId="0"/>
    <xf numFmtId="0" fontId="20" fillId="0" borderId="0"/>
    <xf numFmtId="0" fontId="20" fillId="0" borderId="0"/>
    <xf numFmtId="0" fontId="20" fillId="0" borderId="0"/>
    <xf numFmtId="0" fontId="5" fillId="0" borderId="0">
      <alignment readingOrder="1"/>
    </xf>
    <xf numFmtId="0" fontId="5" fillId="0" borderId="0">
      <alignment readingOrder="1"/>
    </xf>
    <xf numFmtId="0" fontId="5" fillId="0" borderId="0">
      <alignment readingOrder="1"/>
    </xf>
    <xf numFmtId="0" fontId="20" fillId="0" borderId="0"/>
    <xf numFmtId="0" fontId="20" fillId="0" borderId="0"/>
    <xf numFmtId="0" fontId="5" fillId="0" borderId="0">
      <alignment readingOrder="1"/>
    </xf>
    <xf numFmtId="0" fontId="25" fillId="0" borderId="0"/>
    <xf numFmtId="0" fontId="5" fillId="0" borderId="0">
      <alignment readingOrder="1"/>
    </xf>
    <xf numFmtId="0" fontId="20" fillId="0" borderId="0"/>
    <xf numFmtId="0" fontId="20" fillId="0" borderId="0"/>
    <xf numFmtId="0" fontId="5" fillId="0" borderId="0">
      <alignment readingOrder="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5" fillId="0" borderId="0">
      <alignment readingOrder="1"/>
    </xf>
    <xf numFmtId="0" fontId="5" fillId="0" borderId="0"/>
    <xf numFmtId="0" fontId="48" fillId="0" borderId="0"/>
    <xf numFmtId="0" fontId="49" fillId="0" borderId="0"/>
    <xf numFmtId="0" fontId="49" fillId="0" borderId="0"/>
    <xf numFmtId="0" fontId="49" fillId="0" borderId="0"/>
    <xf numFmtId="0" fontId="5" fillId="0" borderId="0"/>
    <xf numFmtId="0" fontId="5" fillId="0" borderId="0"/>
    <xf numFmtId="0" fontId="5" fillId="0" borderId="0"/>
    <xf numFmtId="0" fontId="49" fillId="0" borderId="0"/>
    <xf numFmtId="0" fontId="49" fillId="0" borderId="0"/>
    <xf numFmtId="0" fontId="49" fillId="0" borderId="0"/>
    <xf numFmtId="0" fontId="5" fillId="0" borderId="0"/>
    <xf numFmtId="0" fontId="5" fillId="0" borderId="0"/>
    <xf numFmtId="0" fontId="5" fillId="0" borderId="0"/>
    <xf numFmtId="0" fontId="5" fillId="0" borderId="0"/>
    <xf numFmtId="0" fontId="5" fillId="0" borderId="0"/>
    <xf numFmtId="0" fontId="5" fillId="0" borderId="0">
      <alignment readingOrder="1"/>
    </xf>
    <xf numFmtId="0" fontId="5" fillId="0" borderId="0"/>
    <xf numFmtId="0" fontId="5" fillId="0" borderId="0"/>
    <xf numFmtId="0" fontId="2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20" fillId="0" borderId="0"/>
    <xf numFmtId="0" fontId="25" fillId="0" borderId="0"/>
    <xf numFmtId="0" fontId="20" fillId="0" borderId="0"/>
    <xf numFmtId="0" fontId="5" fillId="0" borderId="0" applyNumberFormat="0" applyFill="0" applyBorder="0" applyAlignment="0" applyProtection="0"/>
    <xf numFmtId="0" fontId="20" fillId="0" borderId="0"/>
    <xf numFmtId="0" fontId="20" fillId="0" borderId="0"/>
    <xf numFmtId="0" fontId="31" fillId="0" borderId="0"/>
    <xf numFmtId="0" fontId="20" fillId="0" borderId="0"/>
    <xf numFmtId="0" fontId="20" fillId="0" borderId="0"/>
    <xf numFmtId="0" fontId="5" fillId="0" borderId="0">
      <alignment readingOrder="1"/>
    </xf>
    <xf numFmtId="0" fontId="20" fillId="0" borderId="0"/>
    <xf numFmtId="0" fontId="20" fillId="0" borderId="0"/>
    <xf numFmtId="0" fontId="20" fillId="0" borderId="0"/>
    <xf numFmtId="0" fontId="20" fillId="0" borderId="0"/>
    <xf numFmtId="0" fontId="2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 fillId="0" borderId="0"/>
    <xf numFmtId="0" fontId="20" fillId="0" borderId="0"/>
    <xf numFmtId="0" fontId="20" fillId="0" borderId="0"/>
    <xf numFmtId="0" fontId="5" fillId="0" borderId="0"/>
    <xf numFmtId="0" fontId="25" fillId="0" borderId="0"/>
    <xf numFmtId="0" fontId="25" fillId="0" borderId="0"/>
    <xf numFmtId="0" fontId="20" fillId="0" borderId="0"/>
    <xf numFmtId="0" fontId="50" fillId="0" borderId="0"/>
    <xf numFmtId="0" fontId="25" fillId="0" borderId="0"/>
    <xf numFmtId="0" fontId="25" fillId="0" borderId="0"/>
    <xf numFmtId="0" fontId="25" fillId="0" borderId="0"/>
    <xf numFmtId="0" fontId="25" fillId="0" borderId="0"/>
    <xf numFmtId="0" fontId="5" fillId="0" borderId="0">
      <alignment readingOrder="1"/>
    </xf>
    <xf numFmtId="0" fontId="5" fillId="0" borderId="0">
      <alignment readingOrder="1"/>
    </xf>
    <xf numFmtId="0" fontId="5" fillId="0" borderId="0">
      <alignment readingOrder="1"/>
    </xf>
    <xf numFmtId="0" fontId="25" fillId="23" borderId="26" applyNumberFormat="0" applyFont="0" applyAlignment="0" applyProtection="0"/>
    <xf numFmtId="0" fontId="5" fillId="23" borderId="26" applyNumberFormat="0" applyFont="0" applyAlignment="0" applyProtection="0"/>
    <xf numFmtId="0" fontId="25" fillId="23" borderId="26" applyNumberFormat="0" applyFont="0" applyAlignment="0" applyProtection="0"/>
    <xf numFmtId="0" fontId="51" fillId="27" borderId="27" applyNumberFormat="0" applyAlignment="0" applyProtection="0"/>
    <xf numFmtId="0" fontId="51" fillId="18" borderId="27" applyNumberFormat="0" applyAlignment="0" applyProtection="0"/>
    <xf numFmtId="0" fontId="51" fillId="18" borderId="27" applyNumberFormat="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52" fillId="0" borderId="0" applyNumberFormat="0" applyFill="0" applyBorder="0" applyAlignment="0" applyProtection="0"/>
    <xf numFmtId="0" fontId="53" fillId="0" borderId="0"/>
    <xf numFmtId="0" fontId="54" fillId="0" borderId="0"/>
    <xf numFmtId="170" fontId="5" fillId="0" borderId="0" applyFill="0" applyBorder="0" applyAlignment="0" applyProtection="0">
      <alignment wrapText="1"/>
    </xf>
    <xf numFmtId="0" fontId="5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28" applyNumberFormat="0" applyFill="0" applyAlignment="0" applyProtection="0"/>
    <xf numFmtId="0" fontId="56" fillId="0" borderId="29" applyNumberFormat="0" applyFill="0" applyAlignment="0" applyProtection="0"/>
    <xf numFmtId="0" fontId="51" fillId="0" borderId="29"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lignment vertical="center"/>
    </xf>
    <xf numFmtId="0" fontId="5" fillId="0" borderId="0"/>
    <xf numFmtId="0" fontId="5" fillId="0" borderId="0"/>
    <xf numFmtId="0" fontId="20" fillId="65" borderId="0" applyNumberFormat="0" applyBorder="0" applyAlignment="0" applyProtection="0"/>
    <xf numFmtId="0" fontId="20" fillId="65" borderId="0" applyNumberFormat="0" applyBorder="0" applyAlignment="0" applyProtection="0"/>
    <xf numFmtId="0" fontId="20" fillId="65" borderId="0" applyNumberFormat="0" applyBorder="0" applyAlignment="0" applyProtection="0"/>
    <xf numFmtId="0" fontId="20" fillId="65" borderId="0" applyNumberFormat="0" applyBorder="0" applyAlignment="0" applyProtection="0"/>
    <xf numFmtId="0" fontId="20" fillId="67" borderId="0" applyNumberFormat="0" applyBorder="0" applyAlignment="0" applyProtection="0"/>
    <xf numFmtId="0" fontId="20" fillId="67" borderId="0" applyNumberFormat="0" applyBorder="0" applyAlignment="0" applyProtection="0"/>
    <xf numFmtId="0" fontId="20" fillId="67" borderId="0" applyNumberFormat="0" applyBorder="0" applyAlignment="0" applyProtection="0"/>
    <xf numFmtId="0" fontId="20" fillId="67" borderId="0" applyNumberFormat="0" applyBorder="0" applyAlignment="0" applyProtection="0"/>
    <xf numFmtId="0" fontId="20" fillId="67"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71" borderId="0" applyNumberFormat="0" applyBorder="0" applyAlignment="0" applyProtection="0"/>
    <xf numFmtId="0" fontId="20" fillId="71" borderId="0" applyNumberFormat="0" applyBorder="0" applyAlignment="0" applyProtection="0"/>
    <xf numFmtId="0" fontId="20" fillId="71" borderId="0" applyNumberFormat="0" applyBorder="0" applyAlignment="0" applyProtection="0"/>
    <xf numFmtId="0" fontId="20" fillId="71" borderId="0" applyNumberFormat="0" applyBorder="0" applyAlignment="0" applyProtection="0"/>
    <xf numFmtId="0" fontId="20" fillId="73" borderId="0" applyNumberFormat="0" applyBorder="0" applyAlignment="0" applyProtection="0"/>
    <xf numFmtId="0" fontId="20" fillId="73" borderId="0" applyNumberFormat="0" applyBorder="0" applyAlignment="0" applyProtection="0"/>
    <xf numFmtId="0" fontId="20" fillId="73" borderId="0" applyNumberFormat="0" applyBorder="0" applyAlignment="0" applyProtection="0"/>
    <xf numFmtId="0" fontId="20" fillId="73" borderId="0" applyNumberFormat="0" applyBorder="0" applyAlignment="0" applyProtection="0"/>
    <xf numFmtId="0" fontId="20" fillId="73" borderId="0" applyNumberFormat="0" applyBorder="0" applyAlignment="0" applyProtection="0"/>
    <xf numFmtId="0" fontId="20" fillId="75" borderId="0" applyNumberFormat="0" applyBorder="0" applyAlignment="0" applyProtection="0"/>
    <xf numFmtId="0" fontId="20" fillId="75" borderId="0" applyNumberFormat="0" applyBorder="0" applyAlignment="0" applyProtection="0"/>
    <xf numFmtId="0" fontId="20" fillId="75" borderId="0" applyNumberFormat="0" applyBorder="0" applyAlignment="0" applyProtection="0"/>
    <xf numFmtId="0" fontId="20" fillId="75" borderId="0" applyNumberFormat="0" applyBorder="0" applyAlignment="0" applyProtection="0"/>
    <xf numFmtId="0" fontId="20" fillId="75"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0" fontId="20" fillId="68" borderId="0" applyNumberFormat="0" applyBorder="0" applyAlignment="0" applyProtection="0"/>
    <xf numFmtId="0" fontId="20" fillId="68" borderId="0" applyNumberFormat="0" applyBorder="0" applyAlignment="0" applyProtection="0"/>
    <xf numFmtId="0" fontId="20" fillId="68" borderId="0" applyNumberFormat="0" applyBorder="0" applyAlignment="0" applyProtection="0"/>
    <xf numFmtId="0" fontId="20" fillId="68"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0" fontId="20" fillId="74" borderId="0" applyNumberFormat="0" applyBorder="0" applyAlignment="0" applyProtection="0"/>
    <xf numFmtId="0" fontId="20" fillId="74" borderId="0" applyNumberFormat="0" applyBorder="0" applyAlignment="0" applyProtection="0"/>
    <xf numFmtId="0" fontId="20" fillId="74" borderId="0" applyNumberFormat="0" applyBorder="0" applyAlignment="0" applyProtection="0"/>
    <xf numFmtId="0" fontId="20" fillId="74" borderId="0" applyNumberFormat="0" applyBorder="0" applyAlignment="0" applyProtection="0"/>
    <xf numFmtId="0" fontId="20" fillId="74" borderId="0" applyNumberFormat="0" applyBorder="0" applyAlignment="0" applyProtection="0"/>
    <xf numFmtId="0" fontId="20" fillId="76" borderId="0" applyNumberFormat="0" applyBorder="0" applyAlignment="0" applyProtection="0"/>
    <xf numFmtId="0" fontId="20" fillId="76" borderId="0" applyNumberFormat="0" applyBorder="0" applyAlignment="0" applyProtection="0"/>
    <xf numFmtId="0" fontId="20" fillId="76" borderId="0" applyNumberFormat="0" applyBorder="0" applyAlignment="0" applyProtection="0"/>
    <xf numFmtId="0" fontId="20" fillId="76"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 fillId="0" borderId="0" applyFont="0" applyFill="0" applyBorder="0" applyAlignment="0" applyProtection="0"/>
    <xf numFmtId="43" fontId="20"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9" borderId="0" applyNumberFormat="0" applyAlignment="0">
      <alignment horizontal="right"/>
    </xf>
    <xf numFmtId="0" fontId="5" fillId="8" borderId="0" applyNumberFormat="0" applyAlignment="0"/>
    <xf numFmtId="0" fontId="5" fillId="8" borderId="0" applyNumberFormat="0" applyAlignment="0"/>
    <xf numFmtId="0" fontId="5" fillId="8" borderId="0" applyNumberFormat="0" applyAlignment="0"/>
    <xf numFmtId="0" fontId="5" fillId="8" borderId="0" applyNumberFormat="0" applyAlignment="0"/>
    <xf numFmtId="0" fontId="25" fillId="0" borderId="0"/>
    <xf numFmtId="0" fontId="25" fillId="0" borderId="0"/>
    <xf numFmtId="0" fontId="20" fillId="0" borderId="0"/>
    <xf numFmtId="0" fontId="5" fillId="0" borderId="0">
      <alignment readingOrder="1"/>
    </xf>
    <xf numFmtId="0" fontId="20" fillId="0" borderId="0"/>
    <xf numFmtId="0" fontId="5" fillId="0" borderId="0"/>
    <xf numFmtId="0" fontId="5" fillId="0" borderId="0"/>
    <xf numFmtId="0" fontId="25" fillId="0" borderId="0"/>
    <xf numFmtId="0" fontId="20" fillId="0" borderId="0"/>
    <xf numFmtId="0" fontId="20" fillId="0" borderId="0"/>
    <xf numFmtId="0" fontId="5" fillId="0" borderId="0"/>
    <xf numFmtId="0" fontId="5" fillId="0" borderId="0"/>
    <xf numFmtId="0" fontId="25" fillId="0" borderId="0"/>
    <xf numFmtId="0" fontId="2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xf numFmtId="0" fontId="25" fillId="0" borderId="0"/>
    <xf numFmtId="0" fontId="25" fillId="0" borderId="0"/>
    <xf numFmtId="0" fontId="25" fillId="0" borderId="0"/>
    <xf numFmtId="0" fontId="25" fillId="0" borderId="0"/>
    <xf numFmtId="0" fontId="20" fillId="64" borderId="38" applyNumberFormat="0" applyFont="0" applyAlignment="0" applyProtection="0"/>
    <xf numFmtId="0" fontId="20" fillId="64" borderId="38" applyNumberFormat="0" applyFont="0" applyAlignment="0" applyProtection="0"/>
    <xf numFmtId="0" fontId="20" fillId="64" borderId="38" applyNumberFormat="0" applyFont="0" applyAlignment="0" applyProtection="0"/>
    <xf numFmtId="0" fontId="20" fillId="64" borderId="38" applyNumberFormat="0" applyFont="0" applyAlignment="0" applyProtection="0"/>
    <xf numFmtId="0" fontId="20" fillId="64" borderId="38" applyNumberFormat="0" applyFont="0" applyAlignment="0" applyProtection="0"/>
    <xf numFmtId="0" fontId="20" fillId="64" borderId="38" applyNumberFormat="0" applyFont="0" applyAlignment="0" applyProtection="0"/>
    <xf numFmtId="9" fontId="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43" fontId="5" fillId="0" borderId="0" applyFont="0" applyFill="0" applyBorder="0" applyAlignment="0" applyProtection="0"/>
    <xf numFmtId="0" fontId="48" fillId="87" borderId="49"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9" borderId="0" applyNumberFormat="0" applyAlignment="0">
      <alignment horizontal="right"/>
    </xf>
    <xf numFmtId="0" fontId="5" fillId="9" borderId="0" applyNumberFormat="0" applyAlignment="0">
      <alignment horizontal="right"/>
    </xf>
    <xf numFmtId="0" fontId="5" fillId="8" borderId="0" applyNumberFormat="0" applyAlignment="0"/>
    <xf numFmtId="0" fontId="7" fillId="59" borderId="21">
      <alignment horizontal="left"/>
    </xf>
    <xf numFmtId="0" fontId="63" fillId="0" borderId="48" applyNumberFormat="0" applyFill="0" applyAlignment="0" applyProtection="0"/>
    <xf numFmtId="0" fontId="40" fillId="0" borderId="0" applyNumberFormat="0" applyFill="0" applyBorder="0" applyAlignment="0" applyProtection="0">
      <alignment vertical="top"/>
      <protection locked="0"/>
    </xf>
    <xf numFmtId="0" fontId="5" fillId="0" borderId="0"/>
    <xf numFmtId="0" fontId="5" fillId="0" borderId="0"/>
    <xf numFmtId="0" fontId="25" fillId="0" borderId="0"/>
    <xf numFmtId="0" fontId="5" fillId="0" borderId="0"/>
    <xf numFmtId="0" fontId="5" fillId="0" borderId="0"/>
    <xf numFmtId="0" fontId="5" fillId="0" borderId="0"/>
    <xf numFmtId="0" fontId="5" fillId="0" borderId="0">
      <alignment readingOrder="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xf numFmtId="0" fontId="20" fillId="0" borderId="0"/>
    <xf numFmtId="0" fontId="20" fillId="0" borderId="0"/>
    <xf numFmtId="0" fontId="20" fillId="0" borderId="0"/>
    <xf numFmtId="0" fontId="20" fillId="0" borderId="0"/>
    <xf numFmtId="0" fontId="20" fillId="0" borderId="0"/>
    <xf numFmtId="0" fontId="5" fillId="0" borderId="0">
      <alignment readingOrder="1"/>
    </xf>
    <xf numFmtId="0" fontId="20" fillId="0" borderId="0"/>
    <xf numFmtId="0" fontId="20" fillId="0" borderId="0"/>
    <xf numFmtId="0" fontId="20" fillId="0" borderId="0"/>
    <xf numFmtId="0" fontId="5" fillId="0" borderId="0">
      <alignment readingOrder="1"/>
    </xf>
    <xf numFmtId="0" fontId="5" fillId="0" borderId="0">
      <alignment readingOrder="1"/>
    </xf>
    <xf numFmtId="0" fontId="20" fillId="0" borderId="0"/>
    <xf numFmtId="0" fontId="6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readingOrder="1"/>
    </xf>
    <xf numFmtId="0" fontId="5" fillId="0" borderId="0">
      <alignment readingOrder="1"/>
    </xf>
    <xf numFmtId="0" fontId="5" fillId="0" borderId="0">
      <alignment readingOrder="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xf numFmtId="0" fontId="6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alignment readingOrder="1"/>
    </xf>
    <xf numFmtId="0" fontId="2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alignment readingOrder="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xf numFmtId="0" fontId="20" fillId="0" borderId="0"/>
    <xf numFmtId="0" fontId="20" fillId="0" borderId="0"/>
    <xf numFmtId="0" fontId="20" fillId="0" borderId="0"/>
    <xf numFmtId="0" fontId="20" fillId="0" borderId="0"/>
    <xf numFmtId="0" fontId="25" fillId="0" borderId="0"/>
    <xf numFmtId="0" fontId="20" fillId="0" borderId="0"/>
    <xf numFmtId="0" fontId="20" fillId="0" borderId="0"/>
    <xf numFmtId="0" fontId="20" fillId="0" borderId="0"/>
    <xf numFmtId="0" fontId="50" fillId="0" borderId="0"/>
    <xf numFmtId="0" fontId="5" fillId="0" borderId="0">
      <alignment readingOrder="1"/>
    </xf>
    <xf numFmtId="0" fontId="5" fillId="0" borderId="0">
      <alignment readingOrder="1"/>
    </xf>
    <xf numFmtId="0" fontId="5" fillId="0" borderId="0"/>
    <xf numFmtId="0" fontId="68" fillId="30" borderId="26" applyNumberFormat="0" applyFont="0" applyAlignment="0" applyProtection="0"/>
    <xf numFmtId="0" fontId="68" fillId="30" borderId="26" applyNumberFormat="0" applyFont="0" applyAlignment="0" applyProtection="0"/>
    <xf numFmtId="0" fontId="68" fillId="30" borderId="26"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0" fillId="0" borderId="0"/>
    <xf numFmtId="0" fontId="20" fillId="0" borderId="0"/>
    <xf numFmtId="0" fontId="25" fillId="0" borderId="0"/>
    <xf numFmtId="0" fontId="20" fillId="0" borderId="0"/>
    <xf numFmtId="0" fontId="1" fillId="0" borderId="0"/>
    <xf numFmtId="0" fontId="50" fillId="0" borderId="0"/>
    <xf numFmtId="9" fontId="5" fillId="0" borderId="0" applyFont="0" applyFill="0" applyBorder="0" applyAlignment="0" applyProtection="0"/>
    <xf numFmtId="9" fontId="1" fillId="0" borderId="0" applyFont="0" applyFill="0" applyBorder="0" applyAlignment="0" applyProtection="0"/>
  </cellStyleXfs>
  <cellXfs count="482">
    <xf numFmtId="0" fontId="0" fillId="0" borderId="0" xfId="0"/>
    <xf numFmtId="0" fontId="4" fillId="0" borderId="0" xfId="2" applyFont="1"/>
    <xf numFmtId="0" fontId="6" fillId="0" borderId="0" xfId="3" applyFont="1"/>
    <xf numFmtId="0" fontId="5" fillId="0" borderId="0" xfId="2" applyFont="1"/>
    <xf numFmtId="5" fontId="5" fillId="0" borderId="0" xfId="2" applyNumberFormat="1" applyFont="1"/>
    <xf numFmtId="164" fontId="5" fillId="0" borderId="0" xfId="2" applyNumberFormat="1" applyFont="1"/>
    <xf numFmtId="164" fontId="6" fillId="0" borderId="0" xfId="2" applyNumberFormat="1" applyFont="1"/>
    <xf numFmtId="0" fontId="0" fillId="0" borderId="0" xfId="0">
      <alignment readingOrder="1"/>
    </xf>
    <xf numFmtId="0" fontId="4" fillId="0" borderId="0" xfId="2" applyFont="1" applyAlignment="1">
      <alignment horizontal="left"/>
    </xf>
    <xf numFmtId="166" fontId="0" fillId="0" borderId="0" xfId="0" applyNumberFormat="1" applyAlignment="1">
      <alignment horizontal="center" readingOrder="1"/>
    </xf>
    <xf numFmtId="167" fontId="0" fillId="0" borderId="0" xfId="0" applyNumberFormat="1" applyAlignment="1">
      <alignment horizontal="center" readingOrder="1"/>
    </xf>
    <xf numFmtId="0" fontId="5" fillId="0" borderId="0" xfId="2" applyFont="1" applyAlignment="1">
      <alignment horizontal="center"/>
    </xf>
    <xf numFmtId="0" fontId="7" fillId="2" borderId="1" xfId="2" applyFont="1" applyFill="1" applyBorder="1" applyAlignment="1">
      <alignment horizontal="centerContinuous"/>
    </xf>
    <xf numFmtId="0" fontId="8" fillId="2" borderId="1" xfId="2" applyFont="1" applyFill="1" applyBorder="1" applyAlignment="1">
      <alignment horizontal="centerContinuous"/>
    </xf>
    <xf numFmtId="0" fontId="8" fillId="2" borderId="2" xfId="2" applyFont="1" applyFill="1" applyBorder="1" applyAlignment="1">
      <alignment horizontal="centerContinuous"/>
    </xf>
    <xf numFmtId="0" fontId="9" fillId="2" borderId="3" xfId="2" applyFont="1" applyFill="1" applyBorder="1" applyAlignment="1">
      <alignment horizontal="centerContinuous"/>
    </xf>
    <xf numFmtId="0" fontId="7" fillId="0" borderId="0" xfId="2" applyFont="1" applyFill="1" applyBorder="1" applyAlignment="1">
      <alignment horizontal="centerContinuous"/>
    </xf>
    <xf numFmtId="0" fontId="8" fillId="0" borderId="0" xfId="2" applyFont="1" applyFill="1" applyBorder="1" applyAlignment="1">
      <alignment horizontal="centerContinuous"/>
    </xf>
    <xf numFmtId="0" fontId="9" fillId="0" borderId="0" xfId="2" applyFont="1" applyFill="1" applyBorder="1" applyAlignment="1">
      <alignment horizontal="centerContinuous"/>
    </xf>
    <xf numFmtId="0" fontId="10" fillId="0" borderId="0" xfId="2" applyFont="1" applyFill="1" applyBorder="1" applyAlignment="1">
      <alignment horizontal="centerContinuous"/>
    </xf>
    <xf numFmtId="0" fontId="5" fillId="0" borderId="0" xfId="2" applyFont="1" applyFill="1" applyBorder="1"/>
    <xf numFmtId="0" fontId="10" fillId="5" borderId="5" xfId="2" applyFont="1" applyFill="1" applyBorder="1" applyAlignment="1">
      <alignment horizontal="center" wrapText="1"/>
    </xf>
    <xf numFmtId="0" fontId="10" fillId="5" borderId="5" xfId="0" applyFont="1" applyFill="1" applyBorder="1" applyAlignment="1">
      <alignment horizontal="center" wrapText="1"/>
    </xf>
    <xf numFmtId="0" fontId="10" fillId="0" borderId="0" xfId="2" applyFont="1" applyFill="1" applyBorder="1" applyAlignment="1">
      <alignment horizontal="center" wrapText="1"/>
    </xf>
    <xf numFmtId="0" fontId="5" fillId="6" borderId="0" xfId="4" applyFont="1" applyFill="1" applyBorder="1" applyAlignment="1">
      <alignment wrapText="1"/>
    </xf>
    <xf numFmtId="1" fontId="5" fillId="6" borderId="0" xfId="4" applyNumberFormat="1" applyFont="1" applyFill="1" applyBorder="1" applyAlignment="1">
      <alignment wrapText="1"/>
    </xf>
    <xf numFmtId="2" fontId="5" fillId="6" borderId="0" xfId="4" applyNumberFormat="1" applyFont="1" applyFill="1" applyBorder="1" applyAlignment="1">
      <alignment wrapText="1"/>
    </xf>
    <xf numFmtId="0" fontId="12" fillId="7" borderId="6" xfId="0" applyFont="1" applyFill="1" applyBorder="1" applyAlignment="1">
      <alignment horizontal="left" readingOrder="1"/>
    </xf>
    <xf numFmtId="0" fontId="12" fillId="7" borderId="7" xfId="0" applyFont="1" applyFill="1" applyBorder="1" applyAlignment="1">
      <alignment horizontal="center" wrapText="1" readingOrder="1"/>
    </xf>
    <xf numFmtId="164" fontId="0" fillId="0" borderId="0" xfId="0" applyNumberFormat="1">
      <alignment readingOrder="1"/>
    </xf>
    <xf numFmtId="0" fontId="10" fillId="8" borderId="5" xfId="0" applyFont="1" applyFill="1" applyBorder="1" applyAlignment="1">
      <alignment horizontal="center" wrapText="1" readingOrder="1"/>
    </xf>
    <xf numFmtId="0" fontId="10" fillId="8" borderId="7" xfId="0" applyFont="1" applyFill="1" applyBorder="1" applyAlignment="1">
      <alignment horizontal="center" wrapText="1" readingOrder="1"/>
    </xf>
    <xf numFmtId="164" fontId="10" fillId="8" borderId="7" xfId="0" applyNumberFormat="1" applyFont="1" applyFill="1" applyBorder="1" applyAlignment="1">
      <alignment horizontal="center" wrapText="1" readingOrder="1"/>
    </xf>
    <xf numFmtId="164" fontId="9" fillId="0" borderId="0" xfId="0" applyNumberFormat="1" applyFont="1">
      <alignment readingOrder="1"/>
    </xf>
    <xf numFmtId="164" fontId="10" fillId="9" borderId="8" xfId="0" applyNumberFormat="1" applyFont="1" applyFill="1" applyBorder="1" applyAlignment="1">
      <alignment horizontal="centerContinuous" wrapText="1" readingOrder="1"/>
    </xf>
    <xf numFmtId="1" fontId="0" fillId="0" borderId="0" xfId="0" applyNumberFormat="1">
      <alignment readingOrder="1"/>
    </xf>
    <xf numFmtId="0" fontId="10" fillId="9" borderId="5" xfId="0" applyFont="1" applyFill="1" applyBorder="1" applyAlignment="1">
      <alignment horizontal="center" wrapText="1" readingOrder="1"/>
    </xf>
    <xf numFmtId="0" fontId="10" fillId="9" borderId="7" xfId="0" applyFont="1" applyFill="1" applyBorder="1" applyAlignment="1">
      <alignment horizontal="center" wrapText="1" readingOrder="1"/>
    </xf>
    <xf numFmtId="164" fontId="10" fillId="9" borderId="7" xfId="0" applyNumberFormat="1" applyFont="1" applyFill="1" applyBorder="1" applyAlignment="1">
      <alignment horizontal="center" wrapText="1" readingOrder="1"/>
    </xf>
    <xf numFmtId="164" fontId="10" fillId="9" borderId="9" xfId="0" applyNumberFormat="1" applyFont="1" applyFill="1" applyBorder="1" applyAlignment="1">
      <alignment horizontal="centerContinuous" wrapText="1" readingOrder="1"/>
    </xf>
    <xf numFmtId="164" fontId="10" fillId="9" borderId="10" xfId="0" applyNumberFormat="1" applyFont="1" applyFill="1" applyBorder="1" applyAlignment="1">
      <alignment horizontal="centerContinuous" wrapText="1" readingOrder="1"/>
    </xf>
    <xf numFmtId="164" fontId="0" fillId="0" borderId="0" xfId="0" applyNumberFormat="1"/>
    <xf numFmtId="0" fontId="0" fillId="10" borderId="0" xfId="0" applyFill="1"/>
    <xf numFmtId="2" fontId="0" fillId="0" borderId="0" xfId="0" applyNumberFormat="1"/>
    <xf numFmtId="164" fontId="5" fillId="6" borderId="0" xfId="4" applyNumberFormat="1" applyFont="1" applyFill="1" applyBorder="1" applyAlignment="1">
      <alignment wrapText="1"/>
    </xf>
    <xf numFmtId="0" fontId="11" fillId="0" borderId="0" xfId="0" applyFont="1">
      <alignment readingOrder="1"/>
    </xf>
    <xf numFmtId="49" fontId="0" fillId="0" borderId="0" xfId="0" applyNumberFormat="1">
      <alignment readingOrder="1"/>
    </xf>
    <xf numFmtId="2" fontId="0" fillId="0" borderId="0" xfId="0" applyNumberFormat="1">
      <alignment readingOrder="1"/>
    </xf>
    <xf numFmtId="164" fontId="0" fillId="0" borderId="0" xfId="0" applyNumberFormat="1" applyAlignment="1">
      <alignment horizontal="center" readingOrder="1"/>
    </xf>
    <xf numFmtId="0" fontId="0" fillId="0" borderId="0" xfId="0" applyAlignment="1">
      <alignment horizontal="center" readingOrder="1"/>
    </xf>
    <xf numFmtId="0" fontId="0" fillId="0" borderId="0" xfId="0" applyFill="1" applyAlignment="1">
      <alignment horizontal="center" readingOrder="1"/>
    </xf>
    <xf numFmtId="0" fontId="0" fillId="13" borderId="0" xfId="0" applyFill="1">
      <alignment readingOrder="1"/>
    </xf>
    <xf numFmtId="0" fontId="0" fillId="0" borderId="0" xfId="0" applyFill="1" applyAlignment="1">
      <alignment vertical="center" wrapText="1" readingOrder="1"/>
    </xf>
    <xf numFmtId="0" fontId="0" fillId="0" borderId="0" xfId="0" applyFill="1">
      <alignment readingOrder="1"/>
    </xf>
    <xf numFmtId="0" fontId="0" fillId="0" borderId="0" xfId="0" quotePrefix="1" applyFill="1">
      <alignment readingOrder="1"/>
    </xf>
    <xf numFmtId="0" fontId="19" fillId="6" borderId="5" xfId="0" applyFont="1" applyFill="1" applyBorder="1"/>
    <xf numFmtId="9" fontId="5" fillId="14" borderId="0" xfId="9" applyFill="1" applyAlignment="1">
      <alignment horizontal="center" readingOrder="1"/>
    </xf>
    <xf numFmtId="1" fontId="0" fillId="11" borderId="0" xfId="0" applyNumberFormat="1" applyFill="1" applyAlignment="1">
      <alignment horizontal="center" readingOrder="1"/>
    </xf>
    <xf numFmtId="0" fontId="19" fillId="15" borderId="1" xfId="0" applyFont="1" applyFill="1" applyBorder="1"/>
    <xf numFmtId="0" fontId="19" fillId="15" borderId="4" xfId="0" applyFont="1" applyFill="1" applyBorder="1"/>
    <xf numFmtId="0" fontId="19" fillId="15" borderId="3" xfId="0" applyFont="1" applyFill="1" applyBorder="1"/>
    <xf numFmtId="0" fontId="19" fillId="15" borderId="11" xfId="0" applyFont="1" applyFill="1" applyBorder="1"/>
    <xf numFmtId="0" fontId="19" fillId="15" borderId="12" xfId="0" applyFont="1" applyFill="1" applyBorder="1"/>
    <xf numFmtId="0" fontId="19" fillId="15" borderId="13" xfId="0" applyFont="1" applyFill="1" applyBorder="1"/>
    <xf numFmtId="0" fontId="19" fillId="15" borderId="5" xfId="0" applyFont="1" applyFill="1" applyBorder="1"/>
    <xf numFmtId="0" fontId="19" fillId="14" borderId="5" xfId="0" applyFont="1" applyFill="1" applyBorder="1"/>
    <xf numFmtId="164" fontId="19" fillId="14" borderId="5" xfId="0" applyNumberFormat="1" applyFont="1" applyFill="1" applyBorder="1"/>
    <xf numFmtId="164" fontId="0" fillId="16" borderId="0" xfId="0" applyNumberFormat="1" applyFill="1" applyAlignment="1">
      <alignment horizontal="center" readingOrder="1"/>
    </xf>
    <xf numFmtId="9" fontId="19" fillId="15" borderId="5" xfId="9" applyFont="1" applyFill="1" applyBorder="1"/>
    <xf numFmtId="0" fontId="5" fillId="0" borderId="0" xfId="14">
      <alignment readingOrder="1"/>
    </xf>
    <xf numFmtId="0" fontId="24" fillId="12" borderId="14" xfId="0" applyFont="1" applyFill="1" applyBorder="1"/>
    <xf numFmtId="0" fontId="24" fillId="12" borderId="15" xfId="0" applyFont="1" applyFill="1" applyBorder="1"/>
    <xf numFmtId="0" fontId="24" fillId="12" borderId="8" xfId="0" applyFont="1" applyFill="1" applyBorder="1"/>
    <xf numFmtId="0" fontId="20" fillId="0" borderId="0" xfId="0" applyFont="1"/>
    <xf numFmtId="0" fontId="22" fillId="15" borderId="16" xfId="15" applyFont="1" applyFill="1" applyBorder="1" applyAlignment="1">
      <alignment horizontal="left" vertical="center" wrapText="1"/>
    </xf>
    <xf numFmtId="0" fontId="11" fillId="15" borderId="5" xfId="15" applyFont="1" applyFill="1" applyBorder="1" applyAlignment="1">
      <alignment horizontal="left" vertical="center" wrapText="1"/>
    </xf>
    <xf numFmtId="0" fontId="5" fillId="0" borderId="5" xfId="15" applyFont="1" applyFill="1" applyBorder="1" applyAlignment="1">
      <alignment horizontal="left" vertical="center" wrapText="1"/>
    </xf>
    <xf numFmtId="0" fontId="5" fillId="0" borderId="5" xfId="15" applyFont="1" applyBorder="1" applyAlignment="1">
      <alignment horizontal="left" vertical="center" wrapText="1" readingOrder="1"/>
    </xf>
    <xf numFmtId="0" fontId="5" fillId="0" borderId="5" xfId="15" applyNumberFormat="1" applyFont="1" applyBorder="1" applyAlignment="1">
      <alignment horizontal="left" vertical="center" wrapText="1" readingOrder="1"/>
    </xf>
    <xf numFmtId="0" fontId="22" fillId="15" borderId="5" xfId="15" applyFont="1" applyFill="1" applyBorder="1" applyAlignment="1">
      <alignment horizontal="left" vertical="center" wrapText="1"/>
    </xf>
    <xf numFmtId="0" fontId="21" fillId="0" borderId="5" xfId="15" applyFont="1" applyBorder="1" applyAlignment="1">
      <alignment horizontal="left" vertical="center" wrapText="1" readingOrder="1"/>
    </xf>
    <xf numFmtId="0" fontId="21" fillId="0" borderId="5" xfId="15" applyFont="1" applyBorder="1" applyAlignment="1">
      <alignment vertical="center" wrapText="1" readingOrder="1"/>
    </xf>
    <xf numFmtId="0" fontId="0" fillId="0" borderId="5" xfId="15" applyFont="1" applyBorder="1" applyAlignment="1">
      <alignment horizontal="left" vertical="center" wrapText="1" readingOrder="1"/>
    </xf>
    <xf numFmtId="0" fontId="8" fillId="60" borderId="7" xfId="2" applyFont="1" applyFill="1" applyBorder="1" applyAlignment="1">
      <alignment horizontal="center"/>
    </xf>
    <xf numFmtId="0" fontId="10" fillId="11" borderId="7" xfId="2" applyFont="1" applyFill="1" applyBorder="1" applyAlignment="1">
      <alignment horizontal="center" wrapText="1"/>
    </xf>
    <xf numFmtId="0" fontId="10" fillId="11" borderId="5" xfId="2" applyFont="1" applyFill="1" applyBorder="1" applyAlignment="1">
      <alignment horizontal="center" wrapText="1"/>
    </xf>
    <xf numFmtId="0" fontId="9" fillId="2" borderId="7" xfId="2" applyFont="1" applyFill="1" applyBorder="1" applyAlignment="1">
      <alignment horizontal="centerContinuous"/>
    </xf>
    <xf numFmtId="0" fontId="10" fillId="5" borderId="11" xfId="2" applyFont="1" applyFill="1" applyBorder="1" applyAlignment="1">
      <alignment horizontal="center" wrapText="1"/>
    </xf>
    <xf numFmtId="0" fontId="10" fillId="5" borderId="16" xfId="2" applyFont="1" applyFill="1" applyBorder="1" applyAlignment="1">
      <alignment horizontal="center" wrapText="1"/>
    </xf>
    <xf numFmtId="0" fontId="10" fillId="5" borderId="16" xfId="0" applyFont="1" applyFill="1" applyBorder="1" applyAlignment="1">
      <alignment horizontal="center" wrapText="1"/>
    </xf>
    <xf numFmtId="0" fontId="12" fillId="62" borderId="6" xfId="0" applyFont="1" applyFill="1" applyBorder="1" applyAlignment="1">
      <alignment horizontal="left" wrapText="1" readingOrder="1"/>
    </xf>
    <xf numFmtId="0" fontId="12" fillId="62" borderId="7" xfId="0" applyFont="1" applyFill="1" applyBorder="1" applyAlignment="1">
      <alignment horizontal="center" wrapText="1" readingOrder="1"/>
    </xf>
    <xf numFmtId="0" fontId="12" fillId="7" borderId="21" xfId="0" applyFont="1" applyFill="1" applyBorder="1" applyAlignment="1">
      <alignment horizontal="center" wrapText="1" readingOrder="1"/>
    </xf>
    <xf numFmtId="0" fontId="0" fillId="0" borderId="30" xfId="0" applyBorder="1">
      <alignment readingOrder="1"/>
    </xf>
    <xf numFmtId="0" fontId="0" fillId="0" borderId="31" xfId="0" applyBorder="1">
      <alignment readingOrder="1"/>
    </xf>
    <xf numFmtId="0" fontId="0" fillId="0" borderId="32" xfId="0" applyBorder="1">
      <alignment readingOrder="1"/>
    </xf>
    <xf numFmtId="0" fontId="0" fillId="0" borderId="33" xfId="0" applyBorder="1">
      <alignment readingOrder="1"/>
    </xf>
    <xf numFmtId="0" fontId="0" fillId="0" borderId="0" xfId="0" applyBorder="1">
      <alignment readingOrder="1"/>
    </xf>
    <xf numFmtId="0" fontId="0" fillId="0" borderId="34" xfId="0" applyBorder="1">
      <alignment readingOrder="1"/>
    </xf>
    <xf numFmtId="0" fontId="0" fillId="0" borderId="35" xfId="0" applyBorder="1">
      <alignment readingOrder="1"/>
    </xf>
    <xf numFmtId="0" fontId="0" fillId="0" borderId="36" xfId="0" applyBorder="1">
      <alignment readingOrder="1"/>
    </xf>
    <xf numFmtId="0" fontId="0" fillId="0" borderId="37" xfId="0" applyBorder="1">
      <alignment readingOrder="1"/>
    </xf>
    <xf numFmtId="0" fontId="10" fillId="63" borderId="14" xfId="0" applyFont="1" applyFill="1" applyBorder="1" applyAlignment="1">
      <alignment horizontal="centerContinuous" wrapText="1" readingOrder="1"/>
    </xf>
    <xf numFmtId="0" fontId="10" fillId="63" borderId="8" xfId="0" applyFont="1" applyFill="1" applyBorder="1" applyAlignment="1">
      <alignment horizontal="centerContinuous" wrapText="1" readingOrder="1"/>
    </xf>
    <xf numFmtId="164" fontId="10" fillId="63" borderId="14" xfId="0" applyNumberFormat="1" applyFont="1" applyFill="1" applyBorder="1" applyAlignment="1">
      <alignment horizontal="centerContinuous" wrapText="1" readingOrder="1"/>
    </xf>
    <xf numFmtId="164" fontId="10" fillId="63" borderId="15" xfId="0" applyNumberFormat="1" applyFont="1" applyFill="1" applyBorder="1" applyAlignment="1">
      <alignment horizontal="centerContinuous" wrapText="1" readingOrder="1"/>
    </xf>
    <xf numFmtId="164" fontId="10" fillId="63" borderId="8" xfId="0" applyNumberFormat="1" applyFont="1" applyFill="1" applyBorder="1" applyAlignment="1">
      <alignment horizontal="centerContinuous" wrapText="1" readingOrder="1"/>
    </xf>
    <xf numFmtId="164" fontId="10" fillId="63" borderId="21" xfId="0" applyNumberFormat="1" applyFont="1" applyFill="1" applyBorder="1" applyAlignment="1">
      <alignment horizontal="center" wrapText="1" readingOrder="1"/>
    </xf>
    <xf numFmtId="171" fontId="10" fillId="8" borderId="7" xfId="0" applyNumberFormat="1" applyFont="1" applyFill="1" applyBorder="1" applyAlignment="1">
      <alignment horizontal="center" wrapText="1" readingOrder="1"/>
    </xf>
    <xf numFmtId="164" fontId="59" fillId="0" borderId="0" xfId="0" applyNumberFormat="1" applyFont="1">
      <alignment readingOrder="1"/>
    </xf>
    <xf numFmtId="0" fontId="10" fillId="9" borderId="14" xfId="0" applyFont="1" applyFill="1" applyBorder="1" applyAlignment="1">
      <alignment horizontal="centerContinuous" wrapText="1" readingOrder="1"/>
    </xf>
    <xf numFmtId="0" fontId="10" fillId="9" borderId="15" xfId="0" applyFont="1" applyFill="1" applyBorder="1" applyAlignment="1">
      <alignment horizontal="centerContinuous" wrapText="1" readingOrder="1"/>
    </xf>
    <xf numFmtId="164" fontId="10" fillId="9" borderId="15" xfId="0" applyNumberFormat="1" applyFont="1" applyFill="1" applyBorder="1" applyAlignment="1">
      <alignment horizontal="centerContinuous" wrapText="1" readingOrder="1"/>
    </xf>
    <xf numFmtId="164" fontId="10" fillId="9" borderId="21" xfId="0" applyNumberFormat="1" applyFont="1" applyFill="1" applyBorder="1" applyAlignment="1">
      <alignment horizontal="center" wrapText="1" readingOrder="1"/>
    </xf>
    <xf numFmtId="164" fontId="10" fillId="9" borderId="14" xfId="0" applyNumberFormat="1" applyFont="1" applyFill="1" applyBorder="1" applyAlignment="1">
      <alignment horizontal="centerContinuous" wrapText="1" readingOrder="1"/>
    </xf>
    <xf numFmtId="164" fontId="11" fillId="0" borderId="0" xfId="0" applyNumberFormat="1" applyFont="1">
      <alignment readingOrder="1"/>
    </xf>
    <xf numFmtId="172" fontId="11" fillId="0" borderId="0" xfId="0" applyNumberFormat="1" applyFont="1">
      <alignment readingOrder="1"/>
    </xf>
    <xf numFmtId="172" fontId="0" fillId="0" borderId="0" xfId="0" applyNumberFormat="1">
      <alignment readingOrder="1"/>
    </xf>
    <xf numFmtId="172" fontId="59" fillId="0" borderId="0" xfId="0" applyNumberFormat="1" applyFont="1">
      <alignment readingOrder="1"/>
    </xf>
    <xf numFmtId="0" fontId="0" fillId="0" borderId="5" xfId="0" applyBorder="1"/>
    <xf numFmtId="9" fontId="0" fillId="0" borderId="0" xfId="0" applyNumberFormat="1"/>
    <xf numFmtId="9" fontId="0" fillId="0" borderId="0" xfId="9" applyFont="1"/>
    <xf numFmtId="9" fontId="11" fillId="77" borderId="0" xfId="0" applyNumberFormat="1" applyFont="1" applyFill="1">
      <alignment readingOrder="1"/>
    </xf>
    <xf numFmtId="0" fontId="0" fillId="77" borderId="0" xfId="0" applyFill="1">
      <alignment readingOrder="1"/>
    </xf>
    <xf numFmtId="1" fontId="0" fillId="77" borderId="0" xfId="0" applyNumberFormat="1" applyFill="1">
      <alignment readingOrder="1"/>
    </xf>
    <xf numFmtId="0" fontId="19" fillId="6" borderId="2" xfId="0" applyFont="1" applyFill="1" applyBorder="1"/>
    <xf numFmtId="0" fontId="19" fillId="15" borderId="6" xfId="0" applyFont="1" applyFill="1" applyBorder="1"/>
    <xf numFmtId="0" fontId="19" fillId="15" borderId="21" xfId="0" applyFont="1" applyFill="1" applyBorder="1"/>
    <xf numFmtId="0" fontId="19" fillId="15" borderId="7" xfId="0" applyFont="1" applyFill="1" applyBorder="1"/>
    <xf numFmtId="0" fontId="19" fillId="15" borderId="2" xfId="0" applyFont="1" applyFill="1" applyBorder="1"/>
    <xf numFmtId="0" fontId="0" fillId="78" borderId="0" xfId="0" applyFill="1" applyAlignment="1">
      <alignment horizontal="center" wrapText="1" readingOrder="1"/>
    </xf>
    <xf numFmtId="1" fontId="0" fillId="0" borderId="0" xfId="0" applyNumberFormat="1" applyFill="1">
      <alignment readingOrder="1"/>
    </xf>
    <xf numFmtId="173" fontId="0" fillId="0" borderId="0" xfId="0" applyNumberFormat="1">
      <alignment readingOrder="1"/>
    </xf>
    <xf numFmtId="173" fontId="0" fillId="0" borderId="0" xfId="0" applyNumberFormat="1" applyFill="1">
      <alignment readingOrder="1"/>
    </xf>
    <xf numFmtId="0" fontId="5" fillId="0" borderId="0" xfId="2" applyFont="1" applyFill="1"/>
    <xf numFmtId="165" fontId="5" fillId="0" borderId="0" xfId="2" applyNumberFormat="1" applyFont="1"/>
    <xf numFmtId="0" fontId="5" fillId="0" borderId="5" xfId="4" applyFont="1" applyBorder="1" applyAlignment="1"/>
    <xf numFmtId="0" fontId="5" fillId="0" borderId="5" xfId="4" applyFont="1" applyBorder="1" applyAlignment="1">
      <alignment wrapText="1"/>
    </xf>
    <xf numFmtId="1" fontId="5" fillId="0" borderId="5" xfId="4" applyNumberFormat="1" applyFont="1" applyBorder="1" applyAlignment="1">
      <alignment wrapText="1"/>
    </xf>
    <xf numFmtId="1" fontId="0" fillId="0" borderId="5" xfId="0" applyNumberFormat="1" applyBorder="1">
      <alignment readingOrder="1"/>
    </xf>
    <xf numFmtId="168" fontId="0" fillId="0" borderId="5" xfId="1" applyNumberFormat="1" applyFont="1" applyBorder="1">
      <alignment readingOrder="1"/>
    </xf>
    <xf numFmtId="0" fontId="5" fillId="0" borderId="5" xfId="0" applyFont="1" applyBorder="1">
      <alignment readingOrder="1"/>
    </xf>
    <xf numFmtId="0" fontId="5" fillId="0" borderId="0" xfId="0" applyFont="1" applyAlignment="1">
      <alignment horizontal="center" readingOrder="1"/>
    </xf>
    <xf numFmtId="1" fontId="5" fillId="0" borderId="5" xfId="4" applyNumberFormat="1" applyFont="1" applyBorder="1" applyAlignment="1"/>
    <xf numFmtId="0" fontId="0" fillId="0" borderId="5" xfId="0" applyBorder="1">
      <alignment readingOrder="1"/>
    </xf>
    <xf numFmtId="164" fontId="0" fillId="0" borderId="5" xfId="0" applyNumberFormat="1" applyBorder="1">
      <alignment readingOrder="1"/>
    </xf>
    <xf numFmtId="0" fontId="5" fillId="0" borderId="2" xfId="4" applyFont="1" applyBorder="1" applyAlignment="1"/>
    <xf numFmtId="0" fontId="5" fillId="0" borderId="2" xfId="4" applyFont="1" applyBorder="1" applyAlignment="1">
      <alignment wrapText="1"/>
    </xf>
    <xf numFmtId="1" fontId="5" fillId="0" borderId="2" xfId="4" applyNumberFormat="1" applyFont="1" applyBorder="1" applyAlignment="1"/>
    <xf numFmtId="1" fontId="0" fillId="0" borderId="2" xfId="0" applyNumberFormat="1" applyBorder="1">
      <alignment readingOrder="1"/>
    </xf>
    <xf numFmtId="164" fontId="0" fillId="0" borderId="2" xfId="0" applyNumberFormat="1" applyBorder="1">
      <alignment readingOrder="1"/>
    </xf>
    <xf numFmtId="0" fontId="5" fillId="79" borderId="5" xfId="4" applyFont="1" applyFill="1" applyBorder="1" applyAlignment="1">
      <alignment wrapText="1"/>
    </xf>
    <xf numFmtId="1" fontId="5" fillId="79" borderId="5" xfId="4" applyNumberFormat="1" applyFont="1" applyFill="1" applyBorder="1" applyAlignment="1">
      <alignment wrapText="1"/>
    </xf>
    <xf numFmtId="1" fontId="0" fillId="79" borderId="5" xfId="0" applyNumberFormat="1" applyFill="1" applyBorder="1">
      <alignment readingOrder="1"/>
    </xf>
    <xf numFmtId="44" fontId="0" fillId="79" borderId="5" xfId="1" applyFont="1" applyFill="1" applyBorder="1">
      <alignment readingOrder="1"/>
    </xf>
    <xf numFmtId="164" fontId="0" fillId="79" borderId="5" xfId="0" applyNumberFormat="1" applyFill="1" applyBorder="1">
      <alignment readingOrder="1"/>
    </xf>
    <xf numFmtId="0" fontId="5" fillId="79" borderId="5" xfId="0" applyFont="1" applyFill="1" applyBorder="1">
      <alignment readingOrder="1"/>
    </xf>
    <xf numFmtId="168" fontId="0" fillId="79" borderId="5" xfId="1" applyNumberFormat="1" applyFont="1" applyFill="1" applyBorder="1">
      <alignment readingOrder="1"/>
    </xf>
    <xf numFmtId="0" fontId="5" fillId="79" borderId="5" xfId="4" applyFont="1" applyFill="1" applyBorder="1" applyAlignment="1"/>
    <xf numFmtId="0" fontId="0" fillId="79" borderId="5" xfId="0" applyFill="1" applyBorder="1">
      <alignment readingOrder="1"/>
    </xf>
    <xf numFmtId="0" fontId="0" fillId="79" borderId="5" xfId="0" applyFill="1" applyBorder="1" applyAlignment="1"/>
    <xf numFmtId="9" fontId="0" fillId="80" borderId="5" xfId="9" applyFont="1" applyFill="1" applyBorder="1" applyAlignment="1">
      <alignment horizontal="center"/>
    </xf>
    <xf numFmtId="174" fontId="0" fillId="80" borderId="5" xfId="9" applyNumberFormat="1" applyFont="1" applyFill="1" applyBorder="1" applyAlignment="1">
      <alignment horizontal="center"/>
    </xf>
    <xf numFmtId="9" fontId="0" fillId="80" borderId="7" xfId="0" applyNumberFormat="1" applyFill="1" applyBorder="1" applyAlignment="1">
      <alignment horizontal="center"/>
    </xf>
    <xf numFmtId="0" fontId="0" fillId="8" borderId="5" xfId="0" applyFill="1" applyBorder="1"/>
    <xf numFmtId="0" fontId="60" fillId="0" borderId="39" xfId="0" applyFont="1" applyBorder="1" applyAlignment="1">
      <alignment horizontal="left"/>
    </xf>
    <xf numFmtId="0" fontId="60" fillId="0" borderId="40" xfId="0" applyFont="1" applyBorder="1" applyAlignment="1">
      <alignment horizontal="left"/>
    </xf>
    <xf numFmtId="0" fontId="60" fillId="0" borderId="41" xfId="0" applyFont="1" applyBorder="1" applyAlignment="1">
      <alignment horizontal="left"/>
    </xf>
    <xf numFmtId="9" fontId="0" fillId="10" borderId="0" xfId="9" applyFont="1" applyFill="1"/>
    <xf numFmtId="9" fontId="0" fillId="10" borderId="0" xfId="0" applyNumberFormat="1" applyFill="1"/>
    <xf numFmtId="0" fontId="0" fillId="81" borderId="0" xfId="0" applyFill="1"/>
    <xf numFmtId="9" fontId="0" fillId="81" borderId="0" xfId="9" applyFont="1" applyFill="1"/>
    <xf numFmtId="9" fontId="0" fillId="81" borderId="0" xfId="0" applyNumberFormat="1" applyFill="1"/>
    <xf numFmtId="0" fontId="0" fillId="82" borderId="0" xfId="0" applyFill="1"/>
    <xf numFmtId="9" fontId="0" fillId="82" borderId="0" xfId="9" applyFont="1" applyFill="1"/>
    <xf numFmtId="9" fontId="0" fillId="82" borderId="0" xfId="0" applyNumberFormat="1" applyFill="1"/>
    <xf numFmtId="0" fontId="0" fillId="83" borderId="0" xfId="0" applyFill="1"/>
    <xf numFmtId="9" fontId="0" fillId="83" borderId="0" xfId="9" applyFont="1" applyFill="1"/>
    <xf numFmtId="9" fontId="0" fillId="83" borderId="0" xfId="0" applyNumberFormat="1" applyFill="1"/>
    <xf numFmtId="175" fontId="0" fillId="0" borderId="0" xfId="0" applyNumberFormat="1"/>
    <xf numFmtId="1" fontId="0" fillId="0" borderId="0" xfId="0" applyNumberFormat="1"/>
    <xf numFmtId="174" fontId="0" fillId="80" borderId="7" xfId="0" applyNumberFormat="1" applyFill="1" applyBorder="1" applyAlignment="1">
      <alignment horizontal="center"/>
    </xf>
    <xf numFmtId="0" fontId="61" fillId="84" borderId="42" xfId="0" applyFont="1" applyFill="1" applyBorder="1"/>
    <xf numFmtId="0" fontId="61" fillId="84" borderId="43" xfId="0" applyFont="1" applyFill="1" applyBorder="1"/>
    <xf numFmtId="0" fontId="61" fillId="84" borderId="44" xfId="0" applyFont="1" applyFill="1" applyBorder="1"/>
    <xf numFmtId="0" fontId="62" fillId="85" borderId="42" xfId="0" applyFont="1" applyFill="1" applyBorder="1"/>
    <xf numFmtId="0" fontId="62" fillId="85" borderId="43" xfId="0" applyFont="1" applyFill="1" applyBorder="1"/>
    <xf numFmtId="3" fontId="62" fillId="85" borderId="43" xfId="0" applyNumberFormat="1" applyFont="1" applyFill="1" applyBorder="1"/>
    <xf numFmtId="175" fontId="62" fillId="85" borderId="44" xfId="0" applyNumberFormat="1" applyFont="1" applyFill="1" applyBorder="1"/>
    <xf numFmtId="0" fontId="62" fillId="0" borderId="45" xfId="0" applyFont="1" applyBorder="1"/>
    <xf numFmtId="0" fontId="62" fillId="0" borderId="46" xfId="0" applyFont="1" applyBorder="1"/>
    <xf numFmtId="3" fontId="62" fillId="0" borderId="46" xfId="0" applyNumberFormat="1" applyFont="1" applyBorder="1"/>
    <xf numFmtId="175" fontId="62" fillId="0" borderId="47" xfId="0" applyNumberFormat="1" applyFont="1" applyBorder="1"/>
    <xf numFmtId="0" fontId="62" fillId="85" borderId="45" xfId="0" applyFont="1" applyFill="1" applyBorder="1"/>
    <xf numFmtId="0" fontId="62" fillId="85" borderId="46" xfId="0" applyFont="1" applyFill="1" applyBorder="1"/>
    <xf numFmtId="3" fontId="62" fillId="85" borderId="46" xfId="0" applyNumberFormat="1" applyFont="1" applyFill="1" applyBorder="1"/>
    <xf numFmtId="175" fontId="62" fillId="85" borderId="47" xfId="0" applyNumberFormat="1" applyFont="1" applyFill="1" applyBorder="1"/>
    <xf numFmtId="0" fontId="62" fillId="0" borderId="42" xfId="0" applyFont="1" applyBorder="1"/>
    <xf numFmtId="0" fontId="62" fillId="0" borderId="43" xfId="0" applyFont="1" applyBorder="1"/>
    <xf numFmtId="3" fontId="62" fillId="0" borderId="43" xfId="0" applyNumberFormat="1" applyFont="1" applyBorder="1"/>
    <xf numFmtId="175" fontId="62" fillId="0" borderId="44" xfId="0" applyNumberFormat="1" applyFont="1" applyBorder="1"/>
    <xf numFmtId="174" fontId="0" fillId="86" borderId="5" xfId="9" applyNumberFormat="1" applyFont="1" applyFill="1" applyBorder="1" applyAlignment="1">
      <alignment horizontal="center"/>
    </xf>
    <xf numFmtId="174" fontId="0" fillId="86" borderId="7" xfId="0" applyNumberFormat="1" applyFill="1" applyBorder="1" applyAlignment="1">
      <alignment horizontal="center"/>
    </xf>
    <xf numFmtId="0" fontId="64" fillId="0" borderId="50" xfId="0" applyFont="1" applyFill="1" applyBorder="1"/>
    <xf numFmtId="0" fontId="64" fillId="0" borderId="54" xfId="0" applyFont="1" applyFill="1" applyBorder="1"/>
    <xf numFmtId="0" fontId="64" fillId="0" borderId="5" xfId="0" applyFont="1" applyBorder="1" applyAlignment="1">
      <alignment wrapText="1"/>
    </xf>
    <xf numFmtId="0" fontId="64" fillId="0" borderId="5" xfId="0" applyFont="1" applyBorder="1"/>
    <xf numFmtId="0" fontId="64" fillId="0" borderId="5" xfId="0" applyFont="1" applyFill="1" applyBorder="1" applyAlignment="1">
      <alignment wrapText="1"/>
    </xf>
    <xf numFmtId="0" fontId="64" fillId="0" borderId="6" xfId="0" applyFont="1" applyFill="1" applyBorder="1"/>
    <xf numFmtId="0" fontId="65" fillId="0" borderId="54" xfId="0" applyFont="1" applyFill="1" applyBorder="1" applyAlignment="1">
      <alignment wrapText="1"/>
    </xf>
    <xf numFmtId="0" fontId="64" fillId="0" borderId="6" xfId="0" applyFont="1" applyFill="1" applyBorder="1" applyAlignment="1">
      <alignment wrapText="1"/>
    </xf>
    <xf numFmtId="0" fontId="64" fillId="0" borderId="56" xfId="0" applyFont="1" applyFill="1" applyBorder="1" applyAlignment="1">
      <alignment wrapText="1"/>
    </xf>
    <xf numFmtId="176" fontId="0" fillId="0" borderId="0" xfId="509" applyNumberFormat="1" applyFont="1"/>
    <xf numFmtId="43" fontId="0" fillId="0" borderId="0" xfId="509" applyFont="1"/>
    <xf numFmtId="177" fontId="0" fillId="0" borderId="0" xfId="509" applyNumberFormat="1" applyFont="1"/>
    <xf numFmtId="0" fontId="5" fillId="0" borderId="0" xfId="0" applyFont="1">
      <alignment readingOrder="1"/>
    </xf>
    <xf numFmtId="177" fontId="0" fillId="0" borderId="0" xfId="0" applyNumberFormat="1">
      <alignment readingOrder="1"/>
    </xf>
    <xf numFmtId="0" fontId="48" fillId="0" borderId="0" xfId="0" applyFont="1" applyBorder="1">
      <alignment readingOrder="1"/>
    </xf>
    <xf numFmtId="0" fontId="5" fillId="81" borderId="1" xfId="0" applyFont="1" applyFill="1" applyBorder="1">
      <alignment readingOrder="1"/>
    </xf>
    <xf numFmtId="0" fontId="5" fillId="81" borderId="4" xfId="0" applyFont="1" applyFill="1" applyBorder="1" applyAlignment="1">
      <alignment horizontal="center" readingOrder="1"/>
    </xf>
    <xf numFmtId="0" fontId="5" fillId="81" borderId="3" xfId="0" applyFont="1" applyFill="1" applyBorder="1" applyAlignment="1">
      <alignment horizontal="center" readingOrder="1"/>
    </xf>
    <xf numFmtId="0" fontId="5" fillId="0" borderId="1" xfId="0" applyFont="1" applyBorder="1">
      <alignment readingOrder="1"/>
    </xf>
    <xf numFmtId="0" fontId="5" fillId="0" borderId="4" xfId="0" applyFont="1" applyBorder="1" applyAlignment="1">
      <alignment horizontal="center" readingOrder="1"/>
    </xf>
    <xf numFmtId="164" fontId="0" fillId="0" borderId="4" xfId="0" applyNumberFormat="1" applyBorder="1" applyAlignment="1">
      <alignment horizontal="center" readingOrder="1"/>
    </xf>
    <xf numFmtId="5" fontId="0" fillId="0" borderId="4" xfId="1" applyNumberFormat="1" applyFont="1" applyBorder="1" applyAlignment="1">
      <alignment horizontal="center" readingOrder="1"/>
    </xf>
    <xf numFmtId="5" fontId="0" fillId="0" borderId="3" xfId="1" applyNumberFormat="1" applyFont="1" applyBorder="1" applyAlignment="1">
      <alignment horizontal="center" readingOrder="1"/>
    </xf>
    <xf numFmtId="0" fontId="5" fillId="0" borderId="57" xfId="0" applyFont="1" applyBorder="1">
      <alignment readingOrder="1"/>
    </xf>
    <xf numFmtId="0" fontId="5" fillId="0" borderId="0" xfId="0" applyFont="1" applyBorder="1" applyAlignment="1">
      <alignment horizontal="center" readingOrder="1"/>
    </xf>
    <xf numFmtId="164" fontId="0" fillId="0" borderId="0" xfId="0" applyNumberFormat="1" applyBorder="1" applyAlignment="1">
      <alignment horizontal="center" readingOrder="1"/>
    </xf>
    <xf numFmtId="5" fontId="0" fillId="0" borderId="0" xfId="1" applyNumberFormat="1" applyFont="1" applyBorder="1" applyAlignment="1">
      <alignment horizontal="center" readingOrder="1"/>
    </xf>
    <xf numFmtId="5" fontId="0" fillId="0" borderId="58" xfId="1" applyNumberFormat="1" applyFont="1" applyBorder="1" applyAlignment="1">
      <alignment horizontal="center" readingOrder="1"/>
    </xf>
    <xf numFmtId="0" fontId="5" fillId="0" borderId="11" xfId="0" applyFont="1" applyBorder="1">
      <alignment readingOrder="1"/>
    </xf>
    <xf numFmtId="0" fontId="5" fillId="0" borderId="12" xfId="0" applyFont="1" applyBorder="1" applyAlignment="1">
      <alignment horizontal="center" readingOrder="1"/>
    </xf>
    <xf numFmtId="164" fontId="0" fillId="0" borderId="12" xfId="0" applyNumberFormat="1" applyBorder="1" applyAlignment="1">
      <alignment horizontal="center" readingOrder="1"/>
    </xf>
    <xf numFmtId="5" fontId="0" fillId="0" borderId="12" xfId="1" applyNumberFormat="1" applyFont="1" applyBorder="1" applyAlignment="1">
      <alignment horizontal="center" readingOrder="1"/>
    </xf>
    <xf numFmtId="5" fontId="0" fillId="0" borderId="13" xfId="1" applyNumberFormat="1" applyFont="1" applyBorder="1" applyAlignment="1">
      <alignment horizontal="center" readingOrder="1"/>
    </xf>
    <xf numFmtId="0" fontId="69" fillId="0" borderId="0" xfId="0" applyFont="1" applyAlignment="1">
      <alignment horizontal="center" readingOrder="1"/>
    </xf>
    <xf numFmtId="0" fontId="69" fillId="0" borderId="0" xfId="0" applyFont="1" applyAlignment="1">
      <alignment horizontal="center" wrapText="1" readingOrder="1"/>
    </xf>
    <xf numFmtId="0" fontId="0" fillId="0" borderId="1" xfId="0" applyBorder="1" applyAlignment="1">
      <alignment horizontal="center" readingOrder="1"/>
    </xf>
    <xf numFmtId="168" fontId="0" fillId="0" borderId="4" xfId="1" applyNumberFormat="1" applyFont="1" applyBorder="1" applyAlignment="1">
      <alignment horizontal="center" readingOrder="1"/>
    </xf>
    <xf numFmtId="168" fontId="0" fillId="0" borderId="3" xfId="1" applyNumberFormat="1" applyFont="1" applyBorder="1" applyAlignment="1">
      <alignment horizontal="center" readingOrder="1"/>
    </xf>
    <xf numFmtId="0" fontId="0" fillId="0" borderId="57" xfId="0" applyBorder="1" applyAlignment="1">
      <alignment horizontal="center" readingOrder="1"/>
    </xf>
    <xf numFmtId="168" fontId="0" fillId="0" borderId="0" xfId="1" applyNumberFormat="1" applyFont="1" applyBorder="1" applyAlignment="1">
      <alignment horizontal="center" readingOrder="1"/>
    </xf>
    <xf numFmtId="168" fontId="0" fillId="0" borderId="58" xfId="1" applyNumberFormat="1" applyFont="1" applyBorder="1" applyAlignment="1">
      <alignment horizontal="center" readingOrder="1"/>
    </xf>
    <xf numFmtId="0" fontId="0" fillId="0" borderId="11" xfId="0" applyBorder="1" applyAlignment="1">
      <alignment horizontal="center" readingOrder="1"/>
    </xf>
    <xf numFmtId="168" fontId="0" fillId="0" borderId="12" xfId="1" applyNumberFormat="1" applyFont="1" applyBorder="1" applyAlignment="1">
      <alignment horizontal="center" readingOrder="1"/>
    </xf>
    <xf numFmtId="168" fontId="0" fillId="0" borderId="13" xfId="1" applyNumberFormat="1" applyFont="1" applyBorder="1" applyAlignment="1">
      <alignment horizontal="center" readingOrder="1"/>
    </xf>
    <xf numFmtId="0" fontId="5" fillId="0" borderId="1" xfId="0" applyFont="1" applyBorder="1" applyAlignment="1">
      <alignment horizontal="center" readingOrder="1"/>
    </xf>
    <xf numFmtId="168" fontId="0" fillId="0" borderId="4" xfId="0" applyNumberFormat="1" applyBorder="1">
      <alignment readingOrder="1"/>
    </xf>
    <xf numFmtId="168" fontId="0" fillId="0" borderId="3" xfId="0" applyNumberFormat="1" applyBorder="1">
      <alignment readingOrder="1"/>
    </xf>
    <xf numFmtId="0" fontId="5" fillId="0" borderId="57" xfId="0" applyFont="1" applyBorder="1" applyAlignment="1">
      <alignment horizontal="center" readingOrder="1"/>
    </xf>
    <xf numFmtId="168" fontId="0" fillId="0" borderId="0" xfId="0" applyNumberFormat="1" applyBorder="1">
      <alignment readingOrder="1"/>
    </xf>
    <xf numFmtId="168" fontId="0" fillId="0" borderId="58" xfId="0" applyNumberFormat="1" applyBorder="1">
      <alignment readingOrder="1"/>
    </xf>
    <xf numFmtId="0" fontId="5" fillId="0" borderId="11" xfId="0" applyFont="1" applyBorder="1" applyAlignment="1">
      <alignment horizontal="center" readingOrder="1"/>
    </xf>
    <xf numFmtId="168" fontId="0" fillId="0" borderId="12" xfId="0" applyNumberFormat="1" applyBorder="1">
      <alignment readingOrder="1"/>
    </xf>
    <xf numFmtId="168" fontId="0" fillId="0" borderId="13" xfId="0" applyNumberFormat="1" applyBorder="1">
      <alignment readingOrder="1"/>
    </xf>
    <xf numFmtId="0" fontId="70" fillId="77" borderId="50" xfId="4" applyFont="1" applyFill="1" applyBorder="1" applyAlignment="1">
      <alignment horizontal="left"/>
    </xf>
    <xf numFmtId="0" fontId="70" fillId="77" borderId="51" xfId="4" applyFont="1" applyFill="1" applyBorder="1" applyAlignment="1">
      <alignment horizontal="left"/>
    </xf>
    <xf numFmtId="0" fontId="70" fillId="77" borderId="59" xfId="4" applyFont="1" applyFill="1" applyBorder="1" applyAlignment="1">
      <alignment horizontal="left"/>
    </xf>
    <xf numFmtId="0" fontId="48" fillId="88" borderId="54" xfId="8126" applyFont="1" applyFill="1" applyBorder="1" applyAlignment="1"/>
    <xf numFmtId="168" fontId="48" fillId="0" borderId="5" xfId="1" applyNumberFormat="1" applyFont="1" applyBorder="1">
      <alignment readingOrder="1"/>
    </xf>
    <xf numFmtId="0" fontId="48" fillId="0" borderId="5" xfId="0" applyFont="1" applyBorder="1">
      <alignment readingOrder="1"/>
    </xf>
    <xf numFmtId="0" fontId="48" fillId="0" borderId="56" xfId="0" applyFont="1" applyBorder="1">
      <alignment readingOrder="1"/>
    </xf>
    <xf numFmtId="44" fontId="48" fillId="0" borderId="5" xfId="1" applyFont="1" applyBorder="1">
      <alignment readingOrder="1"/>
    </xf>
    <xf numFmtId="0" fontId="48" fillId="88" borderId="60" xfId="8126" applyFont="1" applyFill="1" applyBorder="1" applyAlignment="1"/>
    <xf numFmtId="44" fontId="48" fillId="0" borderId="61" xfId="1" applyFont="1" applyBorder="1">
      <alignment readingOrder="1"/>
    </xf>
    <xf numFmtId="0" fontId="48" fillId="0" borderId="61" xfId="0" applyFont="1" applyBorder="1">
      <alignment readingOrder="1"/>
    </xf>
    <xf numFmtId="0" fontId="48" fillId="0" borderId="62" xfId="0" applyFont="1" applyBorder="1">
      <alignment readingOrder="1"/>
    </xf>
    <xf numFmtId="0" fontId="48" fillId="88" borderId="0" xfId="8126" applyFont="1" applyFill="1" applyBorder="1" applyAlignment="1"/>
    <xf numFmtId="44" fontId="48" fillId="0" borderId="0" xfId="1" applyFont="1" applyBorder="1">
      <alignment readingOrder="1"/>
    </xf>
    <xf numFmtId="0" fontId="5" fillId="0" borderId="6" xfId="0" applyFont="1" applyBorder="1" applyAlignment="1">
      <alignment vertical="center" wrapText="1" readingOrder="1"/>
    </xf>
    <xf numFmtId="0" fontId="5" fillId="0" borderId="21" xfId="0" applyFont="1" applyBorder="1" applyAlignment="1">
      <alignment horizontal="center" vertical="center" wrapText="1" readingOrder="1"/>
    </xf>
    <xf numFmtId="0" fontId="5" fillId="0" borderId="21" xfId="0" applyFont="1" applyFill="1" applyBorder="1" applyAlignment="1">
      <alignment horizontal="center" vertical="center" wrapText="1" readingOrder="1"/>
    </xf>
    <xf numFmtId="0" fontId="5" fillId="0" borderId="7" xfId="0" applyFont="1" applyFill="1" applyBorder="1" applyAlignment="1">
      <alignment horizontal="center" vertical="center" wrapText="1" readingOrder="1"/>
    </xf>
    <xf numFmtId="0" fontId="5" fillId="0" borderId="5" xfId="0" applyFont="1" applyBorder="1" applyAlignment="1">
      <alignment horizontal="center" vertical="center" wrapText="1" readingOrder="1"/>
    </xf>
    <xf numFmtId="0" fontId="5" fillId="0" borderId="1" xfId="0" applyFont="1" applyBorder="1" applyAlignment="1">
      <alignment horizontal="center" vertical="center" wrapText="1" readingOrder="1"/>
    </xf>
    <xf numFmtId="0" fontId="5" fillId="0" borderId="4" xfId="0" applyFont="1" applyBorder="1" applyAlignment="1">
      <alignment horizontal="center" vertical="center" wrapText="1" readingOrder="1"/>
    </xf>
    <xf numFmtId="0" fontId="5" fillId="0" borderId="3" xfId="0" applyFont="1" applyBorder="1" applyAlignment="1">
      <alignment horizontal="center" vertical="center" wrapText="1" readingOrder="1"/>
    </xf>
    <xf numFmtId="0" fontId="71" fillId="0" borderId="1" xfId="0" applyFont="1" applyBorder="1">
      <alignment readingOrder="1"/>
    </xf>
    <xf numFmtId="0" fontId="0" fillId="0" borderId="4" xfId="0" applyBorder="1">
      <alignment readingOrder="1"/>
    </xf>
    <xf numFmtId="9" fontId="0" fillId="0" borderId="4" xfId="9" applyFont="1" applyBorder="1" applyAlignment="1">
      <alignment horizontal="center" readingOrder="1"/>
    </xf>
    <xf numFmtId="0" fontId="0" fillId="0" borderId="4" xfId="0" applyBorder="1" applyAlignment="1">
      <alignment horizontal="center" readingOrder="1"/>
    </xf>
    <xf numFmtId="9" fontId="0" fillId="0" borderId="0" xfId="9" applyFont="1" applyBorder="1" applyAlignment="1">
      <alignment horizontal="center" readingOrder="1"/>
    </xf>
    <xf numFmtId="1" fontId="0" fillId="0" borderId="4" xfId="0" applyNumberFormat="1" applyBorder="1" applyAlignment="1">
      <alignment horizontal="center" readingOrder="1"/>
    </xf>
    <xf numFmtId="9" fontId="0" fillId="0" borderId="4" xfId="0" applyNumberFormat="1" applyBorder="1" applyAlignment="1">
      <alignment horizontal="center" readingOrder="1"/>
    </xf>
    <xf numFmtId="1" fontId="0" fillId="0" borderId="2" xfId="0" applyNumberFormat="1" applyBorder="1" applyAlignment="1">
      <alignment horizontal="center" readingOrder="1"/>
    </xf>
    <xf numFmtId="0" fontId="71" fillId="0" borderId="57" xfId="0" applyFont="1" applyBorder="1">
      <alignment readingOrder="1"/>
    </xf>
    <xf numFmtId="0" fontId="71" fillId="0" borderId="0" xfId="0" applyFont="1" applyBorder="1">
      <alignment readingOrder="1"/>
    </xf>
    <xf numFmtId="0" fontId="0" fillId="0" borderId="0" xfId="0" applyBorder="1" applyAlignment="1">
      <alignment horizontal="center" readingOrder="1"/>
    </xf>
    <xf numFmtId="9" fontId="0" fillId="0" borderId="0" xfId="0" applyNumberFormat="1" applyBorder="1" applyAlignment="1">
      <alignment horizontal="center" readingOrder="1"/>
    </xf>
    <xf numFmtId="1" fontId="0" fillId="0" borderId="0" xfId="0" applyNumberFormat="1" applyBorder="1" applyAlignment="1">
      <alignment horizontal="center" readingOrder="1"/>
    </xf>
    <xf numFmtId="1" fontId="0" fillId="0" borderId="63" xfId="0" applyNumberFormat="1" applyBorder="1" applyAlignment="1">
      <alignment horizontal="center" readingOrder="1"/>
    </xf>
    <xf numFmtId="9" fontId="5" fillId="0" borderId="0" xfId="0" applyNumberFormat="1" applyFont="1" applyBorder="1" applyAlignment="1">
      <alignment horizontal="center" readingOrder="1"/>
    </xf>
    <xf numFmtId="0" fontId="72" fillId="0" borderId="0" xfId="446" applyFont="1" applyBorder="1" applyAlignment="1">
      <alignment wrapText="1"/>
    </xf>
    <xf numFmtId="0" fontId="72" fillId="0" borderId="0" xfId="446" applyFont="1" applyBorder="1" applyAlignment="1">
      <alignment horizontal="center" wrapText="1"/>
    </xf>
    <xf numFmtId="0" fontId="72" fillId="0" borderId="0" xfId="446" applyFont="1" applyBorder="1" applyAlignment="1">
      <alignment horizontal="center"/>
    </xf>
    <xf numFmtId="0" fontId="71" fillId="0" borderId="11" xfId="0" applyFont="1" applyBorder="1">
      <alignment readingOrder="1"/>
    </xf>
    <xf numFmtId="0" fontId="71" fillId="0" borderId="12" xfId="0" applyFont="1" applyBorder="1">
      <alignment readingOrder="1"/>
    </xf>
    <xf numFmtId="0" fontId="0" fillId="0" borderId="12" xfId="0" applyBorder="1">
      <alignment readingOrder="1"/>
    </xf>
    <xf numFmtId="9" fontId="0" fillId="0" borderId="12" xfId="9" applyFont="1" applyBorder="1" applyAlignment="1">
      <alignment horizontal="center" readingOrder="1"/>
    </xf>
    <xf numFmtId="0" fontId="72" fillId="0" borderId="12" xfId="446" applyFont="1" applyBorder="1" applyAlignment="1">
      <alignment horizontal="center"/>
    </xf>
    <xf numFmtId="9" fontId="0" fillId="0" borderId="12" xfId="0" applyNumberFormat="1" applyBorder="1" applyAlignment="1">
      <alignment horizontal="center" readingOrder="1"/>
    </xf>
    <xf numFmtId="0" fontId="0" fillId="0" borderId="12" xfId="0" applyBorder="1" applyAlignment="1">
      <alignment horizontal="center" readingOrder="1"/>
    </xf>
    <xf numFmtId="1" fontId="0" fillId="0" borderId="12" xfId="0" applyNumberFormat="1" applyBorder="1" applyAlignment="1">
      <alignment horizontal="center" readingOrder="1"/>
    </xf>
    <xf numFmtId="0" fontId="71" fillId="0" borderId="4" xfId="0" applyFont="1" applyBorder="1">
      <alignment readingOrder="1"/>
    </xf>
    <xf numFmtId="9" fontId="5" fillId="0" borderId="0" xfId="9" applyFont="1" applyBorder="1" applyAlignment="1">
      <alignment horizontal="center" readingOrder="1"/>
    </xf>
    <xf numFmtId="1" fontId="0" fillId="0" borderId="16" xfId="0" applyNumberFormat="1" applyBorder="1" applyAlignment="1">
      <alignment horizontal="center" readingOrder="1"/>
    </xf>
    <xf numFmtId="0" fontId="71" fillId="0" borderId="0" xfId="0" applyFont="1" applyBorder="1" applyAlignment="1">
      <alignment horizontal="center" readingOrder="1"/>
    </xf>
    <xf numFmtId="168" fontId="0" fillId="0" borderId="0" xfId="1" applyNumberFormat="1" applyFont="1" applyBorder="1">
      <alignment readingOrder="1"/>
    </xf>
    <xf numFmtId="0" fontId="71" fillId="0" borderId="12" xfId="0" applyFont="1" applyBorder="1" applyAlignment="1">
      <alignment horizontal="center" readingOrder="1"/>
    </xf>
    <xf numFmtId="168" fontId="0" fillId="0" borderId="12" xfId="1" applyNumberFormat="1" applyFont="1" applyBorder="1">
      <alignment readingOrder="1"/>
    </xf>
    <xf numFmtId="0" fontId="72" fillId="0" borderId="0" xfId="446" applyFont="1" applyBorder="1" applyAlignment="1"/>
    <xf numFmtId="0" fontId="0" fillId="0" borderId="0" xfId="0" applyFont="1" applyAlignment="1"/>
    <xf numFmtId="9" fontId="0" fillId="0" borderId="0" xfId="9" applyFont="1" applyBorder="1" applyAlignment="1">
      <alignment horizontal="center"/>
    </xf>
    <xf numFmtId="0" fontId="0" fillId="0" borderId="0" xfId="0" applyFont="1"/>
    <xf numFmtId="0" fontId="74" fillId="0" borderId="0" xfId="185" applyFont="1" applyAlignment="1" applyProtection="1"/>
    <xf numFmtId="9" fontId="73" fillId="81" borderId="60" xfId="446" applyNumberFormat="1" applyFont="1" applyFill="1" applyBorder="1" applyAlignment="1">
      <alignment horizontal="center"/>
    </xf>
    <xf numFmtId="0" fontId="73" fillId="81" borderId="67" xfId="446" applyFont="1" applyFill="1" applyBorder="1" applyAlignment="1">
      <alignment horizontal="center"/>
    </xf>
    <xf numFmtId="0" fontId="73" fillId="81" borderId="61" xfId="446" applyFont="1" applyFill="1" applyBorder="1" applyAlignment="1">
      <alignment horizontal="center"/>
    </xf>
    <xf numFmtId="0" fontId="73" fillId="81" borderId="62" xfId="446" applyFont="1" applyFill="1" applyBorder="1" applyAlignment="1">
      <alignment horizontal="center"/>
    </xf>
    <xf numFmtId="0" fontId="73" fillId="0" borderId="68" xfId="446" applyFont="1" applyBorder="1"/>
    <xf numFmtId="9" fontId="73" fillId="0" borderId="69" xfId="9" applyNumberFormat="1" applyFont="1" applyBorder="1" applyAlignment="1">
      <alignment horizontal="center"/>
    </xf>
    <xf numFmtId="9" fontId="73" fillId="0" borderId="16" xfId="9" applyFont="1" applyBorder="1" applyAlignment="1">
      <alignment horizontal="center"/>
    </xf>
    <xf numFmtId="9" fontId="73" fillId="0" borderId="70" xfId="9" applyFont="1" applyBorder="1" applyAlignment="1">
      <alignment horizontal="center"/>
    </xf>
    <xf numFmtId="0" fontId="75" fillId="0" borderId="5" xfId="0" applyFont="1" applyBorder="1" applyAlignment="1">
      <alignment horizontal="center" vertical="center" wrapText="1"/>
    </xf>
    <xf numFmtId="0" fontId="75" fillId="0" borderId="5" xfId="0" applyFont="1" applyBorder="1" applyAlignment="1">
      <alignment horizontal="center" vertical="center"/>
    </xf>
    <xf numFmtId="0" fontId="73" fillId="0" borderId="71" xfId="446" applyFont="1" applyBorder="1"/>
    <xf numFmtId="9" fontId="73" fillId="0" borderId="54" xfId="9" applyFont="1" applyBorder="1" applyAlignment="1">
      <alignment horizontal="center"/>
    </xf>
    <xf numFmtId="9" fontId="73" fillId="0" borderId="5" xfId="9" applyFont="1" applyBorder="1" applyAlignment="1">
      <alignment horizontal="center"/>
    </xf>
    <xf numFmtId="9" fontId="73" fillId="0" borderId="56" xfId="9" applyFont="1" applyBorder="1" applyAlignment="1">
      <alignment horizontal="center"/>
    </xf>
    <xf numFmtId="0" fontId="73" fillId="0" borderId="72" xfId="446" applyFont="1" applyBorder="1"/>
    <xf numFmtId="9" fontId="73" fillId="0" borderId="60" xfId="9" applyFont="1" applyBorder="1" applyAlignment="1">
      <alignment horizontal="center"/>
    </xf>
    <xf numFmtId="9" fontId="73" fillId="0" borderId="61" xfId="9" applyFont="1" applyBorder="1" applyAlignment="1">
      <alignment horizontal="center"/>
    </xf>
    <xf numFmtId="9" fontId="73" fillId="0" borderId="62" xfId="9" applyFont="1" applyBorder="1" applyAlignment="1">
      <alignment horizontal="center"/>
    </xf>
    <xf numFmtId="0" fontId="75" fillId="0" borderId="5" xfId="0" applyFont="1" applyBorder="1" applyAlignment="1">
      <alignment vertical="center"/>
    </xf>
    <xf numFmtId="9" fontId="73" fillId="0" borderId="69" xfId="9" applyFont="1" applyBorder="1" applyAlignment="1">
      <alignment horizontal="center"/>
    </xf>
    <xf numFmtId="0" fontId="73" fillId="0" borderId="73" xfId="446" applyFont="1" applyBorder="1"/>
    <xf numFmtId="9" fontId="73" fillId="0" borderId="74" xfId="9" applyFont="1" applyBorder="1" applyAlignment="1">
      <alignment horizontal="center"/>
    </xf>
    <xf numFmtId="9" fontId="73" fillId="0" borderId="2" xfId="9" applyFont="1" applyBorder="1" applyAlignment="1">
      <alignment horizontal="center"/>
    </xf>
    <xf numFmtId="9" fontId="73" fillId="0" borderId="75" xfId="9" applyFont="1" applyBorder="1" applyAlignment="1">
      <alignment horizontal="center"/>
    </xf>
    <xf numFmtId="0" fontId="73" fillId="0" borderId="76" xfId="446" applyFont="1" applyBorder="1"/>
    <xf numFmtId="9" fontId="73" fillId="0" borderId="50" xfId="9" applyFont="1" applyBorder="1" applyAlignment="1">
      <alignment horizontal="center"/>
    </xf>
    <xf numFmtId="9" fontId="73" fillId="0" borderId="51" xfId="9" applyFont="1" applyBorder="1" applyAlignment="1">
      <alignment horizontal="center"/>
    </xf>
    <xf numFmtId="9" fontId="73" fillId="0" borderId="59" xfId="9" applyFont="1" applyBorder="1" applyAlignment="1">
      <alignment horizontal="center"/>
    </xf>
    <xf numFmtId="0" fontId="75" fillId="0" borderId="77" xfId="0" applyFont="1" applyBorder="1" applyAlignment="1">
      <alignment vertical="center"/>
    </xf>
    <xf numFmtId="0" fontId="75" fillId="0" borderId="77" xfId="0" applyFont="1" applyBorder="1" applyAlignment="1">
      <alignment horizontal="center" vertical="center"/>
    </xf>
    <xf numFmtId="0" fontId="75" fillId="0" borderId="16" xfId="0" applyFont="1" applyBorder="1" applyAlignment="1">
      <alignment vertical="center"/>
    </xf>
    <xf numFmtId="0" fontId="75" fillId="0" borderId="16" xfId="0" applyFont="1" applyBorder="1" applyAlignment="1">
      <alignment horizontal="center" vertical="center"/>
    </xf>
    <xf numFmtId="0" fontId="75" fillId="0" borderId="0" xfId="0" applyFont="1" applyFill="1" applyBorder="1" applyAlignment="1">
      <alignment vertical="center"/>
    </xf>
    <xf numFmtId="0" fontId="75" fillId="0" borderId="2" xfId="0" applyFont="1" applyFill="1" applyBorder="1" applyAlignment="1">
      <alignment horizontal="center" vertical="center" wrapText="1"/>
    </xf>
    <xf numFmtId="0" fontId="75" fillId="0" borderId="16" xfId="0" applyFont="1" applyFill="1" applyBorder="1" applyAlignment="1">
      <alignment horizontal="center" vertical="center" wrapText="1"/>
    </xf>
    <xf numFmtId="0" fontId="0" fillId="0" borderId="5" xfId="0" applyFont="1" applyBorder="1"/>
    <xf numFmtId="0" fontId="0" fillId="0" borderId="77" xfId="0" applyFont="1" applyBorder="1"/>
    <xf numFmtId="0" fontId="0" fillId="0" borderId="16" xfId="0" applyFont="1" applyBorder="1"/>
    <xf numFmtId="0" fontId="73" fillId="81" borderId="60" xfId="446" applyFont="1" applyFill="1" applyBorder="1" applyAlignment="1">
      <alignment horizontal="center"/>
    </xf>
    <xf numFmtId="0" fontId="5" fillId="0" borderId="0" xfId="0" applyFont="1" applyAlignment="1"/>
    <xf numFmtId="0" fontId="0" fillId="0" borderId="0" xfId="0" applyAlignment="1"/>
    <xf numFmtId="0" fontId="0" fillId="0" borderId="30" xfId="0" applyBorder="1" applyAlignment="1"/>
    <xf numFmtId="0" fontId="0" fillId="0" borderId="31" xfId="0" applyBorder="1" applyAlignment="1"/>
    <xf numFmtId="0" fontId="0" fillId="0" borderId="32" xfId="0" applyBorder="1" applyAlignment="1"/>
    <xf numFmtId="0" fontId="0" fillId="0" borderId="33" xfId="0" applyBorder="1" applyAlignment="1"/>
    <xf numFmtId="0" fontId="0" fillId="0" borderId="0" xfId="0" applyBorder="1" applyAlignment="1"/>
    <xf numFmtId="0" fontId="0" fillId="0" borderId="0" xfId="0" applyBorder="1" applyAlignment="1">
      <alignment horizontal="center"/>
    </xf>
    <xf numFmtId="0" fontId="11" fillId="0" borderId="0" xfId="0" applyFont="1" applyBorder="1" applyAlignment="1">
      <alignment horizontal="center"/>
    </xf>
    <xf numFmtId="0" fontId="0" fillId="0" borderId="34" xfId="0" applyBorder="1" applyAlignment="1"/>
    <xf numFmtId="0" fontId="11" fillId="0" borderId="0" xfId="0" applyFont="1" applyBorder="1" applyAlignment="1"/>
    <xf numFmtId="14" fontId="0" fillId="0" borderId="33" xfId="0" applyNumberFormat="1" applyBorder="1" applyAlignment="1"/>
    <xf numFmtId="42" fontId="0" fillId="0" borderId="0" xfId="0" applyNumberFormat="1" applyBorder="1" applyAlignment="1"/>
    <xf numFmtId="42" fontId="0" fillId="0" borderId="1" xfId="0" applyNumberFormat="1" applyBorder="1" applyAlignment="1"/>
    <xf numFmtId="0" fontId="0" fillId="0" borderId="3" xfId="0" applyBorder="1" applyAlignment="1">
      <alignment horizontal="center"/>
    </xf>
    <xf numFmtId="168" fontId="0" fillId="0" borderId="0" xfId="0" applyNumberFormat="1" applyBorder="1" applyAlignment="1">
      <alignment horizontal="center"/>
    </xf>
    <xf numFmtId="42" fontId="0" fillId="0" borderId="3" xfId="0" applyNumberFormat="1" applyBorder="1" applyAlignment="1"/>
    <xf numFmtId="42" fontId="0" fillId="0" borderId="57" xfId="0" applyNumberFormat="1" applyBorder="1" applyAlignment="1"/>
    <xf numFmtId="0" fontId="0" fillId="0" borderId="58" xfId="0" applyBorder="1" applyAlignment="1">
      <alignment horizontal="center"/>
    </xf>
    <xf numFmtId="42" fontId="0" fillId="0" borderId="58" xfId="0" applyNumberFormat="1" applyBorder="1" applyAlignment="1"/>
    <xf numFmtId="42" fontId="0" fillId="0" borderId="11" xfId="0" applyNumberFormat="1" applyBorder="1" applyAlignment="1"/>
    <xf numFmtId="0" fontId="0" fillId="0" borderId="13" xfId="0" applyBorder="1" applyAlignment="1">
      <alignment horizontal="center"/>
    </xf>
    <xf numFmtId="42" fontId="0" fillId="0" borderId="6" xfId="0" applyNumberFormat="1" applyBorder="1" applyAlignment="1"/>
    <xf numFmtId="0" fontId="0" fillId="0" borderId="7" xfId="0" applyBorder="1" applyAlignment="1">
      <alignment horizontal="center"/>
    </xf>
    <xf numFmtId="42" fontId="0" fillId="0" borderId="11" xfId="0" applyNumberFormat="1" applyFill="1" applyBorder="1" applyAlignment="1"/>
    <xf numFmtId="0" fontId="0" fillId="0" borderId="13" xfId="0" applyFill="1" applyBorder="1" applyAlignment="1">
      <alignment horizontal="center"/>
    </xf>
    <xf numFmtId="42" fontId="0" fillId="0" borderId="13" xfId="0" applyNumberFormat="1" applyBorder="1" applyAlignment="1"/>
    <xf numFmtId="9" fontId="0" fillId="0" borderId="1" xfId="9" applyFont="1" applyBorder="1" applyAlignment="1">
      <alignment horizontal="center"/>
    </xf>
    <xf numFmtId="168" fontId="0" fillId="0" borderId="3" xfId="0" applyNumberFormat="1" applyBorder="1" applyAlignment="1">
      <alignment horizontal="center"/>
    </xf>
    <xf numFmtId="168" fontId="0" fillId="0" borderId="0" xfId="0" applyNumberFormat="1" applyBorder="1" applyAlignment="1"/>
    <xf numFmtId="168" fontId="0" fillId="0" borderId="34" xfId="0" applyNumberFormat="1" applyBorder="1" applyAlignment="1"/>
    <xf numFmtId="9" fontId="0" fillId="89" borderId="57" xfId="9" applyFont="1" applyFill="1" applyBorder="1" applyAlignment="1">
      <alignment horizontal="center"/>
    </xf>
    <xf numFmtId="168" fontId="0" fillId="89" borderId="58" xfId="0" applyNumberFormat="1" applyFill="1" applyBorder="1" applyAlignment="1">
      <alignment horizontal="center"/>
    </xf>
    <xf numFmtId="9" fontId="0" fillId="89" borderId="0" xfId="9" applyFont="1" applyFill="1" applyBorder="1" applyAlignment="1">
      <alignment horizontal="center"/>
    </xf>
    <xf numFmtId="168" fontId="0" fillId="89" borderId="0" xfId="0" applyNumberFormat="1" applyFill="1" applyBorder="1" applyAlignment="1"/>
    <xf numFmtId="168" fontId="0" fillId="89" borderId="34" xfId="0" applyNumberFormat="1" applyFill="1" applyBorder="1" applyAlignment="1"/>
    <xf numFmtId="9" fontId="0" fillId="0" borderId="57" xfId="9" applyFont="1" applyBorder="1" applyAlignment="1">
      <alignment horizontal="center"/>
    </xf>
    <xf numFmtId="168" fontId="0" fillId="0" borderId="58" xfId="0" applyNumberFormat="1" applyBorder="1" applyAlignment="1">
      <alignment horizontal="center"/>
    </xf>
    <xf numFmtId="9" fontId="0" fillId="0" borderId="11" xfId="9" applyFont="1" applyBorder="1" applyAlignment="1">
      <alignment horizontal="center"/>
    </xf>
    <xf numFmtId="168" fontId="0" fillId="0" borderId="13" xfId="0" applyNumberFormat="1" applyBorder="1" applyAlignment="1">
      <alignment horizontal="center"/>
    </xf>
    <xf numFmtId="0" fontId="0" fillId="0" borderId="35" xfId="0" applyBorder="1" applyAlignment="1"/>
    <xf numFmtId="0" fontId="0" fillId="0" borderId="36" xfId="0" applyBorder="1" applyAlignment="1"/>
    <xf numFmtId="0" fontId="0" fillId="0" borderId="37" xfId="0" applyBorder="1" applyAlignment="1"/>
    <xf numFmtId="0" fontId="70" fillId="77" borderId="2" xfId="4" applyFont="1" applyFill="1" applyBorder="1" applyAlignment="1">
      <alignment horizontal="left"/>
    </xf>
    <xf numFmtId="0" fontId="70" fillId="77" borderId="0" xfId="4" applyFont="1" applyFill="1" applyBorder="1" applyAlignment="1">
      <alignment horizontal="left"/>
    </xf>
    <xf numFmtId="44" fontId="0" fillId="0" borderId="5" xfId="1" applyNumberFormat="1" applyFont="1" applyBorder="1">
      <alignment readingOrder="1"/>
    </xf>
    <xf numFmtId="0" fontId="5" fillId="90" borderId="5" xfId="0" applyFont="1" applyFill="1" applyBorder="1"/>
    <xf numFmtId="9" fontId="5" fillId="90" borderId="5" xfId="0" applyNumberFormat="1" applyFont="1" applyFill="1" applyBorder="1"/>
    <xf numFmtId="9" fontId="5" fillId="90" borderId="5" xfId="9" applyFont="1" applyFill="1" applyBorder="1"/>
    <xf numFmtId="9" fontId="0" fillId="0" borderId="78" xfId="0" applyNumberFormat="1" applyBorder="1">
      <alignment readingOrder="1"/>
    </xf>
    <xf numFmtId="0" fontId="0" fillId="5" borderId="0" xfId="0" applyFill="1">
      <alignment readingOrder="1"/>
    </xf>
    <xf numFmtId="2" fontId="0" fillId="11" borderId="0" xfId="0" applyNumberFormat="1" applyFill="1" applyAlignment="1">
      <alignment horizontal="center" readingOrder="1"/>
    </xf>
    <xf numFmtId="43" fontId="0" fillId="11" borderId="0" xfId="509" applyFont="1" applyFill="1" applyAlignment="1">
      <alignment horizontal="center" readingOrder="1"/>
    </xf>
    <xf numFmtId="9" fontId="0" fillId="80" borderId="5" xfId="0" applyNumberFormat="1" applyFill="1" applyBorder="1" applyAlignment="1">
      <alignment horizontal="center"/>
    </xf>
    <xf numFmtId="0" fontId="77" fillId="0" borderId="0" xfId="4423" applyFont="1">
      <alignment readingOrder="1"/>
    </xf>
    <xf numFmtId="0" fontId="67" fillId="0" borderId="0" xfId="4423" applyFont="1">
      <alignment readingOrder="1"/>
    </xf>
    <xf numFmtId="0" fontId="76" fillId="0" borderId="0" xfId="4423" applyFont="1">
      <alignment readingOrder="1"/>
    </xf>
    <xf numFmtId="0" fontId="67" fillId="0" borderId="0" xfId="4423" applyFont="1" applyFill="1">
      <alignment readingOrder="1"/>
    </xf>
    <xf numFmtId="0" fontId="78" fillId="0" borderId="0" xfId="4423" applyFont="1">
      <alignment readingOrder="1"/>
    </xf>
    <xf numFmtId="0" fontId="79" fillId="0" borderId="0" xfId="4423" applyFont="1" applyAlignment="1">
      <alignment vertical="center"/>
    </xf>
    <xf numFmtId="0" fontId="67" fillId="0" borderId="5" xfId="4423" applyFont="1" applyBorder="1" applyAlignment="1">
      <alignment wrapText="1" readingOrder="1"/>
    </xf>
    <xf numFmtId="0" fontId="67" fillId="0" borderId="6" xfId="4423" applyFont="1" applyBorder="1" applyAlignment="1">
      <alignment wrapText="1" readingOrder="1"/>
    </xf>
    <xf numFmtId="0" fontId="67" fillId="0" borderId="57" xfId="4423" applyFont="1" applyBorder="1" applyAlignment="1">
      <alignment wrapText="1" readingOrder="1"/>
    </xf>
    <xf numFmtId="0" fontId="67" fillId="0" borderId="0" xfId="4423" applyFont="1" applyBorder="1" applyAlignment="1">
      <alignment wrapText="1" readingOrder="1"/>
    </xf>
    <xf numFmtId="0" fontId="67" fillId="0" borderId="0" xfId="4423" applyFont="1" applyAlignment="1">
      <alignment wrapText="1" readingOrder="1"/>
    </xf>
    <xf numFmtId="0" fontId="67" fillId="0" borderId="5" xfId="4423" applyFont="1" applyBorder="1">
      <alignment readingOrder="1"/>
    </xf>
    <xf numFmtId="168" fontId="67" fillId="0" borderId="6" xfId="4423" applyNumberFormat="1" applyFont="1" applyBorder="1">
      <alignment readingOrder="1"/>
    </xf>
    <xf numFmtId="6" fontId="67" fillId="0" borderId="57" xfId="4423" applyNumberFormat="1" applyFont="1" applyBorder="1">
      <alignment readingOrder="1"/>
    </xf>
    <xf numFmtId="0" fontId="67" fillId="0" borderId="0" xfId="4423" applyFont="1" applyBorder="1">
      <alignment readingOrder="1"/>
    </xf>
    <xf numFmtId="6" fontId="67" fillId="0" borderId="57" xfId="4423" applyNumberFormat="1" applyFont="1" applyFill="1" applyBorder="1">
      <alignment readingOrder="1"/>
    </xf>
    <xf numFmtId="0" fontId="67" fillId="0" borderId="5" xfId="4423" applyBorder="1" applyAlignment="1">
      <alignment wrapText="1" readingOrder="1"/>
    </xf>
    <xf numFmtId="0" fontId="67" fillId="0" borderId="0" xfId="4423">
      <alignment readingOrder="1"/>
    </xf>
    <xf numFmtId="168" fontId="67" fillId="0" borderId="5" xfId="4423" applyNumberFormat="1" applyFont="1" applyBorder="1">
      <alignment readingOrder="1"/>
    </xf>
    <xf numFmtId="0" fontId="60" fillId="0" borderId="0" xfId="4423" applyFont="1" applyFill="1" applyBorder="1"/>
    <xf numFmtId="0" fontId="67" fillId="0" borderId="0" xfId="4423" applyFont="1" applyFill="1" applyBorder="1">
      <alignment readingOrder="1"/>
    </xf>
    <xf numFmtId="0" fontId="67" fillId="0" borderId="5" xfId="4423" applyBorder="1"/>
    <xf numFmtId="0" fontId="67" fillId="0" borderId="5" xfId="4423" applyBorder="1" applyAlignment="1">
      <alignment wrapText="1"/>
    </xf>
    <xf numFmtId="0" fontId="67" fillId="0" borderId="5" xfId="4423" applyFont="1" applyFill="1" applyBorder="1" applyAlignment="1">
      <alignment wrapText="1" readingOrder="1"/>
    </xf>
    <xf numFmtId="175" fontId="67" fillId="0" borderId="5" xfId="4423" applyNumberFormat="1" applyBorder="1"/>
    <xf numFmtId="175" fontId="67" fillId="0" borderId="5" xfId="4423" applyNumberFormat="1" applyFont="1" applyBorder="1">
      <alignment readingOrder="1"/>
    </xf>
    <xf numFmtId="175" fontId="67" fillId="0" borderId="5" xfId="4423" applyNumberFormat="1" applyFont="1" applyFill="1" applyBorder="1">
      <alignment readingOrder="1"/>
    </xf>
    <xf numFmtId="2" fontId="67" fillId="0" borderId="5" xfId="4423" applyNumberFormat="1" applyBorder="1"/>
    <xf numFmtId="175" fontId="60" fillId="0" borderId="5" xfId="4423" applyNumberFormat="1" applyFont="1" applyBorder="1">
      <alignment readingOrder="1"/>
    </xf>
    <xf numFmtId="175" fontId="67" fillId="0" borderId="63" xfId="4423" applyNumberFormat="1" applyFont="1" applyFill="1" applyBorder="1">
      <alignment readingOrder="1"/>
    </xf>
    <xf numFmtId="0" fontId="64" fillId="0" borderId="0" xfId="0" applyFont="1" applyFill="1" applyBorder="1" applyAlignment="1"/>
    <xf numFmtId="0" fontId="0" fillId="15" borderId="0" xfId="0" applyFill="1">
      <alignment readingOrder="1"/>
    </xf>
    <xf numFmtId="0" fontId="0" fillId="15" borderId="0" xfId="0" applyFill="1" applyAlignment="1">
      <alignment vertical="center" wrapText="1" readingOrder="1"/>
    </xf>
    <xf numFmtId="9" fontId="0" fillId="0" borderId="0" xfId="9" applyFont="1">
      <alignment readingOrder="1"/>
    </xf>
    <xf numFmtId="164" fontId="0" fillId="13" borderId="0" xfId="0" applyNumberFormat="1" applyFill="1">
      <alignment readingOrder="1"/>
    </xf>
    <xf numFmtId="0" fontId="0" fillId="12" borderId="0" xfId="0" applyFill="1" applyAlignment="1">
      <alignment horizontal="left" vertical="center" readingOrder="1"/>
    </xf>
    <xf numFmtId="0" fontId="10" fillId="3" borderId="1" xfId="2" applyFont="1" applyFill="1" applyBorder="1" applyAlignment="1">
      <alignment horizontal="center"/>
    </xf>
    <xf numFmtId="0" fontId="10" fillId="3" borderId="4" xfId="2" applyFont="1" applyFill="1" applyBorder="1" applyAlignment="1">
      <alignment horizontal="center"/>
    </xf>
    <xf numFmtId="0" fontId="10" fillId="3" borderId="3" xfId="2" applyFont="1" applyFill="1" applyBorder="1" applyAlignment="1">
      <alignment horizontal="center"/>
    </xf>
    <xf numFmtId="0" fontId="7" fillId="4" borderId="2" xfId="0" applyFont="1" applyFill="1" applyBorder="1" applyAlignment="1">
      <alignment horizontal="center"/>
    </xf>
    <xf numFmtId="0" fontId="11" fillId="0" borderId="2" xfId="0" applyFont="1" applyBorder="1" applyAlignment="1">
      <alignment horizontal="center"/>
    </xf>
    <xf numFmtId="0" fontId="11" fillId="61" borderId="5" xfId="2" applyFont="1" applyFill="1" applyBorder="1" applyAlignment="1">
      <alignment horizontal="center"/>
    </xf>
    <xf numFmtId="0" fontId="7" fillId="2" borderId="6" xfId="2" applyFont="1" applyFill="1" applyBorder="1" applyAlignment="1">
      <alignment horizontal="center"/>
    </xf>
    <xf numFmtId="0" fontId="7" fillId="2" borderId="21" xfId="2" applyFont="1" applyFill="1" applyBorder="1" applyAlignment="1">
      <alignment horizontal="center"/>
    </xf>
    <xf numFmtId="0" fontId="7" fillId="2" borderId="7" xfId="2" applyFont="1" applyFill="1" applyBorder="1" applyAlignment="1">
      <alignment horizontal="center"/>
    </xf>
    <xf numFmtId="0" fontId="10" fillId="3" borderId="6" xfId="2" applyFont="1" applyFill="1" applyBorder="1" applyAlignment="1">
      <alignment horizontal="center"/>
    </xf>
    <xf numFmtId="0" fontId="10" fillId="3" borderId="21" xfId="2" applyFont="1" applyFill="1" applyBorder="1" applyAlignment="1">
      <alignment horizontal="center"/>
    </xf>
    <xf numFmtId="0" fontId="10" fillId="3" borderId="7" xfId="2" applyFont="1" applyFill="1" applyBorder="1" applyAlignment="1">
      <alignment horizontal="center"/>
    </xf>
    <xf numFmtId="0" fontId="7" fillId="4" borderId="1" xfId="0" applyFont="1" applyFill="1" applyBorder="1" applyAlignment="1">
      <alignment horizontal="center"/>
    </xf>
    <xf numFmtId="0" fontId="7" fillId="4" borderId="3" xfId="0" applyFont="1" applyFill="1" applyBorder="1" applyAlignment="1">
      <alignment horizontal="center"/>
    </xf>
    <xf numFmtId="0" fontId="7" fillId="4" borderId="5" xfId="0" applyFont="1" applyFill="1" applyBorder="1" applyAlignment="1">
      <alignment horizontal="center"/>
    </xf>
    <xf numFmtId="0" fontId="11" fillId="0" borderId="5" xfId="0" applyFont="1" applyBorder="1" applyAlignment="1">
      <alignment horizontal="center"/>
    </xf>
    <xf numFmtId="0" fontId="73" fillId="0" borderId="30" xfId="446" applyFont="1" applyFill="1" applyBorder="1" applyAlignment="1">
      <alignment horizontal="center" vertical="center"/>
    </xf>
    <xf numFmtId="0" fontId="73" fillId="0" borderId="33" xfId="446" applyFont="1" applyFill="1" applyBorder="1" applyAlignment="1">
      <alignment horizontal="center" vertical="center"/>
    </xf>
    <xf numFmtId="0" fontId="73" fillId="0" borderId="35" xfId="446" applyFont="1" applyFill="1" applyBorder="1" applyAlignment="1">
      <alignment horizontal="center" vertical="center"/>
    </xf>
    <xf numFmtId="0" fontId="73" fillId="81" borderId="64" xfId="446" applyFont="1" applyFill="1" applyBorder="1" applyAlignment="1">
      <alignment horizontal="center" vertical="center" wrapText="1"/>
    </xf>
    <xf numFmtId="0" fontId="73" fillId="81" borderId="65" xfId="446" applyFont="1" applyFill="1" applyBorder="1" applyAlignment="1">
      <alignment horizontal="center" vertical="center" wrapText="1"/>
    </xf>
    <xf numFmtId="0" fontId="73" fillId="81" borderId="66" xfId="446" applyFont="1" applyFill="1" applyBorder="1" applyAlignment="1">
      <alignment horizontal="center" vertical="center" wrapText="1"/>
    </xf>
    <xf numFmtId="0" fontId="73" fillId="81" borderId="50" xfId="446" applyFont="1" applyFill="1" applyBorder="1" applyAlignment="1">
      <alignment horizontal="center"/>
    </xf>
    <xf numFmtId="0" fontId="73" fillId="81" borderId="51" xfId="446" applyFont="1" applyFill="1" applyBorder="1" applyAlignment="1">
      <alignment horizontal="center"/>
    </xf>
    <xf numFmtId="0" fontId="73" fillId="81" borderId="59" xfId="446" applyFont="1" applyFill="1" applyBorder="1" applyAlignment="1">
      <alignment horizontal="center"/>
    </xf>
    <xf numFmtId="0" fontId="75" fillId="0" borderId="5" xfId="0" applyFont="1" applyBorder="1" applyAlignment="1">
      <alignment vertical="center"/>
    </xf>
    <xf numFmtId="0" fontId="73" fillId="0" borderId="64" xfId="446" applyFont="1" applyFill="1" applyBorder="1" applyAlignment="1">
      <alignment horizontal="center" vertical="center"/>
    </xf>
    <xf numFmtId="0" fontId="73" fillId="0" borderId="65" xfId="446" applyFont="1" applyFill="1" applyBorder="1" applyAlignment="1">
      <alignment horizontal="center" vertical="center"/>
    </xf>
    <xf numFmtId="0" fontId="73" fillId="0" borderId="66" xfId="446" applyFont="1" applyFill="1" applyBorder="1" applyAlignment="1">
      <alignment horizontal="center" vertical="center"/>
    </xf>
    <xf numFmtId="9" fontId="73" fillId="81" borderId="50" xfId="446" applyNumberFormat="1" applyFont="1" applyFill="1" applyBorder="1" applyAlignment="1">
      <alignment horizontal="center"/>
    </xf>
    <xf numFmtId="0" fontId="64" fillId="0" borderId="51" xfId="0" applyFont="1" applyBorder="1" applyAlignment="1">
      <alignment horizontal="center"/>
    </xf>
    <xf numFmtId="0" fontId="64" fillId="0" borderId="52" xfId="0" applyFont="1" applyBorder="1" applyAlignment="1">
      <alignment horizontal="center"/>
    </xf>
    <xf numFmtId="0" fontId="64" fillId="0" borderId="53" xfId="0" applyFont="1" applyBorder="1" applyAlignment="1">
      <alignment horizontal="center" wrapText="1"/>
    </xf>
    <xf numFmtId="0" fontId="64" fillId="0" borderId="32" xfId="0" applyFont="1" applyBorder="1" applyAlignment="1">
      <alignment horizontal="center" wrapText="1"/>
    </xf>
    <xf numFmtId="0" fontId="64" fillId="0" borderId="11" xfId="0" applyFont="1" applyBorder="1" applyAlignment="1">
      <alignment horizontal="center" wrapText="1"/>
    </xf>
    <xf numFmtId="0" fontId="64" fillId="0" borderId="55" xfId="0" applyFont="1" applyBorder="1" applyAlignment="1">
      <alignment horizontal="center" wrapText="1"/>
    </xf>
    <xf numFmtId="0" fontId="20" fillId="0" borderId="0" xfId="202"/>
  </cellXfs>
  <cellStyles count="8155">
    <cellStyle name="20% - Accent1 2" xfId="16"/>
    <cellStyle name="20% - Accent1 2 2" xfId="17"/>
    <cellStyle name="20% - Accent1 3" xfId="18"/>
    <cellStyle name="20% - Accent1 3 2" xfId="365"/>
    <cellStyle name="20% - Accent1 4" xfId="366"/>
    <cellStyle name="20% - Accent1 4 2" xfId="367"/>
    <cellStyle name="20% - Accent1 5" xfId="368"/>
    <cellStyle name="20% - Accent2 2" xfId="19"/>
    <cellStyle name="20% - Accent2 2 2" xfId="369"/>
    <cellStyle name="20% - Accent2 3" xfId="20"/>
    <cellStyle name="20% - Accent2 3 2" xfId="370"/>
    <cellStyle name="20% - Accent2 4" xfId="371"/>
    <cellStyle name="20% - Accent2 4 2" xfId="372"/>
    <cellStyle name="20% - Accent2 5" xfId="373"/>
    <cellStyle name="20% - Accent3 2" xfId="21"/>
    <cellStyle name="20% - Accent3 2 2" xfId="22"/>
    <cellStyle name="20% - Accent3 3" xfId="23"/>
    <cellStyle name="20% - Accent3 3 2" xfId="374"/>
    <cellStyle name="20% - Accent3 4" xfId="375"/>
    <cellStyle name="20% - Accent3 4 2" xfId="376"/>
    <cellStyle name="20% - Accent3 5" xfId="377"/>
    <cellStyle name="20% - Accent4 2" xfId="24"/>
    <cellStyle name="20% - Accent4 2 2" xfId="25"/>
    <cellStyle name="20% - Accent4 3" xfId="26"/>
    <cellStyle name="20% - Accent4 3 2" xfId="378"/>
    <cellStyle name="20% - Accent4 4" xfId="379"/>
    <cellStyle name="20% - Accent4 4 2" xfId="380"/>
    <cellStyle name="20% - Accent4 5" xfId="381"/>
    <cellStyle name="20% - Accent5 2" xfId="27"/>
    <cellStyle name="20% - Accent5 2 2" xfId="382"/>
    <cellStyle name="20% - Accent5 3" xfId="28"/>
    <cellStyle name="20% - Accent5 3 2" xfId="383"/>
    <cellStyle name="20% - Accent5 4" xfId="384"/>
    <cellStyle name="20% - Accent5 4 2" xfId="385"/>
    <cellStyle name="20% - Accent5 5" xfId="386"/>
    <cellStyle name="20% - Accent6 2" xfId="29"/>
    <cellStyle name="20% - Accent6 2 2" xfId="387"/>
    <cellStyle name="20% - Accent6 3" xfId="30"/>
    <cellStyle name="20% - Accent6 3 2" xfId="388"/>
    <cellStyle name="20% - Accent6 4" xfId="389"/>
    <cellStyle name="20% - Accent6 4 2" xfId="390"/>
    <cellStyle name="20% - Accent6 5" xfId="391"/>
    <cellStyle name="40% - Accent1 2" xfId="31"/>
    <cellStyle name="40% - Accent1 2 2" xfId="32"/>
    <cellStyle name="40% - Accent1 3" xfId="33"/>
    <cellStyle name="40% - Accent1 3 2" xfId="392"/>
    <cellStyle name="40% - Accent1 4" xfId="393"/>
    <cellStyle name="40% - Accent1 4 2" xfId="394"/>
    <cellStyle name="40% - Accent1 5" xfId="395"/>
    <cellStyle name="40% - Accent2 2" xfId="34"/>
    <cellStyle name="40% - Accent2 2 2" xfId="35"/>
    <cellStyle name="40% - Accent2 3" xfId="36"/>
    <cellStyle name="40% - Accent2 3 2" xfId="396"/>
    <cellStyle name="40% - Accent2 4" xfId="397"/>
    <cellStyle name="40% - Accent2 4 2" xfId="398"/>
    <cellStyle name="40% - Accent2 5" xfId="399"/>
    <cellStyle name="40% - Accent3 2" xfId="37"/>
    <cellStyle name="40% - Accent3 2 2" xfId="38"/>
    <cellStyle name="40% - Accent3 3" xfId="39"/>
    <cellStyle name="40% - Accent3 3 2" xfId="400"/>
    <cellStyle name="40% - Accent3 4" xfId="401"/>
    <cellStyle name="40% - Accent3 4 2" xfId="402"/>
    <cellStyle name="40% - Accent3 5" xfId="403"/>
    <cellStyle name="40% - Accent4 2" xfId="40"/>
    <cellStyle name="40% - Accent4 2 2" xfId="41"/>
    <cellStyle name="40% - Accent4 3" xfId="42"/>
    <cellStyle name="40% - Accent4 3 2" xfId="404"/>
    <cellStyle name="40% - Accent4 4" xfId="405"/>
    <cellStyle name="40% - Accent4 4 2" xfId="406"/>
    <cellStyle name="40% - Accent4 5" xfId="407"/>
    <cellStyle name="40% - Accent5 2" xfId="43"/>
    <cellStyle name="40% - Accent5 2 2" xfId="408"/>
    <cellStyle name="40% - Accent5 3" xfId="44"/>
    <cellStyle name="40% - Accent5 3 2" xfId="409"/>
    <cellStyle name="40% - Accent5 4" xfId="410"/>
    <cellStyle name="40% - Accent5 4 2" xfId="411"/>
    <cellStyle name="40% - Accent5 5" xfId="412"/>
    <cellStyle name="40% - Accent6 2" xfId="45"/>
    <cellStyle name="40% - Accent6 2 2" xfId="46"/>
    <cellStyle name="40% - Accent6 3" xfId="47"/>
    <cellStyle name="40% - Accent6 3 2" xfId="413"/>
    <cellStyle name="40% - Accent6 4" xfId="414"/>
    <cellStyle name="40% - Accent6 4 2" xfId="415"/>
    <cellStyle name="40% - Accent6 5" xfId="416"/>
    <cellStyle name="60% - Accent1 2" xfId="48"/>
    <cellStyle name="60% - Accent1 2 2" xfId="49"/>
    <cellStyle name="60% - Accent1 3" xfId="50"/>
    <cellStyle name="60% - Accent2 2" xfId="51"/>
    <cellStyle name="60% - Accent2 2 2" xfId="52"/>
    <cellStyle name="60% - Accent2 3" xfId="53"/>
    <cellStyle name="60% - Accent3 2" xfId="54"/>
    <cellStyle name="60% - Accent3 2 2" xfId="55"/>
    <cellStyle name="60% - Accent3 3" xfId="56"/>
    <cellStyle name="60% - Accent4 2" xfId="57"/>
    <cellStyle name="60% - Accent4 2 2" xfId="58"/>
    <cellStyle name="60% - Accent4 3" xfId="59"/>
    <cellStyle name="60% - Accent5 2" xfId="60"/>
    <cellStyle name="60% - Accent5 3" xfId="61"/>
    <cellStyle name="60% - Accent6 2" xfId="62"/>
    <cellStyle name="60% - Accent6 2 2" xfId="63"/>
    <cellStyle name="60% - Accent6 3" xfId="64"/>
    <cellStyle name="Accent1 - 20%" xfId="65"/>
    <cellStyle name="Accent1 - 40%" xfId="66"/>
    <cellStyle name="Accent1 - 60%" xfId="67"/>
    <cellStyle name="Accent1 2" xfId="68"/>
    <cellStyle name="Accent1 2 2" xfId="69"/>
    <cellStyle name="Accent1 3" xfId="70"/>
    <cellStyle name="Accent2 - 20%" xfId="71"/>
    <cellStyle name="Accent2 - 40%" xfId="72"/>
    <cellStyle name="Accent2 - 60%" xfId="73"/>
    <cellStyle name="Accent2 2" xfId="74"/>
    <cellStyle name="Accent2 3" xfId="75"/>
    <cellStyle name="Accent3 - 20%" xfId="76"/>
    <cellStyle name="Accent3 - 40%" xfId="77"/>
    <cellStyle name="Accent3 - 60%" xfId="78"/>
    <cellStyle name="Accent3 2" xfId="79"/>
    <cellStyle name="Accent3 2 2" xfId="80"/>
    <cellStyle name="Accent3 3" xfId="81"/>
    <cellStyle name="Accent4 - 20%" xfId="82"/>
    <cellStyle name="Accent4 - 40%" xfId="83"/>
    <cellStyle name="Accent4 - 60%" xfId="84"/>
    <cellStyle name="Accent4 2" xfId="85"/>
    <cellStyle name="Accent4 2 2" xfId="86"/>
    <cellStyle name="Accent4 3" xfId="87"/>
    <cellStyle name="Accent5 - 20%" xfId="88"/>
    <cellStyle name="Accent5 - 40%" xfId="89"/>
    <cellStyle name="Accent5 - 60%" xfId="90"/>
    <cellStyle name="Accent5 2" xfId="91"/>
    <cellStyle name="Accent5 3" xfId="92"/>
    <cellStyle name="Accent6 - 20%" xfId="93"/>
    <cellStyle name="Accent6 - 40%" xfId="94"/>
    <cellStyle name="Accent6 - 60%" xfId="95"/>
    <cellStyle name="Accent6 2" xfId="96"/>
    <cellStyle name="Accent6 3" xfId="97"/>
    <cellStyle name="Bad 2" xfId="98"/>
    <cellStyle name="Bad 2 2" xfId="99"/>
    <cellStyle name="Bad 3" xfId="100"/>
    <cellStyle name="Calculation 2" xfId="101"/>
    <cellStyle name="Calculation 2 2" xfId="102"/>
    <cellStyle name="Calculation 3" xfId="103"/>
    <cellStyle name="Calculation 4" xfId="510"/>
    <cellStyle name="Check Cell 2" xfId="104"/>
    <cellStyle name="Check Cell 3" xfId="105"/>
    <cellStyle name="Comma" xfId="509" builtinId="3"/>
    <cellStyle name="Comma [0] 2" xfId="106"/>
    <cellStyle name="Comma 10" xfId="8143"/>
    <cellStyle name="Comma 11" xfId="8144"/>
    <cellStyle name="Comma 2" xfId="107"/>
    <cellStyle name="Comma 2 2" xfId="108"/>
    <cellStyle name="Comma 2 2 2" xfId="109"/>
    <cellStyle name="Comma 2 2 3" xfId="110"/>
    <cellStyle name="Comma 2 2 3 2" xfId="417"/>
    <cellStyle name="Comma 2 2 4" xfId="418"/>
    <cellStyle name="Comma 2 2 4 2" xfId="419"/>
    <cellStyle name="Comma 2 2 5" xfId="420"/>
    <cellStyle name="Comma 2 2 5 2" xfId="421"/>
    <cellStyle name="Comma 2 2 6" xfId="422"/>
    <cellStyle name="Comma 2 2 6 2" xfId="423"/>
    <cellStyle name="Comma 2 2 7" xfId="424"/>
    <cellStyle name="Comma 2 2 8" xfId="425"/>
    <cellStyle name="Comma 2 3" xfId="111"/>
    <cellStyle name="Comma 2 3 2" xfId="8145"/>
    <cellStyle name="Comma 2 4" xfId="112"/>
    <cellStyle name="Comma 2 4 2" xfId="511"/>
    <cellStyle name="Comma 2 5" xfId="113"/>
    <cellStyle name="Comma 3" xfId="12"/>
    <cellStyle name="Comma 3 10" xfId="426"/>
    <cellStyle name="Comma 3 2" xfId="114"/>
    <cellStyle name="Comma 3 2 2" xfId="115"/>
    <cellStyle name="Comma 3 2 3" xfId="116"/>
    <cellStyle name="Comma 3 2 4" xfId="512"/>
    <cellStyle name="Comma 3 3" xfId="117"/>
    <cellStyle name="Comma 3 3 2" xfId="118"/>
    <cellStyle name="Comma 3 3 3" xfId="119"/>
    <cellStyle name="Comma 3 3 4" xfId="120"/>
    <cellStyle name="Comma 3 4" xfId="121"/>
    <cellStyle name="Comma 3 4 2" xfId="427"/>
    <cellStyle name="Comma 3 5" xfId="428"/>
    <cellStyle name="Comma 3 5 2" xfId="429"/>
    <cellStyle name="Comma 3 6" xfId="430"/>
    <cellStyle name="Comma 3 6 2" xfId="431"/>
    <cellStyle name="Comma 3 7" xfId="432"/>
    <cellStyle name="Comma 3 8" xfId="433"/>
    <cellStyle name="Comma 3 9" xfId="434"/>
    <cellStyle name="Comma 4" xfId="122"/>
    <cellStyle name="Comma 4 2" xfId="123"/>
    <cellStyle name="Comma 4 2 2" xfId="124"/>
    <cellStyle name="Comma 4 3" xfId="125"/>
    <cellStyle name="Comma 5" xfId="126"/>
    <cellStyle name="Comma 5 2" xfId="127"/>
    <cellStyle name="Comma 5 3" xfId="128"/>
    <cellStyle name="Comma 6" xfId="129"/>
    <cellStyle name="Comma 7" xfId="130"/>
    <cellStyle name="Comma 8" xfId="131"/>
    <cellStyle name="Comma 9" xfId="8146"/>
    <cellStyle name="Currency" xfId="1" builtinId="4"/>
    <cellStyle name="Currency 2" xfId="132"/>
    <cellStyle name="Currency 2 2" xfId="133"/>
    <cellStyle name="Currency 2 2 2" xfId="134"/>
    <cellStyle name="Currency 2 2 3" xfId="135"/>
    <cellStyle name="Currency 2 2 4" xfId="513"/>
    <cellStyle name="Currency 2 3" xfId="136"/>
    <cellStyle name="Currency 2 3 2" xfId="514"/>
    <cellStyle name="Currency 2 4" xfId="137"/>
    <cellStyle name="Currency 2 5" xfId="138"/>
    <cellStyle name="Currency 2 6" xfId="515"/>
    <cellStyle name="Currency 3" xfId="139"/>
    <cellStyle name="Currency 3 2" xfId="140"/>
    <cellStyle name="Currency 3 2 2" xfId="141"/>
    <cellStyle name="Currency 3 2 3" xfId="142"/>
    <cellStyle name="Currency 3 2 4" xfId="516"/>
    <cellStyle name="Currency 3 3" xfId="143"/>
    <cellStyle name="Currency 3 4" xfId="144"/>
    <cellStyle name="Currency 3 4 2" xfId="517"/>
    <cellStyle name="Currency 3 5" xfId="435"/>
    <cellStyle name="Currency 4" xfId="145"/>
    <cellStyle name="Currency 4 2" xfId="436"/>
    <cellStyle name="Currency 4 3" xfId="437"/>
    <cellStyle name="Currency 5" xfId="146"/>
    <cellStyle name="Currency 5 2" xfId="147"/>
    <cellStyle name="Currency 5 2 2" xfId="148"/>
    <cellStyle name="Currency 5 3" xfId="149"/>
    <cellStyle name="Currency 6" xfId="150"/>
    <cellStyle name="Currency 6 2" xfId="151"/>
    <cellStyle name="Currency 7" xfId="152"/>
    <cellStyle name="Currency 7 2" xfId="153"/>
    <cellStyle name="Currency 8" xfId="154"/>
    <cellStyle name="Data Field" xfId="5"/>
    <cellStyle name="Data Field 2" xfId="155"/>
    <cellStyle name="Data Field 2 2" xfId="156"/>
    <cellStyle name="Data Field 2 3" xfId="157"/>
    <cellStyle name="Data Field 2 4" xfId="518"/>
    <cellStyle name="Data Field 3" xfId="158"/>
    <cellStyle name="Data Field 4" xfId="159"/>
    <cellStyle name="Data Field 4 2" xfId="519"/>
    <cellStyle name="Data Field 5" xfId="438"/>
    <cellStyle name="Data Name" xfId="6"/>
    <cellStyle name="Data Name 2" xfId="439"/>
    <cellStyle name="Data Name 2 2" xfId="440"/>
    <cellStyle name="Data Name 2 3" xfId="520"/>
    <cellStyle name="Data Name 3" xfId="441"/>
    <cellStyle name="Data Name 4" xfId="442"/>
    <cellStyle name="Date/Time" xfId="7"/>
    <cellStyle name="Emphasis 1" xfId="160"/>
    <cellStyle name="Emphasis 2" xfId="161"/>
    <cellStyle name="Emphasis 3" xfId="162"/>
    <cellStyle name="Explanatory Text 2" xfId="163"/>
    <cellStyle name="Explanatory Text 3" xfId="164"/>
    <cellStyle name="Good 2" xfId="165"/>
    <cellStyle name="Good 3" xfId="166"/>
    <cellStyle name="Heading" xfId="8"/>
    <cellStyle name="Heading 1 2" xfId="167"/>
    <cellStyle name="Heading 1 2 2" xfId="168"/>
    <cellStyle name="Heading 1 3" xfId="169"/>
    <cellStyle name="Heading 2 2" xfId="170"/>
    <cellStyle name="Heading 2 2 2" xfId="521"/>
    <cellStyle name="Heading 2 3" xfId="171"/>
    <cellStyle name="Heading 2 4" xfId="522"/>
    <cellStyle name="Heading 3 2" xfId="172"/>
    <cellStyle name="Heading 3 2 2" xfId="173"/>
    <cellStyle name="Heading 3 3" xfId="174"/>
    <cellStyle name="Heading 4 2" xfId="175"/>
    <cellStyle name="Heading 4 2 2" xfId="176"/>
    <cellStyle name="Heading 4 3" xfId="177"/>
    <cellStyle name="Hyperlink 2" xfId="178"/>
    <cellStyle name="Hyperlink 2 2" xfId="179"/>
    <cellStyle name="Hyperlink 2 2 2" xfId="180"/>
    <cellStyle name="Hyperlink 2 3" xfId="523"/>
    <cellStyle name="Hyperlink 2_ResWXMF_FY10v2_0" xfId="181"/>
    <cellStyle name="Hyperlink 3" xfId="182"/>
    <cellStyle name="Hyperlink 3 2" xfId="183"/>
    <cellStyle name="Hyperlink 3 2 2" xfId="184"/>
    <cellStyle name="Hyperlink 4" xfId="185"/>
    <cellStyle name="Hyperlink 5" xfId="186"/>
    <cellStyle name="Hyperlink 6" xfId="187"/>
    <cellStyle name="Hyperlink 7" xfId="188"/>
    <cellStyle name="Hyperlink 8" xfId="189"/>
    <cellStyle name="Input 2" xfId="190"/>
    <cellStyle name="Input 3" xfId="191"/>
    <cellStyle name="Linked Cell 2" xfId="192"/>
    <cellStyle name="Linked Cell 3" xfId="193"/>
    <cellStyle name="Neutral 2" xfId="194"/>
    <cellStyle name="Neutral 3" xfId="195"/>
    <cellStyle name="Normal" xfId="0" builtinId="0"/>
    <cellStyle name="Normal 10" xfId="196"/>
    <cellStyle name="Normal 10 2" xfId="197"/>
    <cellStyle name="Normal 10 3" xfId="524"/>
    <cellStyle name="Normal 10 3 2" xfId="525"/>
    <cellStyle name="Normal 10 4" xfId="526"/>
    <cellStyle name="Normal 10 5" xfId="527"/>
    <cellStyle name="Normal 11" xfId="198"/>
    <cellStyle name="Normal 11 2" xfId="443"/>
    <cellStyle name="Normal 12" xfId="199"/>
    <cellStyle name="Normal 12 2" xfId="444"/>
    <cellStyle name="Normal 13" xfId="14"/>
    <cellStyle name="Normal 13 2" xfId="200"/>
    <cellStyle name="Normal 13 3" xfId="201"/>
    <cellStyle name="Normal 14" xfId="202"/>
    <cellStyle name="Normal 14 2" xfId="203"/>
    <cellStyle name="Normal 14 2 2" xfId="204"/>
    <cellStyle name="Normal 14 3" xfId="205"/>
    <cellStyle name="Normal 14 3 2" xfId="206"/>
    <cellStyle name="Normal 14 4" xfId="207"/>
    <cellStyle name="Normal 14 5" xfId="528"/>
    <cellStyle name="Normal 15" xfId="208"/>
    <cellStyle name="Normal 15 2" xfId="209"/>
    <cellStyle name="Normal 15 2 2" xfId="210"/>
    <cellStyle name="Normal 15 3" xfId="211"/>
    <cellStyle name="Normal 15 4" xfId="212"/>
    <cellStyle name="Normal 15 5" xfId="8147"/>
    <cellStyle name="Normal 16" xfId="213"/>
    <cellStyle name="Normal 16 2" xfId="214"/>
    <cellStyle name="Normal 16 3" xfId="215"/>
    <cellStyle name="Normal 16 4" xfId="8148"/>
    <cellStyle name="Normal 17" xfId="216"/>
    <cellStyle name="Normal 17 2" xfId="217"/>
    <cellStyle name="Normal 17 3" xfId="529"/>
    <cellStyle name="Normal 18" xfId="218"/>
    <cellStyle name="Normal 18 2" xfId="530"/>
    <cellStyle name="Normal 19" xfId="219"/>
    <cellStyle name="Normal 19 2" xfId="531"/>
    <cellStyle name="Normal 2" xfId="10"/>
    <cellStyle name="Normal 2 10" xfId="445"/>
    <cellStyle name="Normal 2 10 10" xfId="532"/>
    <cellStyle name="Normal 2 10 10 2" xfId="533"/>
    <cellStyle name="Normal 2 10 10 2 2" xfId="534"/>
    <cellStyle name="Normal 2 10 10 3" xfId="535"/>
    <cellStyle name="Normal 2 10 11" xfId="536"/>
    <cellStyle name="Normal 2 10 11 2" xfId="537"/>
    <cellStyle name="Normal 2 10 11 2 2" xfId="538"/>
    <cellStyle name="Normal 2 10 11 3" xfId="539"/>
    <cellStyle name="Normal 2 10 12" xfId="540"/>
    <cellStyle name="Normal 2 10 12 2" xfId="541"/>
    <cellStyle name="Normal 2 10 12 2 2" xfId="542"/>
    <cellStyle name="Normal 2 10 12 3" xfId="543"/>
    <cellStyle name="Normal 2 10 13" xfId="544"/>
    <cellStyle name="Normal 2 10 13 2" xfId="545"/>
    <cellStyle name="Normal 2 10 13 2 2" xfId="546"/>
    <cellStyle name="Normal 2 10 13 3" xfId="547"/>
    <cellStyle name="Normal 2 10 14" xfId="548"/>
    <cellStyle name="Normal 2 10 14 2" xfId="549"/>
    <cellStyle name="Normal 2 10 14 2 2" xfId="550"/>
    <cellStyle name="Normal 2 10 14 3" xfId="551"/>
    <cellStyle name="Normal 2 10 15" xfId="552"/>
    <cellStyle name="Normal 2 10 15 2" xfId="553"/>
    <cellStyle name="Normal 2 10 15 2 2" xfId="554"/>
    <cellStyle name="Normal 2 10 15 3" xfId="555"/>
    <cellStyle name="Normal 2 10 16" xfId="556"/>
    <cellStyle name="Normal 2 10 16 2" xfId="557"/>
    <cellStyle name="Normal 2 10 16 2 2" xfId="558"/>
    <cellStyle name="Normal 2 10 16 3" xfId="559"/>
    <cellStyle name="Normal 2 10 17" xfId="560"/>
    <cellStyle name="Normal 2 10 17 2" xfId="561"/>
    <cellStyle name="Normal 2 10 17 2 2" xfId="562"/>
    <cellStyle name="Normal 2 10 17 3" xfId="563"/>
    <cellStyle name="Normal 2 10 18" xfId="564"/>
    <cellStyle name="Normal 2 10 18 2" xfId="565"/>
    <cellStyle name="Normal 2 10 18 2 2" xfId="566"/>
    <cellStyle name="Normal 2 10 18 3" xfId="567"/>
    <cellStyle name="Normal 2 10 19" xfId="568"/>
    <cellStyle name="Normal 2 10 19 2" xfId="569"/>
    <cellStyle name="Normal 2 10 19 2 2" xfId="570"/>
    <cellStyle name="Normal 2 10 19 3" xfId="571"/>
    <cellStyle name="Normal 2 10 2" xfId="572"/>
    <cellStyle name="Normal 2 10 2 2" xfId="573"/>
    <cellStyle name="Normal 2 10 2 2 2" xfId="574"/>
    <cellStyle name="Normal 2 10 2 3" xfId="575"/>
    <cellStyle name="Normal 2 10 20" xfId="576"/>
    <cellStyle name="Normal 2 10 20 2" xfId="577"/>
    <cellStyle name="Normal 2 10 20 2 2" xfId="578"/>
    <cellStyle name="Normal 2 10 20 3" xfId="579"/>
    <cellStyle name="Normal 2 10 21" xfId="580"/>
    <cellStyle name="Normal 2 10 21 2" xfId="581"/>
    <cellStyle name="Normal 2 10 21 2 2" xfId="582"/>
    <cellStyle name="Normal 2 10 21 3" xfId="583"/>
    <cellStyle name="Normal 2 10 22" xfId="584"/>
    <cellStyle name="Normal 2 10 22 2" xfId="585"/>
    <cellStyle name="Normal 2 10 22 2 2" xfId="586"/>
    <cellStyle name="Normal 2 10 22 3" xfId="587"/>
    <cellStyle name="Normal 2 10 23" xfId="588"/>
    <cellStyle name="Normal 2 10 23 2" xfId="589"/>
    <cellStyle name="Normal 2 10 23 2 2" xfId="590"/>
    <cellStyle name="Normal 2 10 23 3" xfId="591"/>
    <cellStyle name="Normal 2 10 24" xfId="592"/>
    <cellStyle name="Normal 2 10 24 2" xfId="593"/>
    <cellStyle name="Normal 2 10 25" xfId="594"/>
    <cellStyle name="Normal 2 10 3" xfId="595"/>
    <cellStyle name="Normal 2 10 3 2" xfId="596"/>
    <cellStyle name="Normal 2 10 3 2 2" xfId="597"/>
    <cellStyle name="Normal 2 10 3 3" xfId="598"/>
    <cellStyle name="Normal 2 10 4" xfId="599"/>
    <cellStyle name="Normal 2 10 4 2" xfId="600"/>
    <cellStyle name="Normal 2 10 4 2 2" xfId="601"/>
    <cellStyle name="Normal 2 10 4 3" xfId="602"/>
    <cellStyle name="Normal 2 10 5" xfId="603"/>
    <cellStyle name="Normal 2 10 5 2" xfId="604"/>
    <cellStyle name="Normal 2 10 5 2 2" xfId="605"/>
    <cellStyle name="Normal 2 10 5 3" xfId="606"/>
    <cellStyle name="Normal 2 10 6" xfId="607"/>
    <cellStyle name="Normal 2 10 6 2" xfId="608"/>
    <cellStyle name="Normal 2 10 6 2 2" xfId="609"/>
    <cellStyle name="Normal 2 10 6 3" xfId="610"/>
    <cellStyle name="Normal 2 10 7" xfId="611"/>
    <cellStyle name="Normal 2 10 7 2" xfId="612"/>
    <cellStyle name="Normal 2 10 7 2 2" xfId="613"/>
    <cellStyle name="Normal 2 10 7 3" xfId="614"/>
    <cellStyle name="Normal 2 10 8" xfId="615"/>
    <cellStyle name="Normal 2 10 8 2" xfId="616"/>
    <cellStyle name="Normal 2 10 8 2 2" xfId="617"/>
    <cellStyle name="Normal 2 10 8 3" xfId="618"/>
    <cellStyle name="Normal 2 10 9" xfId="619"/>
    <cellStyle name="Normal 2 10 9 2" xfId="620"/>
    <cellStyle name="Normal 2 10 9 2 2" xfId="621"/>
    <cellStyle name="Normal 2 10 9 3" xfId="622"/>
    <cellStyle name="Normal 2 100" xfId="623"/>
    <cellStyle name="Normal 2 100 2" xfId="624"/>
    <cellStyle name="Normal 2 100 3" xfId="625"/>
    <cellStyle name="Normal 2 101" xfId="626"/>
    <cellStyle name="Normal 2 101 2" xfId="627"/>
    <cellStyle name="Normal 2 101 3" xfId="628"/>
    <cellStyle name="Normal 2 102" xfId="629"/>
    <cellStyle name="Normal 2 103" xfId="630"/>
    <cellStyle name="Normal 2 104" xfId="631"/>
    <cellStyle name="Normal 2 105" xfId="632"/>
    <cellStyle name="Normal 2 106" xfId="633"/>
    <cellStyle name="Normal 2 107" xfId="634"/>
    <cellStyle name="Normal 2 108" xfId="635"/>
    <cellStyle name="Normal 2 109" xfId="636"/>
    <cellStyle name="Normal 2 11" xfId="446"/>
    <cellStyle name="Normal 2 11 10" xfId="637"/>
    <cellStyle name="Normal 2 11 10 2" xfId="638"/>
    <cellStyle name="Normal 2 11 10 2 2" xfId="639"/>
    <cellStyle name="Normal 2 11 10 3" xfId="640"/>
    <cellStyle name="Normal 2 11 11" xfId="641"/>
    <cellStyle name="Normal 2 11 11 2" xfId="642"/>
    <cellStyle name="Normal 2 11 11 2 2" xfId="643"/>
    <cellStyle name="Normal 2 11 11 3" xfId="644"/>
    <cellStyle name="Normal 2 11 12" xfId="645"/>
    <cellStyle name="Normal 2 11 12 2" xfId="646"/>
    <cellStyle name="Normal 2 11 12 2 2" xfId="647"/>
    <cellStyle name="Normal 2 11 12 3" xfId="648"/>
    <cellStyle name="Normal 2 11 13" xfId="649"/>
    <cellStyle name="Normal 2 11 13 2" xfId="650"/>
    <cellStyle name="Normal 2 11 13 2 2" xfId="651"/>
    <cellStyle name="Normal 2 11 13 3" xfId="652"/>
    <cellStyle name="Normal 2 11 14" xfId="653"/>
    <cellStyle name="Normal 2 11 14 2" xfId="654"/>
    <cellStyle name="Normal 2 11 14 2 2" xfId="655"/>
    <cellStyle name="Normal 2 11 14 3" xfId="656"/>
    <cellStyle name="Normal 2 11 15" xfId="657"/>
    <cellStyle name="Normal 2 11 15 2" xfId="658"/>
    <cellStyle name="Normal 2 11 15 2 2" xfId="659"/>
    <cellStyle name="Normal 2 11 15 3" xfId="660"/>
    <cellStyle name="Normal 2 11 16" xfId="661"/>
    <cellStyle name="Normal 2 11 16 2" xfId="662"/>
    <cellStyle name="Normal 2 11 16 2 2" xfId="663"/>
    <cellStyle name="Normal 2 11 16 3" xfId="664"/>
    <cellStyle name="Normal 2 11 17" xfId="665"/>
    <cellStyle name="Normal 2 11 17 2" xfId="666"/>
    <cellStyle name="Normal 2 11 17 2 2" xfId="667"/>
    <cellStyle name="Normal 2 11 17 3" xfId="668"/>
    <cellStyle name="Normal 2 11 18" xfId="669"/>
    <cellStyle name="Normal 2 11 18 2" xfId="670"/>
    <cellStyle name="Normal 2 11 18 2 2" xfId="671"/>
    <cellStyle name="Normal 2 11 18 3" xfId="672"/>
    <cellStyle name="Normal 2 11 19" xfId="673"/>
    <cellStyle name="Normal 2 11 19 2" xfId="674"/>
    <cellStyle name="Normal 2 11 19 2 2" xfId="675"/>
    <cellStyle name="Normal 2 11 19 3" xfId="676"/>
    <cellStyle name="Normal 2 11 2" xfId="677"/>
    <cellStyle name="Normal 2 11 2 2" xfId="678"/>
    <cellStyle name="Normal 2 11 2 2 2" xfId="679"/>
    <cellStyle name="Normal 2 11 2 3" xfId="680"/>
    <cellStyle name="Normal 2 11 20" xfId="681"/>
    <cellStyle name="Normal 2 11 20 2" xfId="682"/>
    <cellStyle name="Normal 2 11 20 2 2" xfId="683"/>
    <cellStyle name="Normal 2 11 20 3" xfId="684"/>
    <cellStyle name="Normal 2 11 21" xfId="685"/>
    <cellStyle name="Normal 2 11 21 2" xfId="686"/>
    <cellStyle name="Normal 2 11 21 2 2" xfId="687"/>
    <cellStyle name="Normal 2 11 21 3" xfId="688"/>
    <cellStyle name="Normal 2 11 22" xfId="689"/>
    <cellStyle name="Normal 2 11 22 2" xfId="690"/>
    <cellStyle name="Normal 2 11 22 2 2" xfId="691"/>
    <cellStyle name="Normal 2 11 22 3" xfId="692"/>
    <cellStyle name="Normal 2 11 23" xfId="693"/>
    <cellStyle name="Normal 2 11 23 2" xfId="694"/>
    <cellStyle name="Normal 2 11 23 2 2" xfId="695"/>
    <cellStyle name="Normal 2 11 23 3" xfId="696"/>
    <cellStyle name="Normal 2 11 24" xfId="697"/>
    <cellStyle name="Normal 2 11 24 2" xfId="698"/>
    <cellStyle name="Normal 2 11 25" xfId="699"/>
    <cellStyle name="Normal 2 11 3" xfId="700"/>
    <cellStyle name="Normal 2 11 3 2" xfId="701"/>
    <cellStyle name="Normal 2 11 3 2 2" xfId="702"/>
    <cellStyle name="Normal 2 11 3 3" xfId="703"/>
    <cellStyle name="Normal 2 11 4" xfId="704"/>
    <cellStyle name="Normal 2 11 4 2" xfId="705"/>
    <cellStyle name="Normal 2 11 4 2 2" xfId="706"/>
    <cellStyle name="Normal 2 11 4 3" xfId="707"/>
    <cellStyle name="Normal 2 11 5" xfId="708"/>
    <cellStyle name="Normal 2 11 5 2" xfId="709"/>
    <cellStyle name="Normal 2 11 5 2 2" xfId="710"/>
    <cellStyle name="Normal 2 11 5 3" xfId="711"/>
    <cellStyle name="Normal 2 11 6" xfId="712"/>
    <cellStyle name="Normal 2 11 6 2" xfId="713"/>
    <cellStyle name="Normal 2 11 6 2 2" xfId="714"/>
    <cellStyle name="Normal 2 11 6 3" xfId="715"/>
    <cellStyle name="Normal 2 11 7" xfId="716"/>
    <cellStyle name="Normal 2 11 7 2" xfId="717"/>
    <cellStyle name="Normal 2 11 7 2 2" xfId="718"/>
    <cellStyle name="Normal 2 11 7 3" xfId="719"/>
    <cellStyle name="Normal 2 11 8" xfId="720"/>
    <cellStyle name="Normal 2 11 8 2" xfId="721"/>
    <cellStyle name="Normal 2 11 8 2 2" xfId="722"/>
    <cellStyle name="Normal 2 11 8 3" xfId="723"/>
    <cellStyle name="Normal 2 11 9" xfId="724"/>
    <cellStyle name="Normal 2 11 9 2" xfId="725"/>
    <cellStyle name="Normal 2 11 9 2 2" xfId="726"/>
    <cellStyle name="Normal 2 11 9 3" xfId="727"/>
    <cellStyle name="Normal 2 12" xfId="447"/>
    <cellStyle name="Normal 2 12 10" xfId="728"/>
    <cellStyle name="Normal 2 12 10 2" xfId="729"/>
    <cellStyle name="Normal 2 12 10 2 2" xfId="730"/>
    <cellStyle name="Normal 2 12 10 3" xfId="731"/>
    <cellStyle name="Normal 2 12 11" xfId="732"/>
    <cellStyle name="Normal 2 12 11 2" xfId="733"/>
    <cellStyle name="Normal 2 12 11 2 2" xfId="734"/>
    <cellStyle name="Normal 2 12 11 3" xfId="735"/>
    <cellStyle name="Normal 2 12 12" xfId="736"/>
    <cellStyle name="Normal 2 12 12 2" xfId="737"/>
    <cellStyle name="Normal 2 12 12 2 2" xfId="738"/>
    <cellStyle name="Normal 2 12 12 3" xfId="739"/>
    <cellStyle name="Normal 2 12 13" xfId="740"/>
    <cellStyle name="Normal 2 12 13 2" xfId="741"/>
    <cellStyle name="Normal 2 12 13 2 2" xfId="742"/>
    <cellStyle name="Normal 2 12 13 3" xfId="743"/>
    <cellStyle name="Normal 2 12 14" xfId="744"/>
    <cellStyle name="Normal 2 12 14 2" xfId="745"/>
    <cellStyle name="Normal 2 12 14 2 2" xfId="746"/>
    <cellStyle name="Normal 2 12 14 3" xfId="747"/>
    <cellStyle name="Normal 2 12 15" xfId="748"/>
    <cellStyle name="Normal 2 12 15 2" xfId="749"/>
    <cellStyle name="Normal 2 12 15 2 2" xfId="750"/>
    <cellStyle name="Normal 2 12 15 3" xfId="751"/>
    <cellStyle name="Normal 2 12 16" xfId="752"/>
    <cellStyle name="Normal 2 12 16 2" xfId="753"/>
    <cellStyle name="Normal 2 12 16 2 2" xfId="754"/>
    <cellStyle name="Normal 2 12 16 3" xfId="755"/>
    <cellStyle name="Normal 2 12 17" xfId="756"/>
    <cellStyle name="Normal 2 12 17 2" xfId="757"/>
    <cellStyle name="Normal 2 12 17 2 2" xfId="758"/>
    <cellStyle name="Normal 2 12 17 3" xfId="759"/>
    <cellStyle name="Normal 2 12 18" xfId="760"/>
    <cellStyle name="Normal 2 12 18 2" xfId="761"/>
    <cellStyle name="Normal 2 12 18 2 2" xfId="762"/>
    <cellStyle name="Normal 2 12 18 3" xfId="763"/>
    <cellStyle name="Normal 2 12 19" xfId="764"/>
    <cellStyle name="Normal 2 12 19 2" xfId="765"/>
    <cellStyle name="Normal 2 12 19 2 2" xfId="766"/>
    <cellStyle name="Normal 2 12 19 3" xfId="767"/>
    <cellStyle name="Normal 2 12 2" xfId="768"/>
    <cellStyle name="Normal 2 12 2 2" xfId="769"/>
    <cellStyle name="Normal 2 12 2 2 2" xfId="770"/>
    <cellStyle name="Normal 2 12 2 3" xfId="771"/>
    <cellStyle name="Normal 2 12 20" xfId="772"/>
    <cellStyle name="Normal 2 12 20 2" xfId="773"/>
    <cellStyle name="Normal 2 12 20 2 2" xfId="774"/>
    <cellStyle name="Normal 2 12 20 3" xfId="775"/>
    <cellStyle name="Normal 2 12 21" xfId="776"/>
    <cellStyle name="Normal 2 12 21 2" xfId="777"/>
    <cellStyle name="Normal 2 12 21 2 2" xfId="778"/>
    <cellStyle name="Normal 2 12 21 3" xfId="779"/>
    <cellStyle name="Normal 2 12 22" xfId="780"/>
    <cellStyle name="Normal 2 12 22 2" xfId="781"/>
    <cellStyle name="Normal 2 12 22 2 2" xfId="782"/>
    <cellStyle name="Normal 2 12 22 3" xfId="783"/>
    <cellStyle name="Normal 2 12 23" xfId="784"/>
    <cellStyle name="Normal 2 12 23 2" xfId="785"/>
    <cellStyle name="Normal 2 12 23 2 2" xfId="786"/>
    <cellStyle name="Normal 2 12 23 3" xfId="787"/>
    <cellStyle name="Normal 2 12 24" xfId="788"/>
    <cellStyle name="Normal 2 12 24 2" xfId="789"/>
    <cellStyle name="Normal 2 12 25" xfId="790"/>
    <cellStyle name="Normal 2 12 3" xfId="791"/>
    <cellStyle name="Normal 2 12 3 2" xfId="792"/>
    <cellStyle name="Normal 2 12 3 2 2" xfId="793"/>
    <cellStyle name="Normal 2 12 3 3" xfId="794"/>
    <cellStyle name="Normal 2 12 4" xfId="795"/>
    <cellStyle name="Normal 2 12 4 2" xfId="796"/>
    <cellStyle name="Normal 2 12 4 2 2" xfId="797"/>
    <cellStyle name="Normal 2 12 4 3" xfId="798"/>
    <cellStyle name="Normal 2 12 5" xfId="799"/>
    <cellStyle name="Normal 2 12 5 2" xfId="800"/>
    <cellStyle name="Normal 2 12 5 2 2" xfId="801"/>
    <cellStyle name="Normal 2 12 5 3" xfId="802"/>
    <cellStyle name="Normal 2 12 6" xfId="803"/>
    <cellStyle name="Normal 2 12 6 2" xfId="804"/>
    <cellStyle name="Normal 2 12 6 2 2" xfId="805"/>
    <cellStyle name="Normal 2 12 6 3" xfId="806"/>
    <cellStyle name="Normal 2 12 7" xfId="807"/>
    <cellStyle name="Normal 2 12 7 2" xfId="808"/>
    <cellStyle name="Normal 2 12 7 2 2" xfId="809"/>
    <cellStyle name="Normal 2 12 7 3" xfId="810"/>
    <cellStyle name="Normal 2 12 8" xfId="811"/>
    <cellStyle name="Normal 2 12 8 2" xfId="812"/>
    <cellStyle name="Normal 2 12 8 2 2" xfId="813"/>
    <cellStyle name="Normal 2 12 8 3" xfId="814"/>
    <cellStyle name="Normal 2 12 9" xfId="815"/>
    <cellStyle name="Normal 2 12 9 2" xfId="816"/>
    <cellStyle name="Normal 2 12 9 2 2" xfId="817"/>
    <cellStyle name="Normal 2 12 9 3" xfId="818"/>
    <cellStyle name="Normal 2 13" xfId="819"/>
    <cellStyle name="Normal 2 13 10" xfId="820"/>
    <cellStyle name="Normal 2 13 10 2" xfId="821"/>
    <cellStyle name="Normal 2 13 10 2 2" xfId="822"/>
    <cellStyle name="Normal 2 13 10 3" xfId="823"/>
    <cellStyle name="Normal 2 13 11" xfId="824"/>
    <cellStyle name="Normal 2 13 11 2" xfId="825"/>
    <cellStyle name="Normal 2 13 11 2 2" xfId="826"/>
    <cellStyle name="Normal 2 13 11 3" xfId="827"/>
    <cellStyle name="Normal 2 13 12" xfId="828"/>
    <cellStyle name="Normal 2 13 12 2" xfId="829"/>
    <cellStyle name="Normal 2 13 12 2 2" xfId="830"/>
    <cellStyle name="Normal 2 13 12 3" xfId="831"/>
    <cellStyle name="Normal 2 13 13" xfId="832"/>
    <cellStyle name="Normal 2 13 13 2" xfId="833"/>
    <cellStyle name="Normal 2 13 13 2 2" xfId="834"/>
    <cellStyle name="Normal 2 13 13 3" xfId="835"/>
    <cellStyle name="Normal 2 13 14" xfId="836"/>
    <cellStyle name="Normal 2 13 14 2" xfId="837"/>
    <cellStyle name="Normal 2 13 14 2 2" xfId="838"/>
    <cellStyle name="Normal 2 13 14 3" xfId="839"/>
    <cellStyle name="Normal 2 13 15" xfId="840"/>
    <cellStyle name="Normal 2 13 15 2" xfId="841"/>
    <cellStyle name="Normal 2 13 15 2 2" xfId="842"/>
    <cellStyle name="Normal 2 13 15 3" xfId="843"/>
    <cellStyle name="Normal 2 13 16" xfId="844"/>
    <cellStyle name="Normal 2 13 16 2" xfId="845"/>
    <cellStyle name="Normal 2 13 16 2 2" xfId="846"/>
    <cellStyle name="Normal 2 13 16 3" xfId="847"/>
    <cellStyle name="Normal 2 13 17" xfId="848"/>
    <cellStyle name="Normal 2 13 17 2" xfId="849"/>
    <cellStyle name="Normal 2 13 17 2 2" xfId="850"/>
    <cellStyle name="Normal 2 13 17 3" xfId="851"/>
    <cellStyle name="Normal 2 13 18" xfId="852"/>
    <cellStyle name="Normal 2 13 18 2" xfId="853"/>
    <cellStyle name="Normal 2 13 18 2 2" xfId="854"/>
    <cellStyle name="Normal 2 13 18 3" xfId="855"/>
    <cellStyle name="Normal 2 13 19" xfId="856"/>
    <cellStyle name="Normal 2 13 19 2" xfId="857"/>
    <cellStyle name="Normal 2 13 19 2 2" xfId="858"/>
    <cellStyle name="Normal 2 13 19 3" xfId="859"/>
    <cellStyle name="Normal 2 13 2" xfId="860"/>
    <cellStyle name="Normal 2 13 2 2" xfId="861"/>
    <cellStyle name="Normal 2 13 2 2 2" xfId="862"/>
    <cellStyle name="Normal 2 13 2 3" xfId="863"/>
    <cellStyle name="Normal 2 13 20" xfId="864"/>
    <cellStyle name="Normal 2 13 20 2" xfId="865"/>
    <cellStyle name="Normal 2 13 20 2 2" xfId="866"/>
    <cellStyle name="Normal 2 13 20 3" xfId="867"/>
    <cellStyle name="Normal 2 13 21" xfId="868"/>
    <cellStyle name="Normal 2 13 21 2" xfId="869"/>
    <cellStyle name="Normal 2 13 21 2 2" xfId="870"/>
    <cellStyle name="Normal 2 13 21 3" xfId="871"/>
    <cellStyle name="Normal 2 13 22" xfId="872"/>
    <cellStyle name="Normal 2 13 22 2" xfId="873"/>
    <cellStyle name="Normal 2 13 22 2 2" xfId="874"/>
    <cellStyle name="Normal 2 13 22 3" xfId="875"/>
    <cellStyle name="Normal 2 13 23" xfId="876"/>
    <cellStyle name="Normal 2 13 23 2" xfId="877"/>
    <cellStyle name="Normal 2 13 23 2 2" xfId="878"/>
    <cellStyle name="Normal 2 13 23 3" xfId="879"/>
    <cellStyle name="Normal 2 13 24" xfId="880"/>
    <cellStyle name="Normal 2 13 24 2" xfId="881"/>
    <cellStyle name="Normal 2 13 25" xfId="882"/>
    <cellStyle name="Normal 2 13 3" xfId="883"/>
    <cellStyle name="Normal 2 13 3 2" xfId="884"/>
    <cellStyle name="Normal 2 13 3 2 2" xfId="885"/>
    <cellStyle name="Normal 2 13 3 3" xfId="886"/>
    <cellStyle name="Normal 2 13 4" xfId="887"/>
    <cellStyle name="Normal 2 13 4 2" xfId="888"/>
    <cellStyle name="Normal 2 13 4 2 2" xfId="889"/>
    <cellStyle name="Normal 2 13 4 3" xfId="890"/>
    <cellStyle name="Normal 2 13 5" xfId="891"/>
    <cellStyle name="Normal 2 13 5 2" xfId="892"/>
    <cellStyle name="Normal 2 13 5 2 2" xfId="893"/>
    <cellStyle name="Normal 2 13 5 3" xfId="894"/>
    <cellStyle name="Normal 2 13 6" xfId="895"/>
    <cellStyle name="Normal 2 13 6 2" xfId="896"/>
    <cellStyle name="Normal 2 13 6 2 2" xfId="897"/>
    <cellStyle name="Normal 2 13 6 3" xfId="898"/>
    <cellStyle name="Normal 2 13 7" xfId="899"/>
    <cellStyle name="Normal 2 13 7 2" xfId="900"/>
    <cellStyle name="Normal 2 13 7 2 2" xfId="901"/>
    <cellStyle name="Normal 2 13 7 3" xfId="902"/>
    <cellStyle name="Normal 2 13 8" xfId="903"/>
    <cellStyle name="Normal 2 13 8 2" xfId="904"/>
    <cellStyle name="Normal 2 13 8 2 2" xfId="905"/>
    <cellStyle name="Normal 2 13 8 3" xfId="906"/>
    <cellStyle name="Normal 2 13 9" xfId="907"/>
    <cellStyle name="Normal 2 13 9 2" xfId="908"/>
    <cellStyle name="Normal 2 13 9 2 2" xfId="909"/>
    <cellStyle name="Normal 2 13 9 3" xfId="910"/>
    <cellStyle name="Normal 2 14" xfId="911"/>
    <cellStyle name="Normal 2 14 10" xfId="912"/>
    <cellStyle name="Normal 2 14 10 2" xfId="913"/>
    <cellStyle name="Normal 2 14 10 2 2" xfId="914"/>
    <cellStyle name="Normal 2 14 10 3" xfId="915"/>
    <cellStyle name="Normal 2 14 11" xfId="916"/>
    <cellStyle name="Normal 2 14 11 2" xfId="917"/>
    <cellStyle name="Normal 2 14 11 2 2" xfId="918"/>
    <cellStyle name="Normal 2 14 11 3" xfId="919"/>
    <cellStyle name="Normal 2 14 12" xfId="920"/>
    <cellStyle name="Normal 2 14 12 2" xfId="921"/>
    <cellStyle name="Normal 2 14 12 2 2" xfId="922"/>
    <cellStyle name="Normal 2 14 12 3" xfId="923"/>
    <cellStyle name="Normal 2 14 13" xfId="924"/>
    <cellStyle name="Normal 2 14 13 2" xfId="925"/>
    <cellStyle name="Normal 2 14 13 2 2" xfId="926"/>
    <cellStyle name="Normal 2 14 13 3" xfId="927"/>
    <cellStyle name="Normal 2 14 14" xfId="928"/>
    <cellStyle name="Normal 2 14 14 2" xfId="929"/>
    <cellStyle name="Normal 2 14 14 2 2" xfId="930"/>
    <cellStyle name="Normal 2 14 14 3" xfId="931"/>
    <cellStyle name="Normal 2 14 15" xfId="932"/>
    <cellStyle name="Normal 2 14 15 2" xfId="933"/>
    <cellStyle name="Normal 2 14 15 2 2" xfId="934"/>
    <cellStyle name="Normal 2 14 15 3" xfId="935"/>
    <cellStyle name="Normal 2 14 16" xfId="936"/>
    <cellStyle name="Normal 2 14 16 2" xfId="937"/>
    <cellStyle name="Normal 2 14 16 2 2" xfId="938"/>
    <cellStyle name="Normal 2 14 16 3" xfId="939"/>
    <cellStyle name="Normal 2 14 17" xfId="940"/>
    <cellStyle name="Normal 2 14 17 2" xfId="941"/>
    <cellStyle name="Normal 2 14 17 2 2" xfId="942"/>
    <cellStyle name="Normal 2 14 17 3" xfId="943"/>
    <cellStyle name="Normal 2 14 18" xfId="944"/>
    <cellStyle name="Normal 2 14 18 2" xfId="945"/>
    <cellStyle name="Normal 2 14 18 2 2" xfId="946"/>
    <cellStyle name="Normal 2 14 18 3" xfId="947"/>
    <cellStyle name="Normal 2 14 19" xfId="948"/>
    <cellStyle name="Normal 2 14 19 2" xfId="949"/>
    <cellStyle name="Normal 2 14 19 2 2" xfId="950"/>
    <cellStyle name="Normal 2 14 19 3" xfId="951"/>
    <cellStyle name="Normal 2 14 2" xfId="952"/>
    <cellStyle name="Normal 2 14 2 2" xfId="953"/>
    <cellStyle name="Normal 2 14 2 2 2" xfId="954"/>
    <cellStyle name="Normal 2 14 2 3" xfId="955"/>
    <cellStyle name="Normal 2 14 20" xfId="956"/>
    <cellStyle name="Normal 2 14 20 2" xfId="957"/>
    <cellStyle name="Normal 2 14 20 2 2" xfId="958"/>
    <cellStyle name="Normal 2 14 20 3" xfId="959"/>
    <cellStyle name="Normal 2 14 21" xfId="960"/>
    <cellStyle name="Normal 2 14 21 2" xfId="961"/>
    <cellStyle name="Normal 2 14 21 2 2" xfId="962"/>
    <cellStyle name="Normal 2 14 21 3" xfId="963"/>
    <cellStyle name="Normal 2 14 22" xfId="964"/>
    <cellStyle name="Normal 2 14 22 2" xfId="965"/>
    <cellStyle name="Normal 2 14 22 2 2" xfId="966"/>
    <cellStyle name="Normal 2 14 22 3" xfId="967"/>
    <cellStyle name="Normal 2 14 23" xfId="968"/>
    <cellStyle name="Normal 2 14 23 2" xfId="969"/>
    <cellStyle name="Normal 2 14 23 2 2" xfId="970"/>
    <cellStyle name="Normal 2 14 23 3" xfId="971"/>
    <cellStyle name="Normal 2 14 24" xfId="972"/>
    <cellStyle name="Normal 2 14 24 2" xfId="973"/>
    <cellStyle name="Normal 2 14 25" xfId="974"/>
    <cellStyle name="Normal 2 14 3" xfId="975"/>
    <cellStyle name="Normal 2 14 3 2" xfId="976"/>
    <cellStyle name="Normal 2 14 3 2 2" xfId="977"/>
    <cellStyle name="Normal 2 14 3 3" xfId="978"/>
    <cellStyle name="Normal 2 14 4" xfId="979"/>
    <cellStyle name="Normal 2 14 4 2" xfId="980"/>
    <cellStyle name="Normal 2 14 4 2 2" xfId="981"/>
    <cellStyle name="Normal 2 14 4 3" xfId="982"/>
    <cellStyle name="Normal 2 14 5" xfId="983"/>
    <cellStyle name="Normal 2 14 5 2" xfId="984"/>
    <cellStyle name="Normal 2 14 5 2 2" xfId="985"/>
    <cellStyle name="Normal 2 14 5 3" xfId="986"/>
    <cellStyle name="Normal 2 14 6" xfId="987"/>
    <cellStyle name="Normal 2 14 6 2" xfId="988"/>
    <cellStyle name="Normal 2 14 6 2 2" xfId="989"/>
    <cellStyle name="Normal 2 14 6 3" xfId="990"/>
    <cellStyle name="Normal 2 14 7" xfId="991"/>
    <cellStyle name="Normal 2 14 7 2" xfId="992"/>
    <cellStyle name="Normal 2 14 7 2 2" xfId="993"/>
    <cellStyle name="Normal 2 14 7 3" xfId="994"/>
    <cellStyle name="Normal 2 14 8" xfId="995"/>
    <cellStyle name="Normal 2 14 8 2" xfId="996"/>
    <cellStyle name="Normal 2 14 8 2 2" xfId="997"/>
    <cellStyle name="Normal 2 14 8 3" xfId="998"/>
    <cellStyle name="Normal 2 14 9" xfId="999"/>
    <cellStyle name="Normal 2 14 9 2" xfId="1000"/>
    <cellStyle name="Normal 2 14 9 2 2" xfId="1001"/>
    <cellStyle name="Normal 2 14 9 3" xfId="1002"/>
    <cellStyle name="Normal 2 15" xfId="1003"/>
    <cellStyle name="Normal 2 15 10" xfId="1004"/>
    <cellStyle name="Normal 2 15 10 2" xfId="1005"/>
    <cellStyle name="Normal 2 15 10 2 2" xfId="1006"/>
    <cellStyle name="Normal 2 15 10 3" xfId="1007"/>
    <cellStyle name="Normal 2 15 11" xfId="1008"/>
    <cellStyle name="Normal 2 15 11 2" xfId="1009"/>
    <cellStyle name="Normal 2 15 11 2 2" xfId="1010"/>
    <cellStyle name="Normal 2 15 11 3" xfId="1011"/>
    <cellStyle name="Normal 2 15 12" xfId="1012"/>
    <cellStyle name="Normal 2 15 12 2" xfId="1013"/>
    <cellStyle name="Normal 2 15 12 2 2" xfId="1014"/>
    <cellStyle name="Normal 2 15 12 3" xfId="1015"/>
    <cellStyle name="Normal 2 15 13" xfId="1016"/>
    <cellStyle name="Normal 2 15 13 2" xfId="1017"/>
    <cellStyle name="Normal 2 15 13 2 2" xfId="1018"/>
    <cellStyle name="Normal 2 15 13 3" xfId="1019"/>
    <cellStyle name="Normal 2 15 14" xfId="1020"/>
    <cellStyle name="Normal 2 15 14 2" xfId="1021"/>
    <cellStyle name="Normal 2 15 14 2 2" xfId="1022"/>
    <cellStyle name="Normal 2 15 14 3" xfId="1023"/>
    <cellStyle name="Normal 2 15 15" xfId="1024"/>
    <cellStyle name="Normal 2 15 15 2" xfId="1025"/>
    <cellStyle name="Normal 2 15 15 2 2" xfId="1026"/>
    <cellStyle name="Normal 2 15 15 3" xfId="1027"/>
    <cellStyle name="Normal 2 15 16" xfId="1028"/>
    <cellStyle name="Normal 2 15 16 2" xfId="1029"/>
    <cellStyle name="Normal 2 15 16 2 2" xfId="1030"/>
    <cellStyle name="Normal 2 15 16 3" xfId="1031"/>
    <cellStyle name="Normal 2 15 17" xfId="1032"/>
    <cellStyle name="Normal 2 15 17 2" xfId="1033"/>
    <cellStyle name="Normal 2 15 17 2 2" xfId="1034"/>
    <cellStyle name="Normal 2 15 17 3" xfId="1035"/>
    <cellStyle name="Normal 2 15 18" xfId="1036"/>
    <cellStyle name="Normal 2 15 18 2" xfId="1037"/>
    <cellStyle name="Normal 2 15 18 2 2" xfId="1038"/>
    <cellStyle name="Normal 2 15 18 3" xfId="1039"/>
    <cellStyle name="Normal 2 15 19" xfId="1040"/>
    <cellStyle name="Normal 2 15 19 2" xfId="1041"/>
    <cellStyle name="Normal 2 15 19 2 2" xfId="1042"/>
    <cellStyle name="Normal 2 15 19 3" xfId="1043"/>
    <cellStyle name="Normal 2 15 2" xfId="1044"/>
    <cellStyle name="Normal 2 15 2 2" xfId="1045"/>
    <cellStyle name="Normal 2 15 2 2 2" xfId="1046"/>
    <cellStyle name="Normal 2 15 2 3" xfId="1047"/>
    <cellStyle name="Normal 2 15 20" xfId="1048"/>
    <cellStyle name="Normal 2 15 20 2" xfId="1049"/>
    <cellStyle name="Normal 2 15 20 2 2" xfId="1050"/>
    <cellStyle name="Normal 2 15 20 3" xfId="1051"/>
    <cellStyle name="Normal 2 15 21" xfId="1052"/>
    <cellStyle name="Normal 2 15 21 2" xfId="1053"/>
    <cellStyle name="Normal 2 15 21 2 2" xfId="1054"/>
    <cellStyle name="Normal 2 15 21 3" xfId="1055"/>
    <cellStyle name="Normal 2 15 22" xfId="1056"/>
    <cellStyle name="Normal 2 15 22 2" xfId="1057"/>
    <cellStyle name="Normal 2 15 22 2 2" xfId="1058"/>
    <cellStyle name="Normal 2 15 22 3" xfId="1059"/>
    <cellStyle name="Normal 2 15 23" xfId="1060"/>
    <cellStyle name="Normal 2 15 23 2" xfId="1061"/>
    <cellStyle name="Normal 2 15 23 2 2" xfId="1062"/>
    <cellStyle name="Normal 2 15 23 3" xfId="1063"/>
    <cellStyle name="Normal 2 15 24" xfId="1064"/>
    <cellStyle name="Normal 2 15 24 2" xfId="1065"/>
    <cellStyle name="Normal 2 15 25" xfId="1066"/>
    <cellStyle name="Normal 2 15 3" xfId="1067"/>
    <cellStyle name="Normal 2 15 3 2" xfId="1068"/>
    <cellStyle name="Normal 2 15 3 2 2" xfId="1069"/>
    <cellStyle name="Normal 2 15 3 3" xfId="1070"/>
    <cellStyle name="Normal 2 15 4" xfId="1071"/>
    <cellStyle name="Normal 2 15 4 2" xfId="1072"/>
    <cellStyle name="Normal 2 15 4 2 2" xfId="1073"/>
    <cellStyle name="Normal 2 15 4 3" xfId="1074"/>
    <cellStyle name="Normal 2 15 5" xfId="1075"/>
    <cellStyle name="Normal 2 15 5 2" xfId="1076"/>
    <cellStyle name="Normal 2 15 5 2 2" xfId="1077"/>
    <cellStyle name="Normal 2 15 5 3" xfId="1078"/>
    <cellStyle name="Normal 2 15 6" xfId="1079"/>
    <cellStyle name="Normal 2 15 6 2" xfId="1080"/>
    <cellStyle name="Normal 2 15 6 2 2" xfId="1081"/>
    <cellStyle name="Normal 2 15 6 3" xfId="1082"/>
    <cellStyle name="Normal 2 15 7" xfId="1083"/>
    <cellStyle name="Normal 2 15 7 2" xfId="1084"/>
    <cellStyle name="Normal 2 15 7 2 2" xfId="1085"/>
    <cellStyle name="Normal 2 15 7 3" xfId="1086"/>
    <cellStyle name="Normal 2 15 8" xfId="1087"/>
    <cellStyle name="Normal 2 15 8 2" xfId="1088"/>
    <cellStyle name="Normal 2 15 8 2 2" xfId="1089"/>
    <cellStyle name="Normal 2 15 8 3" xfId="1090"/>
    <cellStyle name="Normal 2 15 9" xfId="1091"/>
    <cellStyle name="Normal 2 15 9 2" xfId="1092"/>
    <cellStyle name="Normal 2 15 9 2 2" xfId="1093"/>
    <cellStyle name="Normal 2 15 9 3" xfId="1094"/>
    <cellStyle name="Normal 2 16" xfId="1095"/>
    <cellStyle name="Normal 2 16 10" xfId="1096"/>
    <cellStyle name="Normal 2 16 10 2" xfId="1097"/>
    <cellStyle name="Normal 2 16 10 2 2" xfId="1098"/>
    <cellStyle name="Normal 2 16 10 3" xfId="1099"/>
    <cellStyle name="Normal 2 16 11" xfId="1100"/>
    <cellStyle name="Normal 2 16 11 2" xfId="1101"/>
    <cellStyle name="Normal 2 16 11 2 2" xfId="1102"/>
    <cellStyle name="Normal 2 16 11 3" xfId="1103"/>
    <cellStyle name="Normal 2 16 12" xfId="1104"/>
    <cellStyle name="Normal 2 16 12 2" xfId="1105"/>
    <cellStyle name="Normal 2 16 12 2 2" xfId="1106"/>
    <cellStyle name="Normal 2 16 12 3" xfId="1107"/>
    <cellStyle name="Normal 2 16 13" xfId="1108"/>
    <cellStyle name="Normal 2 16 13 2" xfId="1109"/>
    <cellStyle name="Normal 2 16 13 2 2" xfId="1110"/>
    <cellStyle name="Normal 2 16 13 3" xfId="1111"/>
    <cellStyle name="Normal 2 16 14" xfId="1112"/>
    <cellStyle name="Normal 2 16 14 2" xfId="1113"/>
    <cellStyle name="Normal 2 16 14 2 2" xfId="1114"/>
    <cellStyle name="Normal 2 16 14 3" xfId="1115"/>
    <cellStyle name="Normal 2 16 15" xfId="1116"/>
    <cellStyle name="Normal 2 16 15 2" xfId="1117"/>
    <cellStyle name="Normal 2 16 15 2 2" xfId="1118"/>
    <cellStyle name="Normal 2 16 15 3" xfId="1119"/>
    <cellStyle name="Normal 2 16 16" xfId="1120"/>
    <cellStyle name="Normal 2 16 16 2" xfId="1121"/>
    <cellStyle name="Normal 2 16 16 2 2" xfId="1122"/>
    <cellStyle name="Normal 2 16 16 3" xfId="1123"/>
    <cellStyle name="Normal 2 16 17" xfId="1124"/>
    <cellStyle name="Normal 2 16 17 2" xfId="1125"/>
    <cellStyle name="Normal 2 16 17 2 2" xfId="1126"/>
    <cellStyle name="Normal 2 16 17 3" xfId="1127"/>
    <cellStyle name="Normal 2 16 18" xfId="1128"/>
    <cellStyle name="Normal 2 16 18 2" xfId="1129"/>
    <cellStyle name="Normal 2 16 18 2 2" xfId="1130"/>
    <cellStyle name="Normal 2 16 18 3" xfId="1131"/>
    <cellStyle name="Normal 2 16 19" xfId="1132"/>
    <cellStyle name="Normal 2 16 19 2" xfId="1133"/>
    <cellStyle name="Normal 2 16 19 2 2" xfId="1134"/>
    <cellStyle name="Normal 2 16 19 3" xfId="1135"/>
    <cellStyle name="Normal 2 16 2" xfId="1136"/>
    <cellStyle name="Normal 2 16 2 2" xfId="1137"/>
    <cellStyle name="Normal 2 16 2 2 2" xfId="1138"/>
    <cellStyle name="Normal 2 16 2 3" xfId="1139"/>
    <cellStyle name="Normal 2 16 20" xfId="1140"/>
    <cellStyle name="Normal 2 16 20 2" xfId="1141"/>
    <cellStyle name="Normal 2 16 20 2 2" xfId="1142"/>
    <cellStyle name="Normal 2 16 20 3" xfId="1143"/>
    <cellStyle name="Normal 2 16 21" xfId="1144"/>
    <cellStyle name="Normal 2 16 21 2" xfId="1145"/>
    <cellStyle name="Normal 2 16 21 2 2" xfId="1146"/>
    <cellStyle name="Normal 2 16 21 3" xfId="1147"/>
    <cellStyle name="Normal 2 16 22" xfId="1148"/>
    <cellStyle name="Normal 2 16 22 2" xfId="1149"/>
    <cellStyle name="Normal 2 16 22 2 2" xfId="1150"/>
    <cellStyle name="Normal 2 16 22 3" xfId="1151"/>
    <cellStyle name="Normal 2 16 23" xfId="1152"/>
    <cellStyle name="Normal 2 16 23 2" xfId="1153"/>
    <cellStyle name="Normal 2 16 23 2 2" xfId="1154"/>
    <cellStyle name="Normal 2 16 23 3" xfId="1155"/>
    <cellStyle name="Normal 2 16 24" xfId="1156"/>
    <cellStyle name="Normal 2 16 24 2" xfId="1157"/>
    <cellStyle name="Normal 2 16 25" xfId="1158"/>
    <cellStyle name="Normal 2 16 3" xfId="1159"/>
    <cellStyle name="Normal 2 16 3 2" xfId="1160"/>
    <cellStyle name="Normal 2 16 3 2 2" xfId="1161"/>
    <cellStyle name="Normal 2 16 3 3" xfId="1162"/>
    <cellStyle name="Normal 2 16 4" xfId="1163"/>
    <cellStyle name="Normal 2 16 4 2" xfId="1164"/>
    <cellStyle name="Normal 2 16 4 2 2" xfId="1165"/>
    <cellStyle name="Normal 2 16 4 3" xfId="1166"/>
    <cellStyle name="Normal 2 16 5" xfId="1167"/>
    <cellStyle name="Normal 2 16 5 2" xfId="1168"/>
    <cellStyle name="Normal 2 16 5 2 2" xfId="1169"/>
    <cellStyle name="Normal 2 16 5 3" xfId="1170"/>
    <cellStyle name="Normal 2 16 6" xfId="1171"/>
    <cellStyle name="Normal 2 16 6 2" xfId="1172"/>
    <cellStyle name="Normal 2 16 6 2 2" xfId="1173"/>
    <cellStyle name="Normal 2 16 6 3" xfId="1174"/>
    <cellStyle name="Normal 2 16 7" xfId="1175"/>
    <cellStyle name="Normal 2 16 7 2" xfId="1176"/>
    <cellStyle name="Normal 2 16 7 2 2" xfId="1177"/>
    <cellStyle name="Normal 2 16 7 3" xfId="1178"/>
    <cellStyle name="Normal 2 16 8" xfId="1179"/>
    <cellStyle name="Normal 2 16 8 2" xfId="1180"/>
    <cellStyle name="Normal 2 16 8 2 2" xfId="1181"/>
    <cellStyle name="Normal 2 16 8 3" xfId="1182"/>
    <cellStyle name="Normal 2 16 9" xfId="1183"/>
    <cellStyle name="Normal 2 16 9 2" xfId="1184"/>
    <cellStyle name="Normal 2 16 9 2 2" xfId="1185"/>
    <cellStyle name="Normal 2 16 9 3" xfId="1186"/>
    <cellStyle name="Normal 2 17" xfId="1187"/>
    <cellStyle name="Normal 2 17 10" xfId="1188"/>
    <cellStyle name="Normal 2 17 10 2" xfId="1189"/>
    <cellStyle name="Normal 2 17 10 2 2" xfId="1190"/>
    <cellStyle name="Normal 2 17 10 3" xfId="1191"/>
    <cellStyle name="Normal 2 17 11" xfId="1192"/>
    <cellStyle name="Normal 2 17 11 2" xfId="1193"/>
    <cellStyle name="Normal 2 17 11 2 2" xfId="1194"/>
    <cellStyle name="Normal 2 17 11 3" xfId="1195"/>
    <cellStyle name="Normal 2 17 12" xfId="1196"/>
    <cellStyle name="Normal 2 17 12 2" xfId="1197"/>
    <cellStyle name="Normal 2 17 12 2 2" xfId="1198"/>
    <cellStyle name="Normal 2 17 12 3" xfId="1199"/>
    <cellStyle name="Normal 2 17 13" xfId="1200"/>
    <cellStyle name="Normal 2 17 13 2" xfId="1201"/>
    <cellStyle name="Normal 2 17 13 2 2" xfId="1202"/>
    <cellStyle name="Normal 2 17 13 3" xfId="1203"/>
    <cellStyle name="Normal 2 17 14" xfId="1204"/>
    <cellStyle name="Normal 2 17 14 2" xfId="1205"/>
    <cellStyle name="Normal 2 17 14 2 2" xfId="1206"/>
    <cellStyle name="Normal 2 17 14 3" xfId="1207"/>
    <cellStyle name="Normal 2 17 15" xfId="1208"/>
    <cellStyle name="Normal 2 17 15 2" xfId="1209"/>
    <cellStyle name="Normal 2 17 15 2 2" xfId="1210"/>
    <cellStyle name="Normal 2 17 15 3" xfId="1211"/>
    <cellStyle name="Normal 2 17 16" xfId="1212"/>
    <cellStyle name="Normal 2 17 16 2" xfId="1213"/>
    <cellStyle name="Normal 2 17 16 2 2" xfId="1214"/>
    <cellStyle name="Normal 2 17 16 3" xfId="1215"/>
    <cellStyle name="Normal 2 17 17" xfId="1216"/>
    <cellStyle name="Normal 2 17 17 2" xfId="1217"/>
    <cellStyle name="Normal 2 17 17 2 2" xfId="1218"/>
    <cellStyle name="Normal 2 17 17 3" xfId="1219"/>
    <cellStyle name="Normal 2 17 18" xfId="1220"/>
    <cellStyle name="Normal 2 17 18 2" xfId="1221"/>
    <cellStyle name="Normal 2 17 18 2 2" xfId="1222"/>
    <cellStyle name="Normal 2 17 18 3" xfId="1223"/>
    <cellStyle name="Normal 2 17 19" xfId="1224"/>
    <cellStyle name="Normal 2 17 19 2" xfId="1225"/>
    <cellStyle name="Normal 2 17 19 2 2" xfId="1226"/>
    <cellStyle name="Normal 2 17 19 3" xfId="1227"/>
    <cellStyle name="Normal 2 17 2" xfId="1228"/>
    <cellStyle name="Normal 2 17 2 2" xfId="1229"/>
    <cellStyle name="Normal 2 17 2 2 2" xfId="1230"/>
    <cellStyle name="Normal 2 17 2 3" xfId="1231"/>
    <cellStyle name="Normal 2 17 20" xfId="1232"/>
    <cellStyle name="Normal 2 17 20 2" xfId="1233"/>
    <cellStyle name="Normal 2 17 20 2 2" xfId="1234"/>
    <cellStyle name="Normal 2 17 20 3" xfId="1235"/>
    <cellStyle name="Normal 2 17 21" xfId="1236"/>
    <cellStyle name="Normal 2 17 21 2" xfId="1237"/>
    <cellStyle name="Normal 2 17 21 2 2" xfId="1238"/>
    <cellStyle name="Normal 2 17 21 3" xfId="1239"/>
    <cellStyle name="Normal 2 17 22" xfId="1240"/>
    <cellStyle name="Normal 2 17 22 2" xfId="1241"/>
    <cellStyle name="Normal 2 17 22 2 2" xfId="1242"/>
    <cellStyle name="Normal 2 17 22 3" xfId="1243"/>
    <cellStyle name="Normal 2 17 23" xfId="1244"/>
    <cellStyle name="Normal 2 17 23 2" xfId="1245"/>
    <cellStyle name="Normal 2 17 23 2 2" xfId="1246"/>
    <cellStyle name="Normal 2 17 23 3" xfId="1247"/>
    <cellStyle name="Normal 2 17 24" xfId="1248"/>
    <cellStyle name="Normal 2 17 24 2" xfId="1249"/>
    <cellStyle name="Normal 2 17 25" xfId="1250"/>
    <cellStyle name="Normal 2 17 3" xfId="1251"/>
    <cellStyle name="Normal 2 17 3 2" xfId="1252"/>
    <cellStyle name="Normal 2 17 3 2 2" xfId="1253"/>
    <cellStyle name="Normal 2 17 3 3" xfId="1254"/>
    <cellStyle name="Normal 2 17 4" xfId="1255"/>
    <cellStyle name="Normal 2 17 4 2" xfId="1256"/>
    <cellStyle name="Normal 2 17 4 2 2" xfId="1257"/>
    <cellStyle name="Normal 2 17 4 3" xfId="1258"/>
    <cellStyle name="Normal 2 17 5" xfId="1259"/>
    <cellStyle name="Normal 2 17 5 2" xfId="1260"/>
    <cellStyle name="Normal 2 17 5 2 2" xfId="1261"/>
    <cellStyle name="Normal 2 17 5 3" xfId="1262"/>
    <cellStyle name="Normal 2 17 6" xfId="1263"/>
    <cellStyle name="Normal 2 17 6 2" xfId="1264"/>
    <cellStyle name="Normal 2 17 6 2 2" xfId="1265"/>
    <cellStyle name="Normal 2 17 6 3" xfId="1266"/>
    <cellStyle name="Normal 2 17 7" xfId="1267"/>
    <cellStyle name="Normal 2 17 7 2" xfId="1268"/>
    <cellStyle name="Normal 2 17 7 2 2" xfId="1269"/>
    <cellStyle name="Normal 2 17 7 3" xfId="1270"/>
    <cellStyle name="Normal 2 17 8" xfId="1271"/>
    <cellStyle name="Normal 2 17 8 2" xfId="1272"/>
    <cellStyle name="Normal 2 17 8 2 2" xfId="1273"/>
    <cellStyle name="Normal 2 17 8 3" xfId="1274"/>
    <cellStyle name="Normal 2 17 9" xfId="1275"/>
    <cellStyle name="Normal 2 17 9 2" xfId="1276"/>
    <cellStyle name="Normal 2 17 9 2 2" xfId="1277"/>
    <cellStyle name="Normal 2 17 9 3" xfId="1278"/>
    <cellStyle name="Normal 2 18" xfId="1279"/>
    <cellStyle name="Normal 2 18 10" xfId="1280"/>
    <cellStyle name="Normal 2 18 10 2" xfId="1281"/>
    <cellStyle name="Normal 2 18 10 2 2" xfId="1282"/>
    <cellStyle name="Normal 2 18 10 3" xfId="1283"/>
    <cellStyle name="Normal 2 18 11" xfId="1284"/>
    <cellStyle name="Normal 2 18 11 2" xfId="1285"/>
    <cellStyle name="Normal 2 18 11 2 2" xfId="1286"/>
    <cellStyle name="Normal 2 18 11 3" xfId="1287"/>
    <cellStyle name="Normal 2 18 12" xfId="1288"/>
    <cellStyle name="Normal 2 18 12 2" xfId="1289"/>
    <cellStyle name="Normal 2 18 12 2 2" xfId="1290"/>
    <cellStyle name="Normal 2 18 12 3" xfId="1291"/>
    <cellStyle name="Normal 2 18 13" xfId="1292"/>
    <cellStyle name="Normal 2 18 13 2" xfId="1293"/>
    <cellStyle name="Normal 2 18 13 2 2" xfId="1294"/>
    <cellStyle name="Normal 2 18 13 3" xfId="1295"/>
    <cellStyle name="Normal 2 18 14" xfId="1296"/>
    <cellStyle name="Normal 2 18 14 2" xfId="1297"/>
    <cellStyle name="Normal 2 18 14 2 2" xfId="1298"/>
    <cellStyle name="Normal 2 18 14 3" xfId="1299"/>
    <cellStyle name="Normal 2 18 15" xfId="1300"/>
    <cellStyle name="Normal 2 18 15 2" xfId="1301"/>
    <cellStyle name="Normal 2 18 15 2 2" xfId="1302"/>
    <cellStyle name="Normal 2 18 15 3" xfId="1303"/>
    <cellStyle name="Normal 2 18 16" xfId="1304"/>
    <cellStyle name="Normal 2 18 16 2" xfId="1305"/>
    <cellStyle name="Normal 2 18 16 2 2" xfId="1306"/>
    <cellStyle name="Normal 2 18 16 3" xfId="1307"/>
    <cellStyle name="Normal 2 18 17" xfId="1308"/>
    <cellStyle name="Normal 2 18 17 2" xfId="1309"/>
    <cellStyle name="Normal 2 18 17 2 2" xfId="1310"/>
    <cellStyle name="Normal 2 18 17 3" xfId="1311"/>
    <cellStyle name="Normal 2 18 18" xfId="1312"/>
    <cellStyle name="Normal 2 18 18 2" xfId="1313"/>
    <cellStyle name="Normal 2 18 18 2 2" xfId="1314"/>
    <cellStyle name="Normal 2 18 18 3" xfId="1315"/>
    <cellStyle name="Normal 2 18 19" xfId="1316"/>
    <cellStyle name="Normal 2 18 19 2" xfId="1317"/>
    <cellStyle name="Normal 2 18 19 2 2" xfId="1318"/>
    <cellStyle name="Normal 2 18 19 3" xfId="1319"/>
    <cellStyle name="Normal 2 18 2" xfId="1320"/>
    <cellStyle name="Normal 2 18 2 2" xfId="1321"/>
    <cellStyle name="Normal 2 18 2 2 2" xfId="1322"/>
    <cellStyle name="Normal 2 18 2 3" xfId="1323"/>
    <cellStyle name="Normal 2 18 20" xfId="1324"/>
    <cellStyle name="Normal 2 18 20 2" xfId="1325"/>
    <cellStyle name="Normal 2 18 20 2 2" xfId="1326"/>
    <cellStyle name="Normal 2 18 20 3" xfId="1327"/>
    <cellStyle name="Normal 2 18 21" xfId="1328"/>
    <cellStyle name="Normal 2 18 21 2" xfId="1329"/>
    <cellStyle name="Normal 2 18 21 2 2" xfId="1330"/>
    <cellStyle name="Normal 2 18 21 3" xfId="1331"/>
    <cellStyle name="Normal 2 18 22" xfId="1332"/>
    <cellStyle name="Normal 2 18 22 2" xfId="1333"/>
    <cellStyle name="Normal 2 18 22 2 2" xfId="1334"/>
    <cellStyle name="Normal 2 18 22 3" xfId="1335"/>
    <cellStyle name="Normal 2 18 23" xfId="1336"/>
    <cellStyle name="Normal 2 18 23 2" xfId="1337"/>
    <cellStyle name="Normal 2 18 23 2 2" xfId="1338"/>
    <cellStyle name="Normal 2 18 23 3" xfId="1339"/>
    <cellStyle name="Normal 2 18 24" xfId="1340"/>
    <cellStyle name="Normal 2 18 24 2" xfId="1341"/>
    <cellStyle name="Normal 2 18 25" xfId="1342"/>
    <cellStyle name="Normal 2 18 3" xfId="1343"/>
    <cellStyle name="Normal 2 18 3 2" xfId="1344"/>
    <cellStyle name="Normal 2 18 3 2 2" xfId="1345"/>
    <cellStyle name="Normal 2 18 3 3" xfId="1346"/>
    <cellStyle name="Normal 2 18 4" xfId="1347"/>
    <cellStyle name="Normal 2 18 4 2" xfId="1348"/>
    <cellStyle name="Normal 2 18 4 2 2" xfId="1349"/>
    <cellStyle name="Normal 2 18 4 3" xfId="1350"/>
    <cellStyle name="Normal 2 18 5" xfId="1351"/>
    <cellStyle name="Normal 2 18 5 2" xfId="1352"/>
    <cellStyle name="Normal 2 18 5 2 2" xfId="1353"/>
    <cellStyle name="Normal 2 18 5 3" xfId="1354"/>
    <cellStyle name="Normal 2 18 6" xfId="1355"/>
    <cellStyle name="Normal 2 18 6 2" xfId="1356"/>
    <cellStyle name="Normal 2 18 6 2 2" xfId="1357"/>
    <cellStyle name="Normal 2 18 6 3" xfId="1358"/>
    <cellStyle name="Normal 2 18 7" xfId="1359"/>
    <cellStyle name="Normal 2 18 7 2" xfId="1360"/>
    <cellStyle name="Normal 2 18 7 2 2" xfId="1361"/>
    <cellStyle name="Normal 2 18 7 3" xfId="1362"/>
    <cellStyle name="Normal 2 18 8" xfId="1363"/>
    <cellStyle name="Normal 2 18 8 2" xfId="1364"/>
    <cellStyle name="Normal 2 18 8 2 2" xfId="1365"/>
    <cellStyle name="Normal 2 18 8 3" xfId="1366"/>
    <cellStyle name="Normal 2 18 9" xfId="1367"/>
    <cellStyle name="Normal 2 18 9 2" xfId="1368"/>
    <cellStyle name="Normal 2 18 9 2 2" xfId="1369"/>
    <cellStyle name="Normal 2 18 9 3" xfId="1370"/>
    <cellStyle name="Normal 2 19" xfId="1371"/>
    <cellStyle name="Normal 2 19 10" xfId="1372"/>
    <cellStyle name="Normal 2 19 10 2" xfId="1373"/>
    <cellStyle name="Normal 2 19 10 2 2" xfId="1374"/>
    <cellStyle name="Normal 2 19 10 3" xfId="1375"/>
    <cellStyle name="Normal 2 19 11" xfId="1376"/>
    <cellStyle name="Normal 2 19 11 2" xfId="1377"/>
    <cellStyle name="Normal 2 19 11 2 2" xfId="1378"/>
    <cellStyle name="Normal 2 19 11 3" xfId="1379"/>
    <cellStyle name="Normal 2 19 12" xfId="1380"/>
    <cellStyle name="Normal 2 19 12 2" xfId="1381"/>
    <cellStyle name="Normal 2 19 12 2 2" xfId="1382"/>
    <cellStyle name="Normal 2 19 12 3" xfId="1383"/>
    <cellStyle name="Normal 2 19 13" xfId="1384"/>
    <cellStyle name="Normal 2 19 13 2" xfId="1385"/>
    <cellStyle name="Normal 2 19 13 2 2" xfId="1386"/>
    <cellStyle name="Normal 2 19 13 3" xfId="1387"/>
    <cellStyle name="Normal 2 19 14" xfId="1388"/>
    <cellStyle name="Normal 2 19 14 2" xfId="1389"/>
    <cellStyle name="Normal 2 19 14 2 2" xfId="1390"/>
    <cellStyle name="Normal 2 19 14 3" xfId="1391"/>
    <cellStyle name="Normal 2 19 15" xfId="1392"/>
    <cellStyle name="Normal 2 19 15 2" xfId="1393"/>
    <cellStyle name="Normal 2 19 15 2 2" xfId="1394"/>
    <cellStyle name="Normal 2 19 15 3" xfId="1395"/>
    <cellStyle name="Normal 2 19 16" xfId="1396"/>
    <cellStyle name="Normal 2 19 16 2" xfId="1397"/>
    <cellStyle name="Normal 2 19 16 2 2" xfId="1398"/>
    <cellStyle name="Normal 2 19 16 3" xfId="1399"/>
    <cellStyle name="Normal 2 19 17" xfId="1400"/>
    <cellStyle name="Normal 2 19 17 2" xfId="1401"/>
    <cellStyle name="Normal 2 19 17 2 2" xfId="1402"/>
    <cellStyle name="Normal 2 19 17 3" xfId="1403"/>
    <cellStyle name="Normal 2 19 18" xfId="1404"/>
    <cellStyle name="Normal 2 19 18 2" xfId="1405"/>
    <cellStyle name="Normal 2 19 18 2 2" xfId="1406"/>
    <cellStyle name="Normal 2 19 18 3" xfId="1407"/>
    <cellStyle name="Normal 2 19 19" xfId="1408"/>
    <cellStyle name="Normal 2 19 19 2" xfId="1409"/>
    <cellStyle name="Normal 2 19 19 2 2" xfId="1410"/>
    <cellStyle name="Normal 2 19 19 3" xfId="1411"/>
    <cellStyle name="Normal 2 19 2" xfId="1412"/>
    <cellStyle name="Normal 2 19 2 2" xfId="1413"/>
    <cellStyle name="Normal 2 19 2 2 2" xfId="1414"/>
    <cellStyle name="Normal 2 19 2 3" xfId="1415"/>
    <cellStyle name="Normal 2 19 20" xfId="1416"/>
    <cellStyle name="Normal 2 19 20 2" xfId="1417"/>
    <cellStyle name="Normal 2 19 20 2 2" xfId="1418"/>
    <cellStyle name="Normal 2 19 20 3" xfId="1419"/>
    <cellStyle name="Normal 2 19 21" xfId="1420"/>
    <cellStyle name="Normal 2 19 21 2" xfId="1421"/>
    <cellStyle name="Normal 2 19 21 2 2" xfId="1422"/>
    <cellStyle name="Normal 2 19 21 3" xfId="1423"/>
    <cellStyle name="Normal 2 19 22" xfId="1424"/>
    <cellStyle name="Normal 2 19 22 2" xfId="1425"/>
    <cellStyle name="Normal 2 19 22 2 2" xfId="1426"/>
    <cellStyle name="Normal 2 19 22 3" xfId="1427"/>
    <cellStyle name="Normal 2 19 23" xfId="1428"/>
    <cellStyle name="Normal 2 19 23 2" xfId="1429"/>
    <cellStyle name="Normal 2 19 23 2 2" xfId="1430"/>
    <cellStyle name="Normal 2 19 23 3" xfId="1431"/>
    <cellStyle name="Normal 2 19 24" xfId="1432"/>
    <cellStyle name="Normal 2 19 24 2" xfId="1433"/>
    <cellStyle name="Normal 2 19 25" xfId="1434"/>
    <cellStyle name="Normal 2 19 3" xfId="1435"/>
    <cellStyle name="Normal 2 19 3 2" xfId="1436"/>
    <cellStyle name="Normal 2 19 3 2 2" xfId="1437"/>
    <cellStyle name="Normal 2 19 3 3" xfId="1438"/>
    <cellStyle name="Normal 2 19 4" xfId="1439"/>
    <cellStyle name="Normal 2 19 4 2" xfId="1440"/>
    <cellStyle name="Normal 2 19 4 2 2" xfId="1441"/>
    <cellStyle name="Normal 2 19 4 3" xfId="1442"/>
    <cellStyle name="Normal 2 19 5" xfId="1443"/>
    <cellStyle name="Normal 2 19 5 2" xfId="1444"/>
    <cellStyle name="Normal 2 19 5 2 2" xfId="1445"/>
    <cellStyle name="Normal 2 19 5 3" xfId="1446"/>
    <cellStyle name="Normal 2 19 6" xfId="1447"/>
    <cellStyle name="Normal 2 19 6 2" xfId="1448"/>
    <cellStyle name="Normal 2 19 6 2 2" xfId="1449"/>
    <cellStyle name="Normal 2 19 6 3" xfId="1450"/>
    <cellStyle name="Normal 2 19 7" xfId="1451"/>
    <cellStyle name="Normal 2 19 7 2" xfId="1452"/>
    <cellStyle name="Normal 2 19 7 2 2" xfId="1453"/>
    <cellStyle name="Normal 2 19 7 3" xfId="1454"/>
    <cellStyle name="Normal 2 19 8" xfId="1455"/>
    <cellStyle name="Normal 2 19 8 2" xfId="1456"/>
    <cellStyle name="Normal 2 19 8 2 2" xfId="1457"/>
    <cellStyle name="Normal 2 19 8 3" xfId="1458"/>
    <cellStyle name="Normal 2 19 9" xfId="1459"/>
    <cellStyle name="Normal 2 19 9 2" xfId="1460"/>
    <cellStyle name="Normal 2 19 9 2 2" xfId="1461"/>
    <cellStyle name="Normal 2 19 9 3" xfId="1462"/>
    <cellStyle name="Normal 2 2" xfId="13"/>
    <cellStyle name="Normal 2 2 2" xfId="220"/>
    <cellStyle name="Normal 2 2 2 2" xfId="221"/>
    <cellStyle name="Normal 2 2 2 3" xfId="222"/>
    <cellStyle name="Normal 2 2 2 4" xfId="1463"/>
    <cellStyle name="Normal 2 2 3" xfId="223"/>
    <cellStyle name="Normal 2 2 3 2" xfId="224"/>
    <cellStyle name="Normal 2 2 3 3" xfId="225"/>
    <cellStyle name="Normal 2 2 4" xfId="226"/>
    <cellStyle name="Normal 2 2 4 2" xfId="448"/>
    <cellStyle name="Normal 2 2 5" xfId="449"/>
    <cellStyle name="Normal 2 2 6" xfId="1464"/>
    <cellStyle name="Normal 2 2 7" xfId="1465"/>
    <cellStyle name="Normal 2 2 8" xfId="1466"/>
    <cellStyle name="Normal 2 20" xfId="1467"/>
    <cellStyle name="Normal 2 20 10" xfId="1468"/>
    <cellStyle name="Normal 2 20 10 2" xfId="1469"/>
    <cellStyle name="Normal 2 20 10 2 2" xfId="1470"/>
    <cellStyle name="Normal 2 20 10 3" xfId="1471"/>
    <cellStyle name="Normal 2 20 11" xfId="1472"/>
    <cellStyle name="Normal 2 20 11 2" xfId="1473"/>
    <cellStyle name="Normal 2 20 11 2 2" xfId="1474"/>
    <cellStyle name="Normal 2 20 11 3" xfId="1475"/>
    <cellStyle name="Normal 2 20 12" xfId="1476"/>
    <cellStyle name="Normal 2 20 12 2" xfId="1477"/>
    <cellStyle name="Normal 2 20 12 2 2" xfId="1478"/>
    <cellStyle name="Normal 2 20 12 3" xfId="1479"/>
    <cellStyle name="Normal 2 20 13" xfId="1480"/>
    <cellStyle name="Normal 2 20 13 2" xfId="1481"/>
    <cellStyle name="Normal 2 20 13 2 2" xfId="1482"/>
    <cellStyle name="Normal 2 20 13 3" xfId="1483"/>
    <cellStyle name="Normal 2 20 14" xfId="1484"/>
    <cellStyle name="Normal 2 20 14 2" xfId="1485"/>
    <cellStyle name="Normal 2 20 14 2 2" xfId="1486"/>
    <cellStyle name="Normal 2 20 14 3" xfId="1487"/>
    <cellStyle name="Normal 2 20 15" xfId="1488"/>
    <cellStyle name="Normal 2 20 15 2" xfId="1489"/>
    <cellStyle name="Normal 2 20 15 2 2" xfId="1490"/>
    <cellStyle name="Normal 2 20 15 3" xfId="1491"/>
    <cellStyle name="Normal 2 20 16" xfId="1492"/>
    <cellStyle name="Normal 2 20 16 2" xfId="1493"/>
    <cellStyle name="Normal 2 20 16 2 2" xfId="1494"/>
    <cellStyle name="Normal 2 20 16 3" xfId="1495"/>
    <cellStyle name="Normal 2 20 17" xfId="1496"/>
    <cellStyle name="Normal 2 20 17 2" xfId="1497"/>
    <cellStyle name="Normal 2 20 17 2 2" xfId="1498"/>
    <cellStyle name="Normal 2 20 17 3" xfId="1499"/>
    <cellStyle name="Normal 2 20 18" xfId="1500"/>
    <cellStyle name="Normal 2 20 18 2" xfId="1501"/>
    <cellStyle name="Normal 2 20 18 2 2" xfId="1502"/>
    <cellStyle name="Normal 2 20 18 3" xfId="1503"/>
    <cellStyle name="Normal 2 20 19" xfId="1504"/>
    <cellStyle name="Normal 2 20 19 2" xfId="1505"/>
    <cellStyle name="Normal 2 20 19 2 2" xfId="1506"/>
    <cellStyle name="Normal 2 20 19 3" xfId="1507"/>
    <cellStyle name="Normal 2 20 2" xfId="1508"/>
    <cellStyle name="Normal 2 20 2 2" xfId="1509"/>
    <cellStyle name="Normal 2 20 2 2 2" xfId="1510"/>
    <cellStyle name="Normal 2 20 2 3" xfId="1511"/>
    <cellStyle name="Normal 2 20 20" xfId="1512"/>
    <cellStyle name="Normal 2 20 20 2" xfId="1513"/>
    <cellStyle name="Normal 2 20 20 2 2" xfId="1514"/>
    <cellStyle name="Normal 2 20 20 3" xfId="1515"/>
    <cellStyle name="Normal 2 20 21" xfId="1516"/>
    <cellStyle name="Normal 2 20 21 2" xfId="1517"/>
    <cellStyle name="Normal 2 20 21 2 2" xfId="1518"/>
    <cellStyle name="Normal 2 20 21 3" xfId="1519"/>
    <cellStyle name="Normal 2 20 22" xfId="1520"/>
    <cellStyle name="Normal 2 20 22 2" xfId="1521"/>
    <cellStyle name="Normal 2 20 22 2 2" xfId="1522"/>
    <cellStyle name="Normal 2 20 22 3" xfId="1523"/>
    <cellStyle name="Normal 2 20 23" xfId="1524"/>
    <cellStyle name="Normal 2 20 23 2" xfId="1525"/>
    <cellStyle name="Normal 2 20 23 2 2" xfId="1526"/>
    <cellStyle name="Normal 2 20 23 3" xfId="1527"/>
    <cellStyle name="Normal 2 20 24" xfId="1528"/>
    <cellStyle name="Normal 2 20 24 2" xfId="1529"/>
    <cellStyle name="Normal 2 20 25" xfId="1530"/>
    <cellStyle name="Normal 2 20 3" xfId="1531"/>
    <cellStyle name="Normal 2 20 3 2" xfId="1532"/>
    <cellStyle name="Normal 2 20 3 2 2" xfId="1533"/>
    <cellStyle name="Normal 2 20 3 3" xfId="1534"/>
    <cellStyle name="Normal 2 20 4" xfId="1535"/>
    <cellStyle name="Normal 2 20 4 2" xfId="1536"/>
    <cellStyle name="Normal 2 20 4 2 2" xfId="1537"/>
    <cellStyle name="Normal 2 20 4 3" xfId="1538"/>
    <cellStyle name="Normal 2 20 5" xfId="1539"/>
    <cellStyle name="Normal 2 20 5 2" xfId="1540"/>
    <cellStyle name="Normal 2 20 5 2 2" xfId="1541"/>
    <cellStyle name="Normal 2 20 5 3" xfId="1542"/>
    <cellStyle name="Normal 2 20 6" xfId="1543"/>
    <cellStyle name="Normal 2 20 6 2" xfId="1544"/>
    <cellStyle name="Normal 2 20 6 2 2" xfId="1545"/>
    <cellStyle name="Normal 2 20 6 3" xfId="1546"/>
    <cellStyle name="Normal 2 20 7" xfId="1547"/>
    <cellStyle name="Normal 2 20 7 2" xfId="1548"/>
    <cellStyle name="Normal 2 20 7 2 2" xfId="1549"/>
    <cellStyle name="Normal 2 20 7 3" xfId="1550"/>
    <cellStyle name="Normal 2 20 8" xfId="1551"/>
    <cellStyle name="Normal 2 20 8 2" xfId="1552"/>
    <cellStyle name="Normal 2 20 8 2 2" xfId="1553"/>
    <cellStyle name="Normal 2 20 8 3" xfId="1554"/>
    <cellStyle name="Normal 2 20 9" xfId="1555"/>
    <cellStyle name="Normal 2 20 9 2" xfId="1556"/>
    <cellStyle name="Normal 2 20 9 2 2" xfId="1557"/>
    <cellStyle name="Normal 2 20 9 3" xfId="1558"/>
    <cellStyle name="Normal 2 21" xfId="1559"/>
    <cellStyle name="Normal 2 21 10" xfId="1560"/>
    <cellStyle name="Normal 2 21 10 2" xfId="1561"/>
    <cellStyle name="Normal 2 21 10 2 2" xfId="1562"/>
    <cellStyle name="Normal 2 21 10 3" xfId="1563"/>
    <cellStyle name="Normal 2 21 11" xfId="1564"/>
    <cellStyle name="Normal 2 21 11 2" xfId="1565"/>
    <cellStyle name="Normal 2 21 11 2 2" xfId="1566"/>
    <cellStyle name="Normal 2 21 11 3" xfId="1567"/>
    <cellStyle name="Normal 2 21 12" xfId="1568"/>
    <cellStyle name="Normal 2 21 12 2" xfId="1569"/>
    <cellStyle name="Normal 2 21 12 2 2" xfId="1570"/>
    <cellStyle name="Normal 2 21 12 3" xfId="1571"/>
    <cellStyle name="Normal 2 21 13" xfId="1572"/>
    <cellStyle name="Normal 2 21 13 2" xfId="1573"/>
    <cellStyle name="Normal 2 21 13 2 2" xfId="1574"/>
    <cellStyle name="Normal 2 21 13 3" xfId="1575"/>
    <cellStyle name="Normal 2 21 14" xfId="1576"/>
    <cellStyle name="Normal 2 21 14 2" xfId="1577"/>
    <cellStyle name="Normal 2 21 14 2 2" xfId="1578"/>
    <cellStyle name="Normal 2 21 14 3" xfId="1579"/>
    <cellStyle name="Normal 2 21 15" xfId="1580"/>
    <cellStyle name="Normal 2 21 15 2" xfId="1581"/>
    <cellStyle name="Normal 2 21 15 2 2" xfId="1582"/>
    <cellStyle name="Normal 2 21 15 3" xfId="1583"/>
    <cellStyle name="Normal 2 21 16" xfId="1584"/>
    <cellStyle name="Normal 2 21 16 2" xfId="1585"/>
    <cellStyle name="Normal 2 21 16 2 2" xfId="1586"/>
    <cellStyle name="Normal 2 21 16 3" xfId="1587"/>
    <cellStyle name="Normal 2 21 17" xfId="1588"/>
    <cellStyle name="Normal 2 21 17 2" xfId="1589"/>
    <cellStyle name="Normal 2 21 17 2 2" xfId="1590"/>
    <cellStyle name="Normal 2 21 17 3" xfId="1591"/>
    <cellStyle name="Normal 2 21 18" xfId="1592"/>
    <cellStyle name="Normal 2 21 18 2" xfId="1593"/>
    <cellStyle name="Normal 2 21 18 2 2" xfId="1594"/>
    <cellStyle name="Normal 2 21 18 3" xfId="1595"/>
    <cellStyle name="Normal 2 21 19" xfId="1596"/>
    <cellStyle name="Normal 2 21 19 2" xfId="1597"/>
    <cellStyle name="Normal 2 21 19 2 2" xfId="1598"/>
    <cellStyle name="Normal 2 21 19 3" xfId="1599"/>
    <cellStyle name="Normal 2 21 2" xfId="1600"/>
    <cellStyle name="Normal 2 21 2 2" xfId="1601"/>
    <cellStyle name="Normal 2 21 2 2 2" xfId="1602"/>
    <cellStyle name="Normal 2 21 2 3" xfId="1603"/>
    <cellStyle name="Normal 2 21 20" xfId="1604"/>
    <cellStyle name="Normal 2 21 20 2" xfId="1605"/>
    <cellStyle name="Normal 2 21 20 2 2" xfId="1606"/>
    <cellStyle name="Normal 2 21 20 3" xfId="1607"/>
    <cellStyle name="Normal 2 21 21" xfId="1608"/>
    <cellStyle name="Normal 2 21 21 2" xfId="1609"/>
    <cellStyle name="Normal 2 21 21 2 2" xfId="1610"/>
    <cellStyle name="Normal 2 21 21 3" xfId="1611"/>
    <cellStyle name="Normal 2 21 22" xfId="1612"/>
    <cellStyle name="Normal 2 21 22 2" xfId="1613"/>
    <cellStyle name="Normal 2 21 22 2 2" xfId="1614"/>
    <cellStyle name="Normal 2 21 22 3" xfId="1615"/>
    <cellStyle name="Normal 2 21 23" xfId="1616"/>
    <cellStyle name="Normal 2 21 23 2" xfId="1617"/>
    <cellStyle name="Normal 2 21 23 2 2" xfId="1618"/>
    <cellStyle name="Normal 2 21 23 3" xfId="1619"/>
    <cellStyle name="Normal 2 21 24" xfId="1620"/>
    <cellStyle name="Normal 2 21 24 2" xfId="1621"/>
    <cellStyle name="Normal 2 21 25" xfId="1622"/>
    <cellStyle name="Normal 2 21 3" xfId="1623"/>
    <cellStyle name="Normal 2 21 3 2" xfId="1624"/>
    <cellStyle name="Normal 2 21 3 2 2" xfId="1625"/>
    <cellStyle name="Normal 2 21 3 3" xfId="1626"/>
    <cellStyle name="Normal 2 21 4" xfId="1627"/>
    <cellStyle name="Normal 2 21 4 2" xfId="1628"/>
    <cellStyle name="Normal 2 21 4 2 2" xfId="1629"/>
    <cellStyle name="Normal 2 21 4 3" xfId="1630"/>
    <cellStyle name="Normal 2 21 5" xfId="1631"/>
    <cellStyle name="Normal 2 21 5 2" xfId="1632"/>
    <cellStyle name="Normal 2 21 5 2 2" xfId="1633"/>
    <cellStyle name="Normal 2 21 5 3" xfId="1634"/>
    <cellStyle name="Normal 2 21 6" xfId="1635"/>
    <cellStyle name="Normal 2 21 6 2" xfId="1636"/>
    <cellStyle name="Normal 2 21 6 2 2" xfId="1637"/>
    <cellStyle name="Normal 2 21 6 3" xfId="1638"/>
    <cellStyle name="Normal 2 21 7" xfId="1639"/>
    <cellStyle name="Normal 2 21 7 2" xfId="1640"/>
    <cellStyle name="Normal 2 21 7 2 2" xfId="1641"/>
    <cellStyle name="Normal 2 21 7 3" xfId="1642"/>
    <cellStyle name="Normal 2 21 8" xfId="1643"/>
    <cellStyle name="Normal 2 21 8 2" xfId="1644"/>
    <cellStyle name="Normal 2 21 8 2 2" xfId="1645"/>
    <cellStyle name="Normal 2 21 8 3" xfId="1646"/>
    <cellStyle name="Normal 2 21 9" xfId="1647"/>
    <cellStyle name="Normal 2 21 9 2" xfId="1648"/>
    <cellStyle name="Normal 2 21 9 2 2" xfId="1649"/>
    <cellStyle name="Normal 2 21 9 3" xfId="1650"/>
    <cellStyle name="Normal 2 22" xfId="1651"/>
    <cellStyle name="Normal 2 22 10" xfId="1652"/>
    <cellStyle name="Normal 2 22 10 2" xfId="1653"/>
    <cellStyle name="Normal 2 22 10 2 2" xfId="1654"/>
    <cellStyle name="Normal 2 22 10 3" xfId="1655"/>
    <cellStyle name="Normal 2 22 11" xfId="1656"/>
    <cellStyle name="Normal 2 22 11 2" xfId="1657"/>
    <cellStyle name="Normal 2 22 11 2 2" xfId="1658"/>
    <cellStyle name="Normal 2 22 11 3" xfId="1659"/>
    <cellStyle name="Normal 2 22 12" xfId="1660"/>
    <cellStyle name="Normal 2 22 12 2" xfId="1661"/>
    <cellStyle name="Normal 2 22 12 2 2" xfId="1662"/>
    <cellStyle name="Normal 2 22 12 3" xfId="1663"/>
    <cellStyle name="Normal 2 22 13" xfId="1664"/>
    <cellStyle name="Normal 2 22 13 2" xfId="1665"/>
    <cellStyle name="Normal 2 22 13 2 2" xfId="1666"/>
    <cellStyle name="Normal 2 22 13 3" xfId="1667"/>
    <cellStyle name="Normal 2 22 14" xfId="1668"/>
    <cellStyle name="Normal 2 22 14 2" xfId="1669"/>
    <cellStyle name="Normal 2 22 14 2 2" xfId="1670"/>
    <cellStyle name="Normal 2 22 14 3" xfId="1671"/>
    <cellStyle name="Normal 2 22 15" xfId="1672"/>
    <cellStyle name="Normal 2 22 15 2" xfId="1673"/>
    <cellStyle name="Normal 2 22 15 2 2" xfId="1674"/>
    <cellStyle name="Normal 2 22 15 3" xfId="1675"/>
    <cellStyle name="Normal 2 22 16" xfId="1676"/>
    <cellStyle name="Normal 2 22 16 2" xfId="1677"/>
    <cellStyle name="Normal 2 22 16 2 2" xfId="1678"/>
    <cellStyle name="Normal 2 22 16 3" xfId="1679"/>
    <cellStyle name="Normal 2 22 17" xfId="1680"/>
    <cellStyle name="Normal 2 22 17 2" xfId="1681"/>
    <cellStyle name="Normal 2 22 17 2 2" xfId="1682"/>
    <cellStyle name="Normal 2 22 17 3" xfId="1683"/>
    <cellStyle name="Normal 2 22 18" xfId="1684"/>
    <cellStyle name="Normal 2 22 18 2" xfId="1685"/>
    <cellStyle name="Normal 2 22 18 2 2" xfId="1686"/>
    <cellStyle name="Normal 2 22 18 3" xfId="1687"/>
    <cellStyle name="Normal 2 22 19" xfId="1688"/>
    <cellStyle name="Normal 2 22 19 2" xfId="1689"/>
    <cellStyle name="Normal 2 22 19 2 2" xfId="1690"/>
    <cellStyle name="Normal 2 22 19 3" xfId="1691"/>
    <cellStyle name="Normal 2 22 2" xfId="1692"/>
    <cellStyle name="Normal 2 22 2 2" xfId="1693"/>
    <cellStyle name="Normal 2 22 2 2 2" xfId="1694"/>
    <cellStyle name="Normal 2 22 2 3" xfId="1695"/>
    <cellStyle name="Normal 2 22 20" xfId="1696"/>
    <cellStyle name="Normal 2 22 20 2" xfId="1697"/>
    <cellStyle name="Normal 2 22 20 2 2" xfId="1698"/>
    <cellStyle name="Normal 2 22 20 3" xfId="1699"/>
    <cellStyle name="Normal 2 22 21" xfId="1700"/>
    <cellStyle name="Normal 2 22 21 2" xfId="1701"/>
    <cellStyle name="Normal 2 22 21 2 2" xfId="1702"/>
    <cellStyle name="Normal 2 22 21 3" xfId="1703"/>
    <cellStyle name="Normal 2 22 22" xfId="1704"/>
    <cellStyle name="Normal 2 22 22 2" xfId="1705"/>
    <cellStyle name="Normal 2 22 22 2 2" xfId="1706"/>
    <cellStyle name="Normal 2 22 22 3" xfId="1707"/>
    <cellStyle name="Normal 2 22 23" xfId="1708"/>
    <cellStyle name="Normal 2 22 23 2" xfId="1709"/>
    <cellStyle name="Normal 2 22 23 2 2" xfId="1710"/>
    <cellStyle name="Normal 2 22 23 3" xfId="1711"/>
    <cellStyle name="Normal 2 22 24" xfId="1712"/>
    <cellStyle name="Normal 2 22 24 2" xfId="1713"/>
    <cellStyle name="Normal 2 22 25" xfId="1714"/>
    <cellStyle name="Normal 2 22 3" xfId="1715"/>
    <cellStyle name="Normal 2 22 3 2" xfId="1716"/>
    <cellStyle name="Normal 2 22 3 2 2" xfId="1717"/>
    <cellStyle name="Normal 2 22 3 3" xfId="1718"/>
    <cellStyle name="Normal 2 22 4" xfId="1719"/>
    <cellStyle name="Normal 2 22 4 2" xfId="1720"/>
    <cellStyle name="Normal 2 22 4 2 2" xfId="1721"/>
    <cellStyle name="Normal 2 22 4 3" xfId="1722"/>
    <cellStyle name="Normal 2 22 5" xfId="1723"/>
    <cellStyle name="Normal 2 22 5 2" xfId="1724"/>
    <cellStyle name="Normal 2 22 5 2 2" xfId="1725"/>
    <cellStyle name="Normal 2 22 5 3" xfId="1726"/>
    <cellStyle name="Normal 2 22 6" xfId="1727"/>
    <cellStyle name="Normal 2 22 6 2" xfId="1728"/>
    <cellStyle name="Normal 2 22 6 2 2" xfId="1729"/>
    <cellStyle name="Normal 2 22 6 3" xfId="1730"/>
    <cellStyle name="Normal 2 22 7" xfId="1731"/>
    <cellStyle name="Normal 2 22 7 2" xfId="1732"/>
    <cellStyle name="Normal 2 22 7 2 2" xfId="1733"/>
    <cellStyle name="Normal 2 22 7 3" xfId="1734"/>
    <cellStyle name="Normal 2 22 8" xfId="1735"/>
    <cellStyle name="Normal 2 22 8 2" xfId="1736"/>
    <cellStyle name="Normal 2 22 8 2 2" xfId="1737"/>
    <cellStyle name="Normal 2 22 8 3" xfId="1738"/>
    <cellStyle name="Normal 2 22 9" xfId="1739"/>
    <cellStyle name="Normal 2 22 9 2" xfId="1740"/>
    <cellStyle name="Normal 2 22 9 2 2" xfId="1741"/>
    <cellStyle name="Normal 2 22 9 3" xfId="1742"/>
    <cellStyle name="Normal 2 23" xfId="1743"/>
    <cellStyle name="Normal 2 23 10" xfId="1744"/>
    <cellStyle name="Normal 2 23 10 2" xfId="1745"/>
    <cellStyle name="Normal 2 23 10 2 2" xfId="1746"/>
    <cellStyle name="Normal 2 23 10 3" xfId="1747"/>
    <cellStyle name="Normal 2 23 11" xfId="1748"/>
    <cellStyle name="Normal 2 23 11 2" xfId="1749"/>
    <cellStyle name="Normal 2 23 11 2 2" xfId="1750"/>
    <cellStyle name="Normal 2 23 11 3" xfId="1751"/>
    <cellStyle name="Normal 2 23 12" xfId="1752"/>
    <cellStyle name="Normal 2 23 12 2" xfId="1753"/>
    <cellStyle name="Normal 2 23 12 2 2" xfId="1754"/>
    <cellStyle name="Normal 2 23 12 3" xfId="1755"/>
    <cellStyle name="Normal 2 23 13" xfId="1756"/>
    <cellStyle name="Normal 2 23 13 2" xfId="1757"/>
    <cellStyle name="Normal 2 23 13 2 2" xfId="1758"/>
    <cellStyle name="Normal 2 23 13 3" xfId="1759"/>
    <cellStyle name="Normal 2 23 14" xfId="1760"/>
    <cellStyle name="Normal 2 23 14 2" xfId="1761"/>
    <cellStyle name="Normal 2 23 14 2 2" xfId="1762"/>
    <cellStyle name="Normal 2 23 14 3" xfId="1763"/>
    <cellStyle name="Normal 2 23 15" xfId="1764"/>
    <cellStyle name="Normal 2 23 15 2" xfId="1765"/>
    <cellStyle name="Normal 2 23 15 2 2" xfId="1766"/>
    <cellStyle name="Normal 2 23 15 3" xfId="1767"/>
    <cellStyle name="Normal 2 23 16" xfId="1768"/>
    <cellStyle name="Normal 2 23 16 2" xfId="1769"/>
    <cellStyle name="Normal 2 23 16 2 2" xfId="1770"/>
    <cellStyle name="Normal 2 23 16 3" xfId="1771"/>
    <cellStyle name="Normal 2 23 17" xfId="1772"/>
    <cellStyle name="Normal 2 23 17 2" xfId="1773"/>
    <cellStyle name="Normal 2 23 17 2 2" xfId="1774"/>
    <cellStyle name="Normal 2 23 17 3" xfId="1775"/>
    <cellStyle name="Normal 2 23 18" xfId="1776"/>
    <cellStyle name="Normal 2 23 18 2" xfId="1777"/>
    <cellStyle name="Normal 2 23 18 2 2" xfId="1778"/>
    <cellStyle name="Normal 2 23 18 3" xfId="1779"/>
    <cellStyle name="Normal 2 23 19" xfId="1780"/>
    <cellStyle name="Normal 2 23 19 2" xfId="1781"/>
    <cellStyle name="Normal 2 23 19 2 2" xfId="1782"/>
    <cellStyle name="Normal 2 23 19 3" xfId="1783"/>
    <cellStyle name="Normal 2 23 2" xfId="1784"/>
    <cellStyle name="Normal 2 23 2 2" xfId="1785"/>
    <cellStyle name="Normal 2 23 2 2 2" xfId="1786"/>
    <cellStyle name="Normal 2 23 2 3" xfId="1787"/>
    <cellStyle name="Normal 2 23 20" xfId="1788"/>
    <cellStyle name="Normal 2 23 20 2" xfId="1789"/>
    <cellStyle name="Normal 2 23 20 2 2" xfId="1790"/>
    <cellStyle name="Normal 2 23 20 3" xfId="1791"/>
    <cellStyle name="Normal 2 23 21" xfId="1792"/>
    <cellStyle name="Normal 2 23 21 2" xfId="1793"/>
    <cellStyle name="Normal 2 23 21 2 2" xfId="1794"/>
    <cellStyle name="Normal 2 23 21 3" xfId="1795"/>
    <cellStyle name="Normal 2 23 22" xfId="1796"/>
    <cellStyle name="Normal 2 23 22 2" xfId="1797"/>
    <cellStyle name="Normal 2 23 22 2 2" xfId="1798"/>
    <cellStyle name="Normal 2 23 22 3" xfId="1799"/>
    <cellStyle name="Normal 2 23 23" xfId="1800"/>
    <cellStyle name="Normal 2 23 23 2" xfId="1801"/>
    <cellStyle name="Normal 2 23 23 2 2" xfId="1802"/>
    <cellStyle name="Normal 2 23 23 3" xfId="1803"/>
    <cellStyle name="Normal 2 23 24" xfId="1804"/>
    <cellStyle name="Normal 2 23 24 2" xfId="1805"/>
    <cellStyle name="Normal 2 23 25" xfId="1806"/>
    <cellStyle name="Normal 2 23 3" xfId="1807"/>
    <cellStyle name="Normal 2 23 3 2" xfId="1808"/>
    <cellStyle name="Normal 2 23 3 2 2" xfId="1809"/>
    <cellStyle name="Normal 2 23 3 3" xfId="1810"/>
    <cellStyle name="Normal 2 23 4" xfId="1811"/>
    <cellStyle name="Normal 2 23 4 2" xfId="1812"/>
    <cellStyle name="Normal 2 23 4 2 2" xfId="1813"/>
    <cellStyle name="Normal 2 23 4 3" xfId="1814"/>
    <cellStyle name="Normal 2 23 5" xfId="1815"/>
    <cellStyle name="Normal 2 23 5 2" xfId="1816"/>
    <cellStyle name="Normal 2 23 5 2 2" xfId="1817"/>
    <cellStyle name="Normal 2 23 5 3" xfId="1818"/>
    <cellStyle name="Normal 2 23 6" xfId="1819"/>
    <cellStyle name="Normal 2 23 6 2" xfId="1820"/>
    <cellStyle name="Normal 2 23 6 2 2" xfId="1821"/>
    <cellStyle name="Normal 2 23 6 3" xfId="1822"/>
    <cellStyle name="Normal 2 23 7" xfId="1823"/>
    <cellStyle name="Normal 2 23 7 2" xfId="1824"/>
    <cellStyle name="Normal 2 23 7 2 2" xfId="1825"/>
    <cellStyle name="Normal 2 23 7 3" xfId="1826"/>
    <cellStyle name="Normal 2 23 8" xfId="1827"/>
    <cellStyle name="Normal 2 23 8 2" xfId="1828"/>
    <cellStyle name="Normal 2 23 8 2 2" xfId="1829"/>
    <cellStyle name="Normal 2 23 8 3" xfId="1830"/>
    <cellStyle name="Normal 2 23 9" xfId="1831"/>
    <cellStyle name="Normal 2 23 9 2" xfId="1832"/>
    <cellStyle name="Normal 2 23 9 2 2" xfId="1833"/>
    <cellStyle name="Normal 2 23 9 3" xfId="1834"/>
    <cellStyle name="Normal 2 24" xfId="1835"/>
    <cellStyle name="Normal 2 24 10" xfId="1836"/>
    <cellStyle name="Normal 2 24 10 2" xfId="1837"/>
    <cellStyle name="Normal 2 24 10 2 2" xfId="1838"/>
    <cellStyle name="Normal 2 24 10 3" xfId="1839"/>
    <cellStyle name="Normal 2 24 11" xfId="1840"/>
    <cellStyle name="Normal 2 24 11 2" xfId="1841"/>
    <cellStyle name="Normal 2 24 11 2 2" xfId="1842"/>
    <cellStyle name="Normal 2 24 11 3" xfId="1843"/>
    <cellStyle name="Normal 2 24 12" xfId="1844"/>
    <cellStyle name="Normal 2 24 12 2" xfId="1845"/>
    <cellStyle name="Normal 2 24 12 2 2" xfId="1846"/>
    <cellStyle name="Normal 2 24 12 3" xfId="1847"/>
    <cellStyle name="Normal 2 24 13" xfId="1848"/>
    <cellStyle name="Normal 2 24 13 2" xfId="1849"/>
    <cellStyle name="Normal 2 24 13 2 2" xfId="1850"/>
    <cellStyle name="Normal 2 24 13 3" xfId="1851"/>
    <cellStyle name="Normal 2 24 14" xfId="1852"/>
    <cellStyle name="Normal 2 24 14 2" xfId="1853"/>
    <cellStyle name="Normal 2 24 14 2 2" xfId="1854"/>
    <cellStyle name="Normal 2 24 14 3" xfId="1855"/>
    <cellStyle name="Normal 2 24 15" xfId="1856"/>
    <cellStyle name="Normal 2 24 15 2" xfId="1857"/>
    <cellStyle name="Normal 2 24 15 2 2" xfId="1858"/>
    <cellStyle name="Normal 2 24 15 3" xfId="1859"/>
    <cellStyle name="Normal 2 24 16" xfId="1860"/>
    <cellStyle name="Normal 2 24 16 2" xfId="1861"/>
    <cellStyle name="Normal 2 24 16 2 2" xfId="1862"/>
    <cellStyle name="Normal 2 24 16 3" xfId="1863"/>
    <cellStyle name="Normal 2 24 17" xfId="1864"/>
    <cellStyle name="Normal 2 24 17 2" xfId="1865"/>
    <cellStyle name="Normal 2 24 17 2 2" xfId="1866"/>
    <cellStyle name="Normal 2 24 17 3" xfId="1867"/>
    <cellStyle name="Normal 2 24 18" xfId="1868"/>
    <cellStyle name="Normal 2 24 18 2" xfId="1869"/>
    <cellStyle name="Normal 2 24 18 2 2" xfId="1870"/>
    <cellStyle name="Normal 2 24 18 3" xfId="1871"/>
    <cellStyle name="Normal 2 24 19" xfId="1872"/>
    <cellStyle name="Normal 2 24 19 2" xfId="1873"/>
    <cellStyle name="Normal 2 24 19 2 2" xfId="1874"/>
    <cellStyle name="Normal 2 24 19 3" xfId="1875"/>
    <cellStyle name="Normal 2 24 2" xfId="1876"/>
    <cellStyle name="Normal 2 24 2 2" xfId="1877"/>
    <cellStyle name="Normal 2 24 2 2 2" xfId="1878"/>
    <cellStyle name="Normal 2 24 2 3" xfId="1879"/>
    <cellStyle name="Normal 2 24 20" xfId="1880"/>
    <cellStyle name="Normal 2 24 20 2" xfId="1881"/>
    <cellStyle name="Normal 2 24 20 2 2" xfId="1882"/>
    <cellStyle name="Normal 2 24 20 3" xfId="1883"/>
    <cellStyle name="Normal 2 24 21" xfId="1884"/>
    <cellStyle name="Normal 2 24 21 2" xfId="1885"/>
    <cellStyle name="Normal 2 24 21 2 2" xfId="1886"/>
    <cellStyle name="Normal 2 24 21 3" xfId="1887"/>
    <cellStyle name="Normal 2 24 22" xfId="1888"/>
    <cellStyle name="Normal 2 24 22 2" xfId="1889"/>
    <cellStyle name="Normal 2 24 22 2 2" xfId="1890"/>
    <cellStyle name="Normal 2 24 22 3" xfId="1891"/>
    <cellStyle name="Normal 2 24 23" xfId="1892"/>
    <cellStyle name="Normal 2 24 23 2" xfId="1893"/>
    <cellStyle name="Normal 2 24 23 2 2" xfId="1894"/>
    <cellStyle name="Normal 2 24 23 3" xfId="1895"/>
    <cellStyle name="Normal 2 24 24" xfId="1896"/>
    <cellStyle name="Normal 2 24 24 2" xfId="1897"/>
    <cellStyle name="Normal 2 24 25" xfId="1898"/>
    <cellStyle name="Normal 2 24 3" xfId="1899"/>
    <cellStyle name="Normal 2 24 3 2" xfId="1900"/>
    <cellStyle name="Normal 2 24 3 2 2" xfId="1901"/>
    <cellStyle name="Normal 2 24 3 3" xfId="1902"/>
    <cellStyle name="Normal 2 24 4" xfId="1903"/>
    <cellStyle name="Normal 2 24 4 2" xfId="1904"/>
    <cellStyle name="Normal 2 24 4 2 2" xfId="1905"/>
    <cellStyle name="Normal 2 24 4 3" xfId="1906"/>
    <cellStyle name="Normal 2 24 5" xfId="1907"/>
    <cellStyle name="Normal 2 24 5 2" xfId="1908"/>
    <cellStyle name="Normal 2 24 5 2 2" xfId="1909"/>
    <cellStyle name="Normal 2 24 5 3" xfId="1910"/>
    <cellStyle name="Normal 2 24 6" xfId="1911"/>
    <cellStyle name="Normal 2 24 6 2" xfId="1912"/>
    <cellStyle name="Normal 2 24 6 2 2" xfId="1913"/>
    <cellStyle name="Normal 2 24 6 3" xfId="1914"/>
    <cellStyle name="Normal 2 24 7" xfId="1915"/>
    <cellStyle name="Normal 2 24 7 2" xfId="1916"/>
    <cellStyle name="Normal 2 24 7 2 2" xfId="1917"/>
    <cellStyle name="Normal 2 24 7 3" xfId="1918"/>
    <cellStyle name="Normal 2 24 8" xfId="1919"/>
    <cellStyle name="Normal 2 24 8 2" xfId="1920"/>
    <cellStyle name="Normal 2 24 8 2 2" xfId="1921"/>
    <cellStyle name="Normal 2 24 8 3" xfId="1922"/>
    <cellStyle name="Normal 2 24 9" xfId="1923"/>
    <cellStyle name="Normal 2 24 9 2" xfId="1924"/>
    <cellStyle name="Normal 2 24 9 2 2" xfId="1925"/>
    <cellStyle name="Normal 2 24 9 3" xfId="1926"/>
    <cellStyle name="Normal 2 25" xfId="1927"/>
    <cellStyle name="Normal 2 25 10" xfId="1928"/>
    <cellStyle name="Normal 2 25 10 2" xfId="1929"/>
    <cellStyle name="Normal 2 25 10 2 2" xfId="1930"/>
    <cellStyle name="Normal 2 25 10 3" xfId="1931"/>
    <cellStyle name="Normal 2 25 11" xfId="1932"/>
    <cellStyle name="Normal 2 25 11 2" xfId="1933"/>
    <cellStyle name="Normal 2 25 11 2 2" xfId="1934"/>
    <cellStyle name="Normal 2 25 11 3" xfId="1935"/>
    <cellStyle name="Normal 2 25 12" xfId="1936"/>
    <cellStyle name="Normal 2 25 12 2" xfId="1937"/>
    <cellStyle name="Normal 2 25 12 2 2" xfId="1938"/>
    <cellStyle name="Normal 2 25 12 3" xfId="1939"/>
    <cellStyle name="Normal 2 25 13" xfId="1940"/>
    <cellStyle name="Normal 2 25 13 2" xfId="1941"/>
    <cellStyle name="Normal 2 25 13 2 2" xfId="1942"/>
    <cellStyle name="Normal 2 25 13 3" xfId="1943"/>
    <cellStyle name="Normal 2 25 14" xfId="1944"/>
    <cellStyle name="Normal 2 25 14 2" xfId="1945"/>
    <cellStyle name="Normal 2 25 14 2 2" xfId="1946"/>
    <cellStyle name="Normal 2 25 14 3" xfId="1947"/>
    <cellStyle name="Normal 2 25 15" xfId="1948"/>
    <cellStyle name="Normal 2 25 15 2" xfId="1949"/>
    <cellStyle name="Normal 2 25 15 2 2" xfId="1950"/>
    <cellStyle name="Normal 2 25 15 3" xfId="1951"/>
    <cellStyle name="Normal 2 25 16" xfId="1952"/>
    <cellStyle name="Normal 2 25 16 2" xfId="1953"/>
    <cellStyle name="Normal 2 25 16 2 2" xfId="1954"/>
    <cellStyle name="Normal 2 25 16 3" xfId="1955"/>
    <cellStyle name="Normal 2 25 17" xfId="1956"/>
    <cellStyle name="Normal 2 25 17 2" xfId="1957"/>
    <cellStyle name="Normal 2 25 17 2 2" xfId="1958"/>
    <cellStyle name="Normal 2 25 17 3" xfId="1959"/>
    <cellStyle name="Normal 2 25 18" xfId="1960"/>
    <cellStyle name="Normal 2 25 18 2" xfId="1961"/>
    <cellStyle name="Normal 2 25 18 2 2" xfId="1962"/>
    <cellStyle name="Normal 2 25 18 3" xfId="1963"/>
    <cellStyle name="Normal 2 25 19" xfId="1964"/>
    <cellStyle name="Normal 2 25 19 2" xfId="1965"/>
    <cellStyle name="Normal 2 25 19 2 2" xfId="1966"/>
    <cellStyle name="Normal 2 25 19 3" xfId="1967"/>
    <cellStyle name="Normal 2 25 2" xfId="1968"/>
    <cellStyle name="Normal 2 25 2 2" xfId="1969"/>
    <cellStyle name="Normal 2 25 2 2 2" xfId="1970"/>
    <cellStyle name="Normal 2 25 2 3" xfId="1971"/>
    <cellStyle name="Normal 2 25 20" xfId="1972"/>
    <cellStyle name="Normal 2 25 20 2" xfId="1973"/>
    <cellStyle name="Normal 2 25 20 2 2" xfId="1974"/>
    <cellStyle name="Normal 2 25 20 3" xfId="1975"/>
    <cellStyle name="Normal 2 25 21" xfId="1976"/>
    <cellStyle name="Normal 2 25 21 2" xfId="1977"/>
    <cellStyle name="Normal 2 25 21 2 2" xfId="1978"/>
    <cellStyle name="Normal 2 25 21 3" xfId="1979"/>
    <cellStyle name="Normal 2 25 22" xfId="1980"/>
    <cellStyle name="Normal 2 25 22 2" xfId="1981"/>
    <cellStyle name="Normal 2 25 22 2 2" xfId="1982"/>
    <cellStyle name="Normal 2 25 22 3" xfId="1983"/>
    <cellStyle name="Normal 2 25 23" xfId="1984"/>
    <cellStyle name="Normal 2 25 23 2" xfId="1985"/>
    <cellStyle name="Normal 2 25 23 2 2" xfId="1986"/>
    <cellStyle name="Normal 2 25 23 3" xfId="1987"/>
    <cellStyle name="Normal 2 25 24" xfId="1988"/>
    <cellStyle name="Normal 2 25 24 2" xfId="1989"/>
    <cellStyle name="Normal 2 25 25" xfId="1990"/>
    <cellStyle name="Normal 2 25 3" xfId="1991"/>
    <cellStyle name="Normal 2 25 3 2" xfId="1992"/>
    <cellStyle name="Normal 2 25 3 2 2" xfId="1993"/>
    <cellStyle name="Normal 2 25 3 3" xfId="1994"/>
    <cellStyle name="Normal 2 25 4" xfId="1995"/>
    <cellStyle name="Normal 2 25 4 2" xfId="1996"/>
    <cellStyle name="Normal 2 25 4 2 2" xfId="1997"/>
    <cellStyle name="Normal 2 25 4 3" xfId="1998"/>
    <cellStyle name="Normal 2 25 5" xfId="1999"/>
    <cellStyle name="Normal 2 25 5 2" xfId="2000"/>
    <cellStyle name="Normal 2 25 5 2 2" xfId="2001"/>
    <cellStyle name="Normal 2 25 5 3" xfId="2002"/>
    <cellStyle name="Normal 2 25 6" xfId="2003"/>
    <cellStyle name="Normal 2 25 6 2" xfId="2004"/>
    <cellStyle name="Normal 2 25 6 2 2" xfId="2005"/>
    <cellStyle name="Normal 2 25 6 3" xfId="2006"/>
    <cellStyle name="Normal 2 25 7" xfId="2007"/>
    <cellStyle name="Normal 2 25 7 2" xfId="2008"/>
    <cellStyle name="Normal 2 25 7 2 2" xfId="2009"/>
    <cellStyle name="Normal 2 25 7 3" xfId="2010"/>
    <cellStyle name="Normal 2 25 8" xfId="2011"/>
    <cellStyle name="Normal 2 25 8 2" xfId="2012"/>
    <cellStyle name="Normal 2 25 8 2 2" xfId="2013"/>
    <cellStyle name="Normal 2 25 8 3" xfId="2014"/>
    <cellStyle name="Normal 2 25 9" xfId="2015"/>
    <cellStyle name="Normal 2 25 9 2" xfId="2016"/>
    <cellStyle name="Normal 2 25 9 2 2" xfId="2017"/>
    <cellStyle name="Normal 2 25 9 3" xfId="2018"/>
    <cellStyle name="Normal 2 26" xfId="2019"/>
    <cellStyle name="Normal 2 26 10" xfId="2020"/>
    <cellStyle name="Normal 2 26 10 2" xfId="2021"/>
    <cellStyle name="Normal 2 26 10 2 2" xfId="2022"/>
    <cellStyle name="Normal 2 26 10 3" xfId="2023"/>
    <cellStyle name="Normal 2 26 11" xfId="2024"/>
    <cellStyle name="Normal 2 26 11 2" xfId="2025"/>
    <cellStyle name="Normal 2 26 11 2 2" xfId="2026"/>
    <cellStyle name="Normal 2 26 11 3" xfId="2027"/>
    <cellStyle name="Normal 2 26 12" xfId="2028"/>
    <cellStyle name="Normal 2 26 12 2" xfId="2029"/>
    <cellStyle name="Normal 2 26 12 2 2" xfId="2030"/>
    <cellStyle name="Normal 2 26 12 3" xfId="2031"/>
    <cellStyle name="Normal 2 26 13" xfId="2032"/>
    <cellStyle name="Normal 2 26 13 2" xfId="2033"/>
    <cellStyle name="Normal 2 26 13 2 2" xfId="2034"/>
    <cellStyle name="Normal 2 26 13 3" xfId="2035"/>
    <cellStyle name="Normal 2 26 14" xfId="2036"/>
    <cellStyle name="Normal 2 26 14 2" xfId="2037"/>
    <cellStyle name="Normal 2 26 14 2 2" xfId="2038"/>
    <cellStyle name="Normal 2 26 14 3" xfId="2039"/>
    <cellStyle name="Normal 2 26 15" xfId="2040"/>
    <cellStyle name="Normal 2 26 15 2" xfId="2041"/>
    <cellStyle name="Normal 2 26 15 2 2" xfId="2042"/>
    <cellStyle name="Normal 2 26 15 3" xfId="2043"/>
    <cellStyle name="Normal 2 26 16" xfId="2044"/>
    <cellStyle name="Normal 2 26 16 2" xfId="2045"/>
    <cellStyle name="Normal 2 26 16 2 2" xfId="2046"/>
    <cellStyle name="Normal 2 26 16 3" xfId="2047"/>
    <cellStyle name="Normal 2 26 17" xfId="2048"/>
    <cellStyle name="Normal 2 26 17 2" xfId="2049"/>
    <cellStyle name="Normal 2 26 17 2 2" xfId="2050"/>
    <cellStyle name="Normal 2 26 17 3" xfId="2051"/>
    <cellStyle name="Normal 2 26 18" xfId="2052"/>
    <cellStyle name="Normal 2 26 18 2" xfId="2053"/>
    <cellStyle name="Normal 2 26 18 2 2" xfId="2054"/>
    <cellStyle name="Normal 2 26 18 3" xfId="2055"/>
    <cellStyle name="Normal 2 26 19" xfId="2056"/>
    <cellStyle name="Normal 2 26 19 2" xfId="2057"/>
    <cellStyle name="Normal 2 26 19 2 2" xfId="2058"/>
    <cellStyle name="Normal 2 26 19 3" xfId="2059"/>
    <cellStyle name="Normal 2 26 2" xfId="2060"/>
    <cellStyle name="Normal 2 26 2 2" xfId="2061"/>
    <cellStyle name="Normal 2 26 2 2 2" xfId="2062"/>
    <cellStyle name="Normal 2 26 2 3" xfId="2063"/>
    <cellStyle name="Normal 2 26 20" xfId="2064"/>
    <cellStyle name="Normal 2 26 20 2" xfId="2065"/>
    <cellStyle name="Normal 2 26 20 2 2" xfId="2066"/>
    <cellStyle name="Normal 2 26 20 3" xfId="2067"/>
    <cellStyle name="Normal 2 26 21" xfId="2068"/>
    <cellStyle name="Normal 2 26 21 2" xfId="2069"/>
    <cellStyle name="Normal 2 26 21 2 2" xfId="2070"/>
    <cellStyle name="Normal 2 26 21 3" xfId="2071"/>
    <cellStyle name="Normal 2 26 22" xfId="2072"/>
    <cellStyle name="Normal 2 26 22 2" xfId="2073"/>
    <cellStyle name="Normal 2 26 22 2 2" xfId="2074"/>
    <cellStyle name="Normal 2 26 22 3" xfId="2075"/>
    <cellStyle name="Normal 2 26 23" xfId="2076"/>
    <cellStyle name="Normal 2 26 23 2" xfId="2077"/>
    <cellStyle name="Normal 2 26 23 2 2" xfId="2078"/>
    <cellStyle name="Normal 2 26 23 3" xfId="2079"/>
    <cellStyle name="Normal 2 26 24" xfId="2080"/>
    <cellStyle name="Normal 2 26 24 2" xfId="2081"/>
    <cellStyle name="Normal 2 26 25" xfId="2082"/>
    <cellStyle name="Normal 2 26 3" xfId="2083"/>
    <cellStyle name="Normal 2 26 3 2" xfId="2084"/>
    <cellStyle name="Normal 2 26 3 2 2" xfId="2085"/>
    <cellStyle name="Normal 2 26 3 3" xfId="2086"/>
    <cellStyle name="Normal 2 26 4" xfId="2087"/>
    <cellStyle name="Normal 2 26 4 2" xfId="2088"/>
    <cellStyle name="Normal 2 26 4 2 2" xfId="2089"/>
    <cellStyle name="Normal 2 26 4 3" xfId="2090"/>
    <cellStyle name="Normal 2 26 5" xfId="2091"/>
    <cellStyle name="Normal 2 26 5 2" xfId="2092"/>
    <cellStyle name="Normal 2 26 5 2 2" xfId="2093"/>
    <cellStyle name="Normal 2 26 5 3" xfId="2094"/>
    <cellStyle name="Normal 2 26 6" xfId="2095"/>
    <cellStyle name="Normal 2 26 6 2" xfId="2096"/>
    <cellStyle name="Normal 2 26 6 2 2" xfId="2097"/>
    <cellStyle name="Normal 2 26 6 3" xfId="2098"/>
    <cellStyle name="Normal 2 26 7" xfId="2099"/>
    <cellStyle name="Normal 2 26 7 2" xfId="2100"/>
    <cellStyle name="Normal 2 26 7 2 2" xfId="2101"/>
    <cellStyle name="Normal 2 26 7 3" xfId="2102"/>
    <cellStyle name="Normal 2 26 8" xfId="2103"/>
    <cellStyle name="Normal 2 26 8 2" xfId="2104"/>
    <cellStyle name="Normal 2 26 8 2 2" xfId="2105"/>
    <cellStyle name="Normal 2 26 8 3" xfId="2106"/>
    <cellStyle name="Normal 2 26 9" xfId="2107"/>
    <cellStyle name="Normal 2 26 9 2" xfId="2108"/>
    <cellStyle name="Normal 2 26 9 2 2" xfId="2109"/>
    <cellStyle name="Normal 2 26 9 3" xfId="2110"/>
    <cellStyle name="Normal 2 27" xfId="2111"/>
    <cellStyle name="Normal 2 27 10" xfId="2112"/>
    <cellStyle name="Normal 2 27 10 2" xfId="2113"/>
    <cellStyle name="Normal 2 27 10 2 2" xfId="2114"/>
    <cellStyle name="Normal 2 27 10 3" xfId="2115"/>
    <cellStyle name="Normal 2 27 11" xfId="2116"/>
    <cellStyle name="Normal 2 27 11 2" xfId="2117"/>
    <cellStyle name="Normal 2 27 11 2 2" xfId="2118"/>
    <cellStyle name="Normal 2 27 11 3" xfId="2119"/>
    <cellStyle name="Normal 2 27 12" xfId="2120"/>
    <cellStyle name="Normal 2 27 12 2" xfId="2121"/>
    <cellStyle name="Normal 2 27 12 2 2" xfId="2122"/>
    <cellStyle name="Normal 2 27 12 3" xfId="2123"/>
    <cellStyle name="Normal 2 27 13" xfId="2124"/>
    <cellStyle name="Normal 2 27 13 2" xfId="2125"/>
    <cellStyle name="Normal 2 27 13 2 2" xfId="2126"/>
    <cellStyle name="Normal 2 27 13 3" xfId="2127"/>
    <cellStyle name="Normal 2 27 14" xfId="2128"/>
    <cellStyle name="Normal 2 27 14 2" xfId="2129"/>
    <cellStyle name="Normal 2 27 14 2 2" xfId="2130"/>
    <cellStyle name="Normal 2 27 14 3" xfId="2131"/>
    <cellStyle name="Normal 2 27 15" xfId="2132"/>
    <cellStyle name="Normal 2 27 15 2" xfId="2133"/>
    <cellStyle name="Normal 2 27 15 2 2" xfId="2134"/>
    <cellStyle name="Normal 2 27 15 3" xfId="2135"/>
    <cellStyle name="Normal 2 27 16" xfId="2136"/>
    <cellStyle name="Normal 2 27 16 2" xfId="2137"/>
    <cellStyle name="Normal 2 27 16 2 2" xfId="2138"/>
    <cellStyle name="Normal 2 27 16 3" xfId="2139"/>
    <cellStyle name="Normal 2 27 17" xfId="2140"/>
    <cellStyle name="Normal 2 27 17 2" xfId="2141"/>
    <cellStyle name="Normal 2 27 17 2 2" xfId="2142"/>
    <cellStyle name="Normal 2 27 17 3" xfId="2143"/>
    <cellStyle name="Normal 2 27 18" xfId="2144"/>
    <cellStyle name="Normal 2 27 18 2" xfId="2145"/>
    <cellStyle name="Normal 2 27 18 2 2" xfId="2146"/>
    <cellStyle name="Normal 2 27 18 3" xfId="2147"/>
    <cellStyle name="Normal 2 27 19" xfId="2148"/>
    <cellStyle name="Normal 2 27 19 2" xfId="2149"/>
    <cellStyle name="Normal 2 27 19 2 2" xfId="2150"/>
    <cellStyle name="Normal 2 27 19 3" xfId="2151"/>
    <cellStyle name="Normal 2 27 2" xfId="2152"/>
    <cellStyle name="Normal 2 27 2 2" xfId="2153"/>
    <cellStyle name="Normal 2 27 2 2 2" xfId="2154"/>
    <cellStyle name="Normal 2 27 2 3" xfId="2155"/>
    <cellStyle name="Normal 2 27 20" xfId="2156"/>
    <cellStyle name="Normal 2 27 20 2" xfId="2157"/>
    <cellStyle name="Normal 2 27 20 2 2" xfId="2158"/>
    <cellStyle name="Normal 2 27 20 3" xfId="2159"/>
    <cellStyle name="Normal 2 27 21" xfId="2160"/>
    <cellStyle name="Normal 2 27 21 2" xfId="2161"/>
    <cellStyle name="Normal 2 27 21 2 2" xfId="2162"/>
    <cellStyle name="Normal 2 27 21 3" xfId="2163"/>
    <cellStyle name="Normal 2 27 22" xfId="2164"/>
    <cellStyle name="Normal 2 27 22 2" xfId="2165"/>
    <cellStyle name="Normal 2 27 22 2 2" xfId="2166"/>
    <cellStyle name="Normal 2 27 22 3" xfId="2167"/>
    <cellStyle name="Normal 2 27 23" xfId="2168"/>
    <cellStyle name="Normal 2 27 23 2" xfId="2169"/>
    <cellStyle name="Normal 2 27 23 2 2" xfId="2170"/>
    <cellStyle name="Normal 2 27 23 3" xfId="2171"/>
    <cellStyle name="Normal 2 27 24" xfId="2172"/>
    <cellStyle name="Normal 2 27 24 2" xfId="2173"/>
    <cellStyle name="Normal 2 27 25" xfId="2174"/>
    <cellStyle name="Normal 2 27 3" xfId="2175"/>
    <cellStyle name="Normal 2 27 3 2" xfId="2176"/>
    <cellStyle name="Normal 2 27 3 2 2" xfId="2177"/>
    <cellStyle name="Normal 2 27 3 3" xfId="2178"/>
    <cellStyle name="Normal 2 27 4" xfId="2179"/>
    <cellStyle name="Normal 2 27 4 2" xfId="2180"/>
    <cellStyle name="Normal 2 27 4 2 2" xfId="2181"/>
    <cellStyle name="Normal 2 27 4 3" xfId="2182"/>
    <cellStyle name="Normal 2 27 5" xfId="2183"/>
    <cellStyle name="Normal 2 27 5 2" xfId="2184"/>
    <cellStyle name="Normal 2 27 5 2 2" xfId="2185"/>
    <cellStyle name="Normal 2 27 5 3" xfId="2186"/>
    <cellStyle name="Normal 2 27 6" xfId="2187"/>
    <cellStyle name="Normal 2 27 6 2" xfId="2188"/>
    <cellStyle name="Normal 2 27 6 2 2" xfId="2189"/>
    <cellStyle name="Normal 2 27 6 3" xfId="2190"/>
    <cellStyle name="Normal 2 27 7" xfId="2191"/>
    <cellStyle name="Normal 2 27 7 2" xfId="2192"/>
    <cellStyle name="Normal 2 27 7 2 2" xfId="2193"/>
    <cellStyle name="Normal 2 27 7 3" xfId="2194"/>
    <cellStyle name="Normal 2 27 8" xfId="2195"/>
    <cellStyle name="Normal 2 27 8 2" xfId="2196"/>
    <cellStyle name="Normal 2 27 8 2 2" xfId="2197"/>
    <cellStyle name="Normal 2 27 8 3" xfId="2198"/>
    <cellStyle name="Normal 2 27 9" xfId="2199"/>
    <cellStyle name="Normal 2 27 9 2" xfId="2200"/>
    <cellStyle name="Normal 2 27 9 2 2" xfId="2201"/>
    <cellStyle name="Normal 2 27 9 3" xfId="2202"/>
    <cellStyle name="Normal 2 28" xfId="2203"/>
    <cellStyle name="Normal 2 28 10" xfId="2204"/>
    <cellStyle name="Normal 2 28 10 2" xfId="2205"/>
    <cellStyle name="Normal 2 28 10 2 2" xfId="2206"/>
    <cellStyle name="Normal 2 28 10 3" xfId="2207"/>
    <cellStyle name="Normal 2 28 11" xfId="2208"/>
    <cellStyle name="Normal 2 28 11 2" xfId="2209"/>
    <cellStyle name="Normal 2 28 11 2 2" xfId="2210"/>
    <cellStyle name="Normal 2 28 11 3" xfId="2211"/>
    <cellStyle name="Normal 2 28 12" xfId="2212"/>
    <cellStyle name="Normal 2 28 12 2" xfId="2213"/>
    <cellStyle name="Normal 2 28 12 2 2" xfId="2214"/>
    <cellStyle name="Normal 2 28 12 3" xfId="2215"/>
    <cellStyle name="Normal 2 28 13" xfId="2216"/>
    <cellStyle name="Normal 2 28 13 2" xfId="2217"/>
    <cellStyle name="Normal 2 28 13 2 2" xfId="2218"/>
    <cellStyle name="Normal 2 28 13 3" xfId="2219"/>
    <cellStyle name="Normal 2 28 14" xfId="2220"/>
    <cellStyle name="Normal 2 28 14 2" xfId="2221"/>
    <cellStyle name="Normal 2 28 14 2 2" xfId="2222"/>
    <cellStyle name="Normal 2 28 14 3" xfId="2223"/>
    <cellStyle name="Normal 2 28 15" xfId="2224"/>
    <cellStyle name="Normal 2 28 15 2" xfId="2225"/>
    <cellStyle name="Normal 2 28 15 2 2" xfId="2226"/>
    <cellStyle name="Normal 2 28 15 3" xfId="2227"/>
    <cellStyle name="Normal 2 28 16" xfId="2228"/>
    <cellStyle name="Normal 2 28 16 2" xfId="2229"/>
    <cellStyle name="Normal 2 28 16 2 2" xfId="2230"/>
    <cellStyle name="Normal 2 28 16 3" xfId="2231"/>
    <cellStyle name="Normal 2 28 17" xfId="2232"/>
    <cellStyle name="Normal 2 28 17 2" xfId="2233"/>
    <cellStyle name="Normal 2 28 17 2 2" xfId="2234"/>
    <cellStyle name="Normal 2 28 17 3" xfId="2235"/>
    <cellStyle name="Normal 2 28 18" xfId="2236"/>
    <cellStyle name="Normal 2 28 18 2" xfId="2237"/>
    <cellStyle name="Normal 2 28 18 2 2" xfId="2238"/>
    <cellStyle name="Normal 2 28 18 3" xfId="2239"/>
    <cellStyle name="Normal 2 28 19" xfId="2240"/>
    <cellStyle name="Normal 2 28 19 2" xfId="2241"/>
    <cellStyle name="Normal 2 28 19 2 2" xfId="2242"/>
    <cellStyle name="Normal 2 28 19 3" xfId="2243"/>
    <cellStyle name="Normal 2 28 2" xfId="2244"/>
    <cellStyle name="Normal 2 28 2 2" xfId="2245"/>
    <cellStyle name="Normal 2 28 2 2 2" xfId="2246"/>
    <cellStyle name="Normal 2 28 2 3" xfId="2247"/>
    <cellStyle name="Normal 2 28 20" xfId="2248"/>
    <cellStyle name="Normal 2 28 20 2" xfId="2249"/>
    <cellStyle name="Normal 2 28 20 2 2" xfId="2250"/>
    <cellStyle name="Normal 2 28 20 3" xfId="2251"/>
    <cellStyle name="Normal 2 28 21" xfId="2252"/>
    <cellStyle name="Normal 2 28 21 2" xfId="2253"/>
    <cellStyle name="Normal 2 28 21 2 2" xfId="2254"/>
    <cellStyle name="Normal 2 28 21 3" xfId="2255"/>
    <cellStyle name="Normal 2 28 22" xfId="2256"/>
    <cellStyle name="Normal 2 28 22 2" xfId="2257"/>
    <cellStyle name="Normal 2 28 22 2 2" xfId="2258"/>
    <cellStyle name="Normal 2 28 22 3" xfId="2259"/>
    <cellStyle name="Normal 2 28 23" xfId="2260"/>
    <cellStyle name="Normal 2 28 23 2" xfId="2261"/>
    <cellStyle name="Normal 2 28 23 2 2" xfId="2262"/>
    <cellStyle name="Normal 2 28 23 3" xfId="2263"/>
    <cellStyle name="Normal 2 28 24" xfId="2264"/>
    <cellStyle name="Normal 2 28 24 2" xfId="2265"/>
    <cellStyle name="Normal 2 28 25" xfId="2266"/>
    <cellStyle name="Normal 2 28 3" xfId="2267"/>
    <cellStyle name="Normal 2 28 3 2" xfId="2268"/>
    <cellStyle name="Normal 2 28 3 2 2" xfId="2269"/>
    <cellStyle name="Normal 2 28 3 3" xfId="2270"/>
    <cellStyle name="Normal 2 28 4" xfId="2271"/>
    <cellStyle name="Normal 2 28 4 2" xfId="2272"/>
    <cellStyle name="Normal 2 28 4 2 2" xfId="2273"/>
    <cellStyle name="Normal 2 28 4 3" xfId="2274"/>
    <cellStyle name="Normal 2 28 5" xfId="2275"/>
    <cellStyle name="Normal 2 28 5 2" xfId="2276"/>
    <cellStyle name="Normal 2 28 5 2 2" xfId="2277"/>
    <cellStyle name="Normal 2 28 5 3" xfId="2278"/>
    <cellStyle name="Normal 2 28 6" xfId="2279"/>
    <cellStyle name="Normal 2 28 6 2" xfId="2280"/>
    <cellStyle name="Normal 2 28 6 2 2" xfId="2281"/>
    <cellStyle name="Normal 2 28 6 3" xfId="2282"/>
    <cellStyle name="Normal 2 28 7" xfId="2283"/>
    <cellStyle name="Normal 2 28 7 2" xfId="2284"/>
    <cellStyle name="Normal 2 28 7 2 2" xfId="2285"/>
    <cellStyle name="Normal 2 28 7 3" xfId="2286"/>
    <cellStyle name="Normal 2 28 8" xfId="2287"/>
    <cellStyle name="Normal 2 28 8 2" xfId="2288"/>
    <cellStyle name="Normal 2 28 8 2 2" xfId="2289"/>
    <cellStyle name="Normal 2 28 8 3" xfId="2290"/>
    <cellStyle name="Normal 2 28 9" xfId="2291"/>
    <cellStyle name="Normal 2 28 9 2" xfId="2292"/>
    <cellStyle name="Normal 2 28 9 2 2" xfId="2293"/>
    <cellStyle name="Normal 2 28 9 3" xfId="2294"/>
    <cellStyle name="Normal 2 29" xfId="2295"/>
    <cellStyle name="Normal 2 29 10" xfId="2296"/>
    <cellStyle name="Normal 2 29 10 2" xfId="2297"/>
    <cellStyle name="Normal 2 29 10 2 2" xfId="2298"/>
    <cellStyle name="Normal 2 29 10 3" xfId="2299"/>
    <cellStyle name="Normal 2 29 11" xfId="2300"/>
    <cellStyle name="Normal 2 29 11 2" xfId="2301"/>
    <cellStyle name="Normal 2 29 11 2 2" xfId="2302"/>
    <cellStyle name="Normal 2 29 11 3" xfId="2303"/>
    <cellStyle name="Normal 2 29 12" xfId="2304"/>
    <cellStyle name="Normal 2 29 12 2" xfId="2305"/>
    <cellStyle name="Normal 2 29 12 2 2" xfId="2306"/>
    <cellStyle name="Normal 2 29 12 3" xfId="2307"/>
    <cellStyle name="Normal 2 29 13" xfId="2308"/>
    <cellStyle name="Normal 2 29 13 2" xfId="2309"/>
    <cellStyle name="Normal 2 29 13 2 2" xfId="2310"/>
    <cellStyle name="Normal 2 29 13 3" xfId="2311"/>
    <cellStyle name="Normal 2 29 14" xfId="2312"/>
    <cellStyle name="Normal 2 29 14 2" xfId="2313"/>
    <cellStyle name="Normal 2 29 14 2 2" xfId="2314"/>
    <cellStyle name="Normal 2 29 14 3" xfId="2315"/>
    <cellStyle name="Normal 2 29 15" xfId="2316"/>
    <cellStyle name="Normal 2 29 15 2" xfId="2317"/>
    <cellStyle name="Normal 2 29 15 2 2" xfId="2318"/>
    <cellStyle name="Normal 2 29 15 3" xfId="2319"/>
    <cellStyle name="Normal 2 29 16" xfId="2320"/>
    <cellStyle name="Normal 2 29 16 2" xfId="2321"/>
    <cellStyle name="Normal 2 29 16 2 2" xfId="2322"/>
    <cellStyle name="Normal 2 29 16 3" xfId="2323"/>
    <cellStyle name="Normal 2 29 17" xfId="2324"/>
    <cellStyle name="Normal 2 29 17 2" xfId="2325"/>
    <cellStyle name="Normal 2 29 17 2 2" xfId="2326"/>
    <cellStyle name="Normal 2 29 17 3" xfId="2327"/>
    <cellStyle name="Normal 2 29 18" xfId="2328"/>
    <cellStyle name="Normal 2 29 18 2" xfId="2329"/>
    <cellStyle name="Normal 2 29 18 2 2" xfId="2330"/>
    <cellStyle name="Normal 2 29 18 3" xfId="2331"/>
    <cellStyle name="Normal 2 29 19" xfId="2332"/>
    <cellStyle name="Normal 2 29 19 2" xfId="2333"/>
    <cellStyle name="Normal 2 29 19 2 2" xfId="2334"/>
    <cellStyle name="Normal 2 29 19 3" xfId="2335"/>
    <cellStyle name="Normal 2 29 2" xfId="2336"/>
    <cellStyle name="Normal 2 29 2 2" xfId="2337"/>
    <cellStyle name="Normal 2 29 2 2 2" xfId="2338"/>
    <cellStyle name="Normal 2 29 2 3" xfId="2339"/>
    <cellStyle name="Normal 2 29 20" xfId="2340"/>
    <cellStyle name="Normal 2 29 20 2" xfId="2341"/>
    <cellStyle name="Normal 2 29 20 2 2" xfId="2342"/>
    <cellStyle name="Normal 2 29 20 3" xfId="2343"/>
    <cellStyle name="Normal 2 29 21" xfId="2344"/>
    <cellStyle name="Normal 2 29 21 2" xfId="2345"/>
    <cellStyle name="Normal 2 29 21 2 2" xfId="2346"/>
    <cellStyle name="Normal 2 29 21 3" xfId="2347"/>
    <cellStyle name="Normal 2 29 22" xfId="2348"/>
    <cellStyle name="Normal 2 29 22 2" xfId="2349"/>
    <cellStyle name="Normal 2 29 22 2 2" xfId="2350"/>
    <cellStyle name="Normal 2 29 22 3" xfId="2351"/>
    <cellStyle name="Normal 2 29 23" xfId="2352"/>
    <cellStyle name="Normal 2 29 23 2" xfId="2353"/>
    <cellStyle name="Normal 2 29 23 2 2" xfId="2354"/>
    <cellStyle name="Normal 2 29 23 3" xfId="2355"/>
    <cellStyle name="Normal 2 29 24" xfId="2356"/>
    <cellStyle name="Normal 2 29 24 2" xfId="2357"/>
    <cellStyle name="Normal 2 29 25" xfId="2358"/>
    <cellStyle name="Normal 2 29 3" xfId="2359"/>
    <cellStyle name="Normal 2 29 3 2" xfId="2360"/>
    <cellStyle name="Normal 2 29 3 2 2" xfId="2361"/>
    <cellStyle name="Normal 2 29 3 3" xfId="2362"/>
    <cellStyle name="Normal 2 29 4" xfId="2363"/>
    <cellStyle name="Normal 2 29 4 2" xfId="2364"/>
    <cellStyle name="Normal 2 29 4 2 2" xfId="2365"/>
    <cellStyle name="Normal 2 29 4 3" xfId="2366"/>
    <cellStyle name="Normal 2 29 5" xfId="2367"/>
    <cellStyle name="Normal 2 29 5 2" xfId="2368"/>
    <cellStyle name="Normal 2 29 5 2 2" xfId="2369"/>
    <cellStyle name="Normal 2 29 5 3" xfId="2370"/>
    <cellStyle name="Normal 2 29 6" xfId="2371"/>
    <cellStyle name="Normal 2 29 6 2" xfId="2372"/>
    <cellStyle name="Normal 2 29 6 2 2" xfId="2373"/>
    <cellStyle name="Normal 2 29 6 3" xfId="2374"/>
    <cellStyle name="Normal 2 29 7" xfId="2375"/>
    <cellStyle name="Normal 2 29 7 2" xfId="2376"/>
    <cellStyle name="Normal 2 29 7 2 2" xfId="2377"/>
    <cellStyle name="Normal 2 29 7 3" xfId="2378"/>
    <cellStyle name="Normal 2 29 8" xfId="2379"/>
    <cellStyle name="Normal 2 29 8 2" xfId="2380"/>
    <cellStyle name="Normal 2 29 8 2 2" xfId="2381"/>
    <cellStyle name="Normal 2 29 8 3" xfId="2382"/>
    <cellStyle name="Normal 2 29 9" xfId="2383"/>
    <cellStyle name="Normal 2 29 9 2" xfId="2384"/>
    <cellStyle name="Normal 2 29 9 2 2" xfId="2385"/>
    <cellStyle name="Normal 2 29 9 3" xfId="2386"/>
    <cellStyle name="Normal 2 3" xfId="227"/>
    <cellStyle name="Normal 2 3 2" xfId="228"/>
    <cellStyle name="Normal 2 3 2 2" xfId="229"/>
    <cellStyle name="Normal 2 3 2 2 2" xfId="230"/>
    <cellStyle name="Normal 2 3 2 3" xfId="8149"/>
    <cellStyle name="Normal 2 3 3" xfId="231"/>
    <cellStyle name="Normal 2 3 3 2" xfId="232"/>
    <cellStyle name="Normal 2 3 4" xfId="2387"/>
    <cellStyle name="Normal 2 3 4 2" xfId="2388"/>
    <cellStyle name="Normal 2 3 5" xfId="2389"/>
    <cellStyle name="Normal 2 30" xfId="2390"/>
    <cellStyle name="Normal 2 30 10" xfId="2391"/>
    <cellStyle name="Normal 2 30 10 2" xfId="2392"/>
    <cellStyle name="Normal 2 30 10 2 2" xfId="2393"/>
    <cellStyle name="Normal 2 30 10 3" xfId="2394"/>
    <cellStyle name="Normal 2 30 11" xfId="2395"/>
    <cellStyle name="Normal 2 30 11 2" xfId="2396"/>
    <cellStyle name="Normal 2 30 11 2 2" xfId="2397"/>
    <cellStyle name="Normal 2 30 11 3" xfId="2398"/>
    <cellStyle name="Normal 2 30 12" xfId="2399"/>
    <cellStyle name="Normal 2 30 12 2" xfId="2400"/>
    <cellStyle name="Normal 2 30 12 2 2" xfId="2401"/>
    <cellStyle name="Normal 2 30 12 3" xfId="2402"/>
    <cellStyle name="Normal 2 30 13" xfId="2403"/>
    <cellStyle name="Normal 2 30 13 2" xfId="2404"/>
    <cellStyle name="Normal 2 30 13 2 2" xfId="2405"/>
    <cellStyle name="Normal 2 30 13 3" xfId="2406"/>
    <cellStyle name="Normal 2 30 14" xfId="2407"/>
    <cellStyle name="Normal 2 30 14 2" xfId="2408"/>
    <cellStyle name="Normal 2 30 14 2 2" xfId="2409"/>
    <cellStyle name="Normal 2 30 14 3" xfId="2410"/>
    <cellStyle name="Normal 2 30 15" xfId="2411"/>
    <cellStyle name="Normal 2 30 15 2" xfId="2412"/>
    <cellStyle name="Normal 2 30 15 2 2" xfId="2413"/>
    <cellStyle name="Normal 2 30 15 3" xfId="2414"/>
    <cellStyle name="Normal 2 30 16" xfId="2415"/>
    <cellStyle name="Normal 2 30 16 2" xfId="2416"/>
    <cellStyle name="Normal 2 30 16 2 2" xfId="2417"/>
    <cellStyle name="Normal 2 30 16 3" xfId="2418"/>
    <cellStyle name="Normal 2 30 17" xfId="2419"/>
    <cellStyle name="Normal 2 30 17 2" xfId="2420"/>
    <cellStyle name="Normal 2 30 17 2 2" xfId="2421"/>
    <cellStyle name="Normal 2 30 17 3" xfId="2422"/>
    <cellStyle name="Normal 2 30 18" xfId="2423"/>
    <cellStyle name="Normal 2 30 18 2" xfId="2424"/>
    <cellStyle name="Normal 2 30 18 2 2" xfId="2425"/>
    <cellStyle name="Normal 2 30 18 3" xfId="2426"/>
    <cellStyle name="Normal 2 30 19" xfId="2427"/>
    <cellStyle name="Normal 2 30 19 2" xfId="2428"/>
    <cellStyle name="Normal 2 30 19 2 2" xfId="2429"/>
    <cellStyle name="Normal 2 30 19 3" xfId="2430"/>
    <cellStyle name="Normal 2 30 2" xfId="2431"/>
    <cellStyle name="Normal 2 30 2 2" xfId="2432"/>
    <cellStyle name="Normal 2 30 2 2 2" xfId="2433"/>
    <cellStyle name="Normal 2 30 2 3" xfId="2434"/>
    <cellStyle name="Normal 2 30 20" xfId="2435"/>
    <cellStyle name="Normal 2 30 20 2" xfId="2436"/>
    <cellStyle name="Normal 2 30 20 2 2" xfId="2437"/>
    <cellStyle name="Normal 2 30 20 3" xfId="2438"/>
    <cellStyle name="Normal 2 30 21" xfId="2439"/>
    <cellStyle name="Normal 2 30 21 2" xfId="2440"/>
    <cellStyle name="Normal 2 30 21 2 2" xfId="2441"/>
    <cellStyle name="Normal 2 30 21 3" xfId="2442"/>
    <cellStyle name="Normal 2 30 22" xfId="2443"/>
    <cellStyle name="Normal 2 30 22 2" xfId="2444"/>
    <cellStyle name="Normal 2 30 22 2 2" xfId="2445"/>
    <cellStyle name="Normal 2 30 22 3" xfId="2446"/>
    <cellStyle name="Normal 2 30 23" xfId="2447"/>
    <cellStyle name="Normal 2 30 23 2" xfId="2448"/>
    <cellStyle name="Normal 2 30 23 2 2" xfId="2449"/>
    <cellStyle name="Normal 2 30 23 3" xfId="2450"/>
    <cellStyle name="Normal 2 30 24" xfId="2451"/>
    <cellStyle name="Normal 2 30 24 2" xfId="2452"/>
    <cellStyle name="Normal 2 30 25" xfId="2453"/>
    <cellStyle name="Normal 2 30 3" xfId="2454"/>
    <cellStyle name="Normal 2 30 3 2" xfId="2455"/>
    <cellStyle name="Normal 2 30 3 2 2" xfId="2456"/>
    <cellStyle name="Normal 2 30 3 3" xfId="2457"/>
    <cellStyle name="Normal 2 30 4" xfId="2458"/>
    <cellStyle name="Normal 2 30 4 2" xfId="2459"/>
    <cellStyle name="Normal 2 30 4 2 2" xfId="2460"/>
    <cellStyle name="Normal 2 30 4 3" xfId="2461"/>
    <cellStyle name="Normal 2 30 5" xfId="2462"/>
    <cellStyle name="Normal 2 30 5 2" xfId="2463"/>
    <cellStyle name="Normal 2 30 5 2 2" xfId="2464"/>
    <cellStyle name="Normal 2 30 5 3" xfId="2465"/>
    <cellStyle name="Normal 2 30 6" xfId="2466"/>
    <cellStyle name="Normal 2 30 6 2" xfId="2467"/>
    <cellStyle name="Normal 2 30 6 2 2" xfId="2468"/>
    <cellStyle name="Normal 2 30 6 3" xfId="2469"/>
    <cellStyle name="Normal 2 30 7" xfId="2470"/>
    <cellStyle name="Normal 2 30 7 2" xfId="2471"/>
    <cellStyle name="Normal 2 30 7 2 2" xfId="2472"/>
    <cellStyle name="Normal 2 30 7 3" xfId="2473"/>
    <cellStyle name="Normal 2 30 8" xfId="2474"/>
    <cellStyle name="Normal 2 30 8 2" xfId="2475"/>
    <cellStyle name="Normal 2 30 8 2 2" xfId="2476"/>
    <cellStyle name="Normal 2 30 8 3" xfId="2477"/>
    <cellStyle name="Normal 2 30 9" xfId="2478"/>
    <cellStyle name="Normal 2 30 9 2" xfId="2479"/>
    <cellStyle name="Normal 2 30 9 2 2" xfId="2480"/>
    <cellStyle name="Normal 2 30 9 3" xfId="2481"/>
    <cellStyle name="Normal 2 31" xfId="2482"/>
    <cellStyle name="Normal 2 31 10" xfId="2483"/>
    <cellStyle name="Normal 2 31 10 2" xfId="2484"/>
    <cellStyle name="Normal 2 31 10 2 2" xfId="2485"/>
    <cellStyle name="Normal 2 31 10 3" xfId="2486"/>
    <cellStyle name="Normal 2 31 11" xfId="2487"/>
    <cellStyle name="Normal 2 31 11 2" xfId="2488"/>
    <cellStyle name="Normal 2 31 11 2 2" xfId="2489"/>
    <cellStyle name="Normal 2 31 11 3" xfId="2490"/>
    <cellStyle name="Normal 2 31 12" xfId="2491"/>
    <cellStyle name="Normal 2 31 12 2" xfId="2492"/>
    <cellStyle name="Normal 2 31 12 2 2" xfId="2493"/>
    <cellStyle name="Normal 2 31 12 3" xfId="2494"/>
    <cellStyle name="Normal 2 31 13" xfId="2495"/>
    <cellStyle name="Normal 2 31 13 2" xfId="2496"/>
    <cellStyle name="Normal 2 31 13 2 2" xfId="2497"/>
    <cellStyle name="Normal 2 31 13 3" xfId="2498"/>
    <cellStyle name="Normal 2 31 14" xfId="2499"/>
    <cellStyle name="Normal 2 31 14 2" xfId="2500"/>
    <cellStyle name="Normal 2 31 14 2 2" xfId="2501"/>
    <cellStyle name="Normal 2 31 14 3" xfId="2502"/>
    <cellStyle name="Normal 2 31 15" xfId="2503"/>
    <cellStyle name="Normal 2 31 15 2" xfId="2504"/>
    <cellStyle name="Normal 2 31 15 2 2" xfId="2505"/>
    <cellStyle name="Normal 2 31 15 3" xfId="2506"/>
    <cellStyle name="Normal 2 31 16" xfId="2507"/>
    <cellStyle name="Normal 2 31 16 2" xfId="2508"/>
    <cellStyle name="Normal 2 31 16 2 2" xfId="2509"/>
    <cellStyle name="Normal 2 31 16 3" xfId="2510"/>
    <cellStyle name="Normal 2 31 17" xfId="2511"/>
    <cellStyle name="Normal 2 31 17 2" xfId="2512"/>
    <cellStyle name="Normal 2 31 17 2 2" xfId="2513"/>
    <cellStyle name="Normal 2 31 17 3" xfId="2514"/>
    <cellStyle name="Normal 2 31 18" xfId="2515"/>
    <cellStyle name="Normal 2 31 18 2" xfId="2516"/>
    <cellStyle name="Normal 2 31 18 2 2" xfId="2517"/>
    <cellStyle name="Normal 2 31 18 3" xfId="2518"/>
    <cellStyle name="Normal 2 31 19" xfId="2519"/>
    <cellStyle name="Normal 2 31 19 2" xfId="2520"/>
    <cellStyle name="Normal 2 31 19 2 2" xfId="2521"/>
    <cellStyle name="Normal 2 31 19 3" xfId="2522"/>
    <cellStyle name="Normal 2 31 2" xfId="2523"/>
    <cellStyle name="Normal 2 31 2 2" xfId="2524"/>
    <cellStyle name="Normal 2 31 2 2 2" xfId="2525"/>
    <cellStyle name="Normal 2 31 2 3" xfId="2526"/>
    <cellStyle name="Normal 2 31 20" xfId="2527"/>
    <cellStyle name="Normal 2 31 20 2" xfId="2528"/>
    <cellStyle name="Normal 2 31 20 2 2" xfId="2529"/>
    <cellStyle name="Normal 2 31 20 3" xfId="2530"/>
    <cellStyle name="Normal 2 31 21" xfId="2531"/>
    <cellStyle name="Normal 2 31 21 2" xfId="2532"/>
    <cellStyle name="Normal 2 31 21 2 2" xfId="2533"/>
    <cellStyle name="Normal 2 31 21 3" xfId="2534"/>
    <cellStyle name="Normal 2 31 22" xfId="2535"/>
    <cellStyle name="Normal 2 31 22 2" xfId="2536"/>
    <cellStyle name="Normal 2 31 22 2 2" xfId="2537"/>
    <cellStyle name="Normal 2 31 22 3" xfId="2538"/>
    <cellStyle name="Normal 2 31 23" xfId="2539"/>
    <cellStyle name="Normal 2 31 23 2" xfId="2540"/>
    <cellStyle name="Normal 2 31 23 2 2" xfId="2541"/>
    <cellStyle name="Normal 2 31 23 3" xfId="2542"/>
    <cellStyle name="Normal 2 31 24" xfId="2543"/>
    <cellStyle name="Normal 2 31 24 2" xfId="2544"/>
    <cellStyle name="Normal 2 31 25" xfId="2545"/>
    <cellStyle name="Normal 2 31 3" xfId="2546"/>
    <cellStyle name="Normal 2 31 3 2" xfId="2547"/>
    <cellStyle name="Normal 2 31 3 2 2" xfId="2548"/>
    <cellStyle name="Normal 2 31 3 3" xfId="2549"/>
    <cellStyle name="Normal 2 31 4" xfId="2550"/>
    <cellStyle name="Normal 2 31 4 2" xfId="2551"/>
    <cellStyle name="Normal 2 31 4 2 2" xfId="2552"/>
    <cellStyle name="Normal 2 31 4 3" xfId="2553"/>
    <cellStyle name="Normal 2 31 5" xfId="2554"/>
    <cellStyle name="Normal 2 31 5 2" xfId="2555"/>
    <cellStyle name="Normal 2 31 5 2 2" xfId="2556"/>
    <cellStyle name="Normal 2 31 5 3" xfId="2557"/>
    <cellStyle name="Normal 2 31 6" xfId="2558"/>
    <cellStyle name="Normal 2 31 6 2" xfId="2559"/>
    <cellStyle name="Normal 2 31 6 2 2" xfId="2560"/>
    <cellStyle name="Normal 2 31 6 3" xfId="2561"/>
    <cellStyle name="Normal 2 31 7" xfId="2562"/>
    <cellStyle name="Normal 2 31 7 2" xfId="2563"/>
    <cellStyle name="Normal 2 31 7 2 2" xfId="2564"/>
    <cellStyle name="Normal 2 31 7 3" xfId="2565"/>
    <cellStyle name="Normal 2 31 8" xfId="2566"/>
    <cellStyle name="Normal 2 31 8 2" xfId="2567"/>
    <cellStyle name="Normal 2 31 8 2 2" xfId="2568"/>
    <cellStyle name="Normal 2 31 8 3" xfId="2569"/>
    <cellStyle name="Normal 2 31 9" xfId="2570"/>
    <cellStyle name="Normal 2 31 9 2" xfId="2571"/>
    <cellStyle name="Normal 2 31 9 2 2" xfId="2572"/>
    <cellStyle name="Normal 2 31 9 3" xfId="2573"/>
    <cellStyle name="Normal 2 32" xfId="2574"/>
    <cellStyle name="Normal 2 32 10" xfId="2575"/>
    <cellStyle name="Normal 2 32 10 2" xfId="2576"/>
    <cellStyle name="Normal 2 32 10 2 2" xfId="2577"/>
    <cellStyle name="Normal 2 32 10 3" xfId="2578"/>
    <cellStyle name="Normal 2 32 11" xfId="2579"/>
    <cellStyle name="Normal 2 32 11 2" xfId="2580"/>
    <cellStyle name="Normal 2 32 11 2 2" xfId="2581"/>
    <cellStyle name="Normal 2 32 11 3" xfId="2582"/>
    <cellStyle name="Normal 2 32 12" xfId="2583"/>
    <cellStyle name="Normal 2 32 12 2" xfId="2584"/>
    <cellStyle name="Normal 2 32 12 2 2" xfId="2585"/>
    <cellStyle name="Normal 2 32 12 3" xfId="2586"/>
    <cellStyle name="Normal 2 32 13" xfId="2587"/>
    <cellStyle name="Normal 2 32 13 2" xfId="2588"/>
    <cellStyle name="Normal 2 32 13 2 2" xfId="2589"/>
    <cellStyle name="Normal 2 32 13 3" xfId="2590"/>
    <cellStyle name="Normal 2 32 14" xfId="2591"/>
    <cellStyle name="Normal 2 32 14 2" xfId="2592"/>
    <cellStyle name="Normal 2 32 14 2 2" xfId="2593"/>
    <cellStyle name="Normal 2 32 14 3" xfId="2594"/>
    <cellStyle name="Normal 2 32 15" xfId="2595"/>
    <cellStyle name="Normal 2 32 15 2" xfId="2596"/>
    <cellStyle name="Normal 2 32 15 2 2" xfId="2597"/>
    <cellStyle name="Normal 2 32 15 3" xfId="2598"/>
    <cellStyle name="Normal 2 32 16" xfId="2599"/>
    <cellStyle name="Normal 2 32 16 2" xfId="2600"/>
    <cellStyle name="Normal 2 32 16 2 2" xfId="2601"/>
    <cellStyle name="Normal 2 32 16 3" xfId="2602"/>
    <cellStyle name="Normal 2 32 17" xfId="2603"/>
    <cellStyle name="Normal 2 32 17 2" xfId="2604"/>
    <cellStyle name="Normal 2 32 17 2 2" xfId="2605"/>
    <cellStyle name="Normal 2 32 17 3" xfId="2606"/>
    <cellStyle name="Normal 2 32 18" xfId="2607"/>
    <cellStyle name="Normal 2 32 18 2" xfId="2608"/>
    <cellStyle name="Normal 2 32 18 2 2" xfId="2609"/>
    <cellStyle name="Normal 2 32 18 3" xfId="2610"/>
    <cellStyle name="Normal 2 32 19" xfId="2611"/>
    <cellStyle name="Normal 2 32 19 2" xfId="2612"/>
    <cellStyle name="Normal 2 32 19 2 2" xfId="2613"/>
    <cellStyle name="Normal 2 32 19 3" xfId="2614"/>
    <cellStyle name="Normal 2 32 2" xfId="2615"/>
    <cellStyle name="Normal 2 32 2 2" xfId="2616"/>
    <cellStyle name="Normal 2 32 2 2 2" xfId="2617"/>
    <cellStyle name="Normal 2 32 2 3" xfId="2618"/>
    <cellStyle name="Normal 2 32 20" xfId="2619"/>
    <cellStyle name="Normal 2 32 20 2" xfId="2620"/>
    <cellStyle name="Normal 2 32 20 2 2" xfId="2621"/>
    <cellStyle name="Normal 2 32 20 3" xfId="2622"/>
    <cellStyle name="Normal 2 32 21" xfId="2623"/>
    <cellStyle name="Normal 2 32 21 2" xfId="2624"/>
    <cellStyle name="Normal 2 32 21 2 2" xfId="2625"/>
    <cellStyle name="Normal 2 32 21 3" xfId="2626"/>
    <cellStyle name="Normal 2 32 22" xfId="2627"/>
    <cellStyle name="Normal 2 32 22 2" xfId="2628"/>
    <cellStyle name="Normal 2 32 22 2 2" xfId="2629"/>
    <cellStyle name="Normal 2 32 22 3" xfId="2630"/>
    <cellStyle name="Normal 2 32 23" xfId="2631"/>
    <cellStyle name="Normal 2 32 23 2" xfId="2632"/>
    <cellStyle name="Normal 2 32 23 2 2" xfId="2633"/>
    <cellStyle name="Normal 2 32 23 3" xfId="2634"/>
    <cellStyle name="Normal 2 32 24" xfId="2635"/>
    <cellStyle name="Normal 2 32 24 2" xfId="2636"/>
    <cellStyle name="Normal 2 32 25" xfId="2637"/>
    <cellStyle name="Normal 2 32 3" xfId="2638"/>
    <cellStyle name="Normal 2 32 3 2" xfId="2639"/>
    <cellStyle name="Normal 2 32 3 2 2" xfId="2640"/>
    <cellStyle name="Normal 2 32 3 3" xfId="2641"/>
    <cellStyle name="Normal 2 32 4" xfId="2642"/>
    <cellStyle name="Normal 2 32 4 2" xfId="2643"/>
    <cellStyle name="Normal 2 32 4 2 2" xfId="2644"/>
    <cellStyle name="Normal 2 32 4 3" xfId="2645"/>
    <cellStyle name="Normal 2 32 5" xfId="2646"/>
    <cellStyle name="Normal 2 32 5 2" xfId="2647"/>
    <cellStyle name="Normal 2 32 5 2 2" xfId="2648"/>
    <cellStyle name="Normal 2 32 5 3" xfId="2649"/>
    <cellStyle name="Normal 2 32 6" xfId="2650"/>
    <cellStyle name="Normal 2 32 6 2" xfId="2651"/>
    <cellStyle name="Normal 2 32 6 2 2" xfId="2652"/>
    <cellStyle name="Normal 2 32 6 3" xfId="2653"/>
    <cellStyle name="Normal 2 32 7" xfId="2654"/>
    <cellStyle name="Normal 2 32 7 2" xfId="2655"/>
    <cellStyle name="Normal 2 32 7 2 2" xfId="2656"/>
    <cellStyle name="Normal 2 32 7 3" xfId="2657"/>
    <cellStyle name="Normal 2 32 8" xfId="2658"/>
    <cellStyle name="Normal 2 32 8 2" xfId="2659"/>
    <cellStyle name="Normal 2 32 8 2 2" xfId="2660"/>
    <cellStyle name="Normal 2 32 8 3" xfId="2661"/>
    <cellStyle name="Normal 2 32 9" xfId="2662"/>
    <cellStyle name="Normal 2 32 9 2" xfId="2663"/>
    <cellStyle name="Normal 2 32 9 2 2" xfId="2664"/>
    <cellStyle name="Normal 2 32 9 3" xfId="2665"/>
    <cellStyle name="Normal 2 33" xfId="2666"/>
    <cellStyle name="Normal 2 33 10" xfId="2667"/>
    <cellStyle name="Normal 2 33 10 2" xfId="2668"/>
    <cellStyle name="Normal 2 33 10 2 2" xfId="2669"/>
    <cellStyle name="Normal 2 33 10 3" xfId="2670"/>
    <cellStyle name="Normal 2 33 11" xfId="2671"/>
    <cellStyle name="Normal 2 33 11 2" xfId="2672"/>
    <cellStyle name="Normal 2 33 11 2 2" xfId="2673"/>
    <cellStyle name="Normal 2 33 11 3" xfId="2674"/>
    <cellStyle name="Normal 2 33 12" xfId="2675"/>
    <cellStyle name="Normal 2 33 12 2" xfId="2676"/>
    <cellStyle name="Normal 2 33 12 2 2" xfId="2677"/>
    <cellStyle name="Normal 2 33 12 3" xfId="2678"/>
    <cellStyle name="Normal 2 33 13" xfId="2679"/>
    <cellStyle name="Normal 2 33 13 2" xfId="2680"/>
    <cellStyle name="Normal 2 33 13 2 2" xfId="2681"/>
    <cellStyle name="Normal 2 33 13 3" xfId="2682"/>
    <cellStyle name="Normal 2 33 14" xfId="2683"/>
    <cellStyle name="Normal 2 33 14 2" xfId="2684"/>
    <cellStyle name="Normal 2 33 14 2 2" xfId="2685"/>
    <cellStyle name="Normal 2 33 14 3" xfId="2686"/>
    <cellStyle name="Normal 2 33 15" xfId="2687"/>
    <cellStyle name="Normal 2 33 15 2" xfId="2688"/>
    <cellStyle name="Normal 2 33 15 2 2" xfId="2689"/>
    <cellStyle name="Normal 2 33 15 3" xfId="2690"/>
    <cellStyle name="Normal 2 33 16" xfId="2691"/>
    <cellStyle name="Normal 2 33 16 2" xfId="2692"/>
    <cellStyle name="Normal 2 33 16 2 2" xfId="2693"/>
    <cellStyle name="Normal 2 33 16 3" xfId="2694"/>
    <cellStyle name="Normal 2 33 17" xfId="2695"/>
    <cellStyle name="Normal 2 33 17 2" xfId="2696"/>
    <cellStyle name="Normal 2 33 17 2 2" xfId="2697"/>
    <cellStyle name="Normal 2 33 17 3" xfId="2698"/>
    <cellStyle name="Normal 2 33 18" xfId="2699"/>
    <cellStyle name="Normal 2 33 18 2" xfId="2700"/>
    <cellStyle name="Normal 2 33 18 2 2" xfId="2701"/>
    <cellStyle name="Normal 2 33 18 3" xfId="2702"/>
    <cellStyle name="Normal 2 33 19" xfId="2703"/>
    <cellStyle name="Normal 2 33 19 2" xfId="2704"/>
    <cellStyle name="Normal 2 33 19 2 2" xfId="2705"/>
    <cellStyle name="Normal 2 33 19 3" xfId="2706"/>
    <cellStyle name="Normal 2 33 2" xfId="2707"/>
    <cellStyle name="Normal 2 33 2 2" xfId="2708"/>
    <cellStyle name="Normal 2 33 2 2 2" xfId="2709"/>
    <cellStyle name="Normal 2 33 2 3" xfId="2710"/>
    <cellStyle name="Normal 2 33 20" xfId="2711"/>
    <cellStyle name="Normal 2 33 20 2" xfId="2712"/>
    <cellStyle name="Normal 2 33 20 2 2" xfId="2713"/>
    <cellStyle name="Normal 2 33 20 3" xfId="2714"/>
    <cellStyle name="Normal 2 33 21" xfId="2715"/>
    <cellStyle name="Normal 2 33 21 2" xfId="2716"/>
    <cellStyle name="Normal 2 33 21 2 2" xfId="2717"/>
    <cellStyle name="Normal 2 33 21 3" xfId="2718"/>
    <cellStyle name="Normal 2 33 22" xfId="2719"/>
    <cellStyle name="Normal 2 33 22 2" xfId="2720"/>
    <cellStyle name="Normal 2 33 22 2 2" xfId="2721"/>
    <cellStyle name="Normal 2 33 22 3" xfId="2722"/>
    <cellStyle name="Normal 2 33 23" xfId="2723"/>
    <cellStyle name="Normal 2 33 23 2" xfId="2724"/>
    <cellStyle name="Normal 2 33 23 2 2" xfId="2725"/>
    <cellStyle name="Normal 2 33 23 3" xfId="2726"/>
    <cellStyle name="Normal 2 33 24" xfId="2727"/>
    <cellStyle name="Normal 2 33 24 2" xfId="2728"/>
    <cellStyle name="Normal 2 33 25" xfId="2729"/>
    <cellStyle name="Normal 2 33 3" xfId="2730"/>
    <cellStyle name="Normal 2 33 3 2" xfId="2731"/>
    <cellStyle name="Normal 2 33 3 2 2" xfId="2732"/>
    <cellStyle name="Normal 2 33 3 3" xfId="2733"/>
    <cellStyle name="Normal 2 33 4" xfId="2734"/>
    <cellStyle name="Normal 2 33 4 2" xfId="2735"/>
    <cellStyle name="Normal 2 33 4 2 2" xfId="2736"/>
    <cellStyle name="Normal 2 33 4 3" xfId="2737"/>
    <cellStyle name="Normal 2 33 5" xfId="2738"/>
    <cellStyle name="Normal 2 33 5 2" xfId="2739"/>
    <cellStyle name="Normal 2 33 5 2 2" xfId="2740"/>
    <cellStyle name="Normal 2 33 5 3" xfId="2741"/>
    <cellStyle name="Normal 2 33 6" xfId="2742"/>
    <cellStyle name="Normal 2 33 6 2" xfId="2743"/>
    <cellStyle name="Normal 2 33 6 2 2" xfId="2744"/>
    <cellStyle name="Normal 2 33 6 3" xfId="2745"/>
    <cellStyle name="Normal 2 33 7" xfId="2746"/>
    <cellStyle name="Normal 2 33 7 2" xfId="2747"/>
    <cellStyle name="Normal 2 33 7 2 2" xfId="2748"/>
    <cellStyle name="Normal 2 33 7 3" xfId="2749"/>
    <cellStyle name="Normal 2 33 8" xfId="2750"/>
    <cellStyle name="Normal 2 33 8 2" xfId="2751"/>
    <cellStyle name="Normal 2 33 8 2 2" xfId="2752"/>
    <cellStyle name="Normal 2 33 8 3" xfId="2753"/>
    <cellStyle name="Normal 2 33 9" xfId="2754"/>
    <cellStyle name="Normal 2 33 9 2" xfId="2755"/>
    <cellStyle name="Normal 2 33 9 2 2" xfId="2756"/>
    <cellStyle name="Normal 2 33 9 3" xfId="2757"/>
    <cellStyle name="Normal 2 34" xfId="2758"/>
    <cellStyle name="Normal 2 34 10" xfId="2759"/>
    <cellStyle name="Normal 2 34 10 2" xfId="2760"/>
    <cellStyle name="Normal 2 34 10 2 2" xfId="2761"/>
    <cellStyle name="Normal 2 34 10 3" xfId="2762"/>
    <cellStyle name="Normal 2 34 11" xfId="2763"/>
    <cellStyle name="Normal 2 34 11 2" xfId="2764"/>
    <cellStyle name="Normal 2 34 11 2 2" xfId="2765"/>
    <cellStyle name="Normal 2 34 11 3" xfId="2766"/>
    <cellStyle name="Normal 2 34 12" xfId="2767"/>
    <cellStyle name="Normal 2 34 12 2" xfId="2768"/>
    <cellStyle name="Normal 2 34 12 2 2" xfId="2769"/>
    <cellStyle name="Normal 2 34 12 3" xfId="2770"/>
    <cellStyle name="Normal 2 34 13" xfId="2771"/>
    <cellStyle name="Normal 2 34 13 2" xfId="2772"/>
    <cellStyle name="Normal 2 34 13 2 2" xfId="2773"/>
    <cellStyle name="Normal 2 34 13 3" xfId="2774"/>
    <cellStyle name="Normal 2 34 14" xfId="2775"/>
    <cellStyle name="Normal 2 34 14 2" xfId="2776"/>
    <cellStyle name="Normal 2 34 14 2 2" xfId="2777"/>
    <cellStyle name="Normal 2 34 14 3" xfId="2778"/>
    <cellStyle name="Normal 2 34 15" xfId="2779"/>
    <cellStyle name="Normal 2 34 15 2" xfId="2780"/>
    <cellStyle name="Normal 2 34 15 2 2" xfId="2781"/>
    <cellStyle name="Normal 2 34 15 3" xfId="2782"/>
    <cellStyle name="Normal 2 34 16" xfId="2783"/>
    <cellStyle name="Normal 2 34 16 2" xfId="2784"/>
    <cellStyle name="Normal 2 34 16 2 2" xfId="2785"/>
    <cellStyle name="Normal 2 34 16 3" xfId="2786"/>
    <cellStyle name="Normal 2 34 17" xfId="2787"/>
    <cellStyle name="Normal 2 34 17 2" xfId="2788"/>
    <cellStyle name="Normal 2 34 17 2 2" xfId="2789"/>
    <cellStyle name="Normal 2 34 17 3" xfId="2790"/>
    <cellStyle name="Normal 2 34 18" xfId="2791"/>
    <cellStyle name="Normal 2 34 18 2" xfId="2792"/>
    <cellStyle name="Normal 2 34 18 2 2" xfId="2793"/>
    <cellStyle name="Normal 2 34 18 3" xfId="2794"/>
    <cellStyle name="Normal 2 34 19" xfId="2795"/>
    <cellStyle name="Normal 2 34 19 2" xfId="2796"/>
    <cellStyle name="Normal 2 34 19 2 2" xfId="2797"/>
    <cellStyle name="Normal 2 34 19 3" xfId="2798"/>
    <cellStyle name="Normal 2 34 2" xfId="2799"/>
    <cellStyle name="Normal 2 34 2 2" xfId="2800"/>
    <cellStyle name="Normal 2 34 2 2 2" xfId="2801"/>
    <cellStyle name="Normal 2 34 2 3" xfId="2802"/>
    <cellStyle name="Normal 2 34 20" xfId="2803"/>
    <cellStyle name="Normal 2 34 20 2" xfId="2804"/>
    <cellStyle name="Normal 2 34 20 2 2" xfId="2805"/>
    <cellStyle name="Normal 2 34 20 3" xfId="2806"/>
    <cellStyle name="Normal 2 34 21" xfId="2807"/>
    <cellStyle name="Normal 2 34 21 2" xfId="2808"/>
    <cellStyle name="Normal 2 34 21 2 2" xfId="2809"/>
    <cellStyle name="Normal 2 34 21 3" xfId="2810"/>
    <cellStyle name="Normal 2 34 22" xfId="2811"/>
    <cellStyle name="Normal 2 34 22 2" xfId="2812"/>
    <cellStyle name="Normal 2 34 22 2 2" xfId="2813"/>
    <cellStyle name="Normal 2 34 22 3" xfId="2814"/>
    <cellStyle name="Normal 2 34 23" xfId="2815"/>
    <cellStyle name="Normal 2 34 23 2" xfId="2816"/>
    <cellStyle name="Normal 2 34 23 2 2" xfId="2817"/>
    <cellStyle name="Normal 2 34 23 3" xfId="2818"/>
    <cellStyle name="Normal 2 34 24" xfId="2819"/>
    <cellStyle name="Normal 2 34 24 2" xfId="2820"/>
    <cellStyle name="Normal 2 34 25" xfId="2821"/>
    <cellStyle name="Normal 2 34 3" xfId="2822"/>
    <cellStyle name="Normal 2 34 3 2" xfId="2823"/>
    <cellStyle name="Normal 2 34 3 2 2" xfId="2824"/>
    <cellStyle name="Normal 2 34 3 3" xfId="2825"/>
    <cellStyle name="Normal 2 34 4" xfId="2826"/>
    <cellStyle name="Normal 2 34 4 2" xfId="2827"/>
    <cellStyle name="Normal 2 34 4 2 2" xfId="2828"/>
    <cellStyle name="Normal 2 34 4 3" xfId="2829"/>
    <cellStyle name="Normal 2 34 5" xfId="2830"/>
    <cellStyle name="Normal 2 34 5 2" xfId="2831"/>
    <cellStyle name="Normal 2 34 5 2 2" xfId="2832"/>
    <cellStyle name="Normal 2 34 5 3" xfId="2833"/>
    <cellStyle name="Normal 2 34 6" xfId="2834"/>
    <cellStyle name="Normal 2 34 6 2" xfId="2835"/>
    <cellStyle name="Normal 2 34 6 2 2" xfId="2836"/>
    <cellStyle name="Normal 2 34 6 3" xfId="2837"/>
    <cellStyle name="Normal 2 34 7" xfId="2838"/>
    <cellStyle name="Normal 2 34 7 2" xfId="2839"/>
    <cellStyle name="Normal 2 34 7 2 2" xfId="2840"/>
    <cellStyle name="Normal 2 34 7 3" xfId="2841"/>
    <cellStyle name="Normal 2 34 8" xfId="2842"/>
    <cellStyle name="Normal 2 34 8 2" xfId="2843"/>
    <cellStyle name="Normal 2 34 8 2 2" xfId="2844"/>
    <cellStyle name="Normal 2 34 8 3" xfId="2845"/>
    <cellStyle name="Normal 2 34 9" xfId="2846"/>
    <cellStyle name="Normal 2 34 9 2" xfId="2847"/>
    <cellStyle name="Normal 2 34 9 2 2" xfId="2848"/>
    <cellStyle name="Normal 2 34 9 3" xfId="2849"/>
    <cellStyle name="Normal 2 35" xfId="2850"/>
    <cellStyle name="Normal 2 35 10" xfId="2851"/>
    <cellStyle name="Normal 2 35 10 2" xfId="2852"/>
    <cellStyle name="Normal 2 35 10 2 2" xfId="2853"/>
    <cellStyle name="Normal 2 35 10 3" xfId="2854"/>
    <cellStyle name="Normal 2 35 11" xfId="2855"/>
    <cellStyle name="Normal 2 35 11 2" xfId="2856"/>
    <cellStyle name="Normal 2 35 11 2 2" xfId="2857"/>
    <cellStyle name="Normal 2 35 11 3" xfId="2858"/>
    <cellStyle name="Normal 2 35 12" xfId="2859"/>
    <cellStyle name="Normal 2 35 12 2" xfId="2860"/>
    <cellStyle name="Normal 2 35 12 2 2" xfId="2861"/>
    <cellStyle name="Normal 2 35 12 3" xfId="2862"/>
    <cellStyle name="Normal 2 35 13" xfId="2863"/>
    <cellStyle name="Normal 2 35 13 2" xfId="2864"/>
    <cellStyle name="Normal 2 35 13 2 2" xfId="2865"/>
    <cellStyle name="Normal 2 35 13 3" xfId="2866"/>
    <cellStyle name="Normal 2 35 14" xfId="2867"/>
    <cellStyle name="Normal 2 35 14 2" xfId="2868"/>
    <cellStyle name="Normal 2 35 14 2 2" xfId="2869"/>
    <cellStyle name="Normal 2 35 14 3" xfId="2870"/>
    <cellStyle name="Normal 2 35 15" xfId="2871"/>
    <cellStyle name="Normal 2 35 15 2" xfId="2872"/>
    <cellStyle name="Normal 2 35 15 2 2" xfId="2873"/>
    <cellStyle name="Normal 2 35 15 3" xfId="2874"/>
    <cellStyle name="Normal 2 35 16" xfId="2875"/>
    <cellStyle name="Normal 2 35 16 2" xfId="2876"/>
    <cellStyle name="Normal 2 35 16 2 2" xfId="2877"/>
    <cellStyle name="Normal 2 35 16 3" xfId="2878"/>
    <cellStyle name="Normal 2 35 17" xfId="2879"/>
    <cellStyle name="Normal 2 35 17 2" xfId="2880"/>
    <cellStyle name="Normal 2 35 17 2 2" xfId="2881"/>
    <cellStyle name="Normal 2 35 17 3" xfId="2882"/>
    <cellStyle name="Normal 2 35 18" xfId="2883"/>
    <cellStyle name="Normal 2 35 18 2" xfId="2884"/>
    <cellStyle name="Normal 2 35 18 2 2" xfId="2885"/>
    <cellStyle name="Normal 2 35 18 3" xfId="2886"/>
    <cellStyle name="Normal 2 35 19" xfId="2887"/>
    <cellStyle name="Normal 2 35 19 2" xfId="2888"/>
    <cellStyle name="Normal 2 35 19 2 2" xfId="2889"/>
    <cellStyle name="Normal 2 35 19 3" xfId="2890"/>
    <cellStyle name="Normal 2 35 2" xfId="2891"/>
    <cellStyle name="Normal 2 35 2 2" xfId="2892"/>
    <cellStyle name="Normal 2 35 2 2 2" xfId="2893"/>
    <cellStyle name="Normal 2 35 2 3" xfId="2894"/>
    <cellStyle name="Normal 2 35 20" xfId="2895"/>
    <cellStyle name="Normal 2 35 20 2" xfId="2896"/>
    <cellStyle name="Normal 2 35 20 2 2" xfId="2897"/>
    <cellStyle name="Normal 2 35 20 3" xfId="2898"/>
    <cellStyle name="Normal 2 35 21" xfId="2899"/>
    <cellStyle name="Normal 2 35 21 2" xfId="2900"/>
    <cellStyle name="Normal 2 35 21 2 2" xfId="2901"/>
    <cellStyle name="Normal 2 35 21 3" xfId="2902"/>
    <cellStyle name="Normal 2 35 22" xfId="2903"/>
    <cellStyle name="Normal 2 35 22 2" xfId="2904"/>
    <cellStyle name="Normal 2 35 22 2 2" xfId="2905"/>
    <cellStyle name="Normal 2 35 22 3" xfId="2906"/>
    <cellStyle name="Normal 2 35 23" xfId="2907"/>
    <cellStyle name="Normal 2 35 23 2" xfId="2908"/>
    <cellStyle name="Normal 2 35 23 2 2" xfId="2909"/>
    <cellStyle name="Normal 2 35 23 3" xfId="2910"/>
    <cellStyle name="Normal 2 35 24" xfId="2911"/>
    <cellStyle name="Normal 2 35 24 2" xfId="2912"/>
    <cellStyle name="Normal 2 35 25" xfId="2913"/>
    <cellStyle name="Normal 2 35 3" xfId="2914"/>
    <cellStyle name="Normal 2 35 3 2" xfId="2915"/>
    <cellStyle name="Normal 2 35 3 2 2" xfId="2916"/>
    <cellStyle name="Normal 2 35 3 3" xfId="2917"/>
    <cellStyle name="Normal 2 35 4" xfId="2918"/>
    <cellStyle name="Normal 2 35 4 2" xfId="2919"/>
    <cellStyle name="Normal 2 35 4 2 2" xfId="2920"/>
    <cellStyle name="Normal 2 35 4 3" xfId="2921"/>
    <cellStyle name="Normal 2 35 5" xfId="2922"/>
    <cellStyle name="Normal 2 35 5 2" xfId="2923"/>
    <cellStyle name="Normal 2 35 5 2 2" xfId="2924"/>
    <cellStyle name="Normal 2 35 5 3" xfId="2925"/>
    <cellStyle name="Normal 2 35 6" xfId="2926"/>
    <cellStyle name="Normal 2 35 6 2" xfId="2927"/>
    <cellStyle name="Normal 2 35 6 2 2" xfId="2928"/>
    <cellStyle name="Normal 2 35 6 3" xfId="2929"/>
    <cellStyle name="Normal 2 35 7" xfId="2930"/>
    <cellStyle name="Normal 2 35 7 2" xfId="2931"/>
    <cellStyle name="Normal 2 35 7 2 2" xfId="2932"/>
    <cellStyle name="Normal 2 35 7 3" xfId="2933"/>
    <cellStyle name="Normal 2 35 8" xfId="2934"/>
    <cellStyle name="Normal 2 35 8 2" xfId="2935"/>
    <cellStyle name="Normal 2 35 8 2 2" xfId="2936"/>
    <cellStyle name="Normal 2 35 8 3" xfId="2937"/>
    <cellStyle name="Normal 2 35 9" xfId="2938"/>
    <cellStyle name="Normal 2 35 9 2" xfId="2939"/>
    <cellStyle name="Normal 2 35 9 2 2" xfId="2940"/>
    <cellStyle name="Normal 2 35 9 3" xfId="2941"/>
    <cellStyle name="Normal 2 36" xfId="2942"/>
    <cellStyle name="Normal 2 36 10" xfId="2943"/>
    <cellStyle name="Normal 2 36 10 2" xfId="2944"/>
    <cellStyle name="Normal 2 36 10 2 2" xfId="2945"/>
    <cellStyle name="Normal 2 36 10 3" xfId="2946"/>
    <cellStyle name="Normal 2 36 11" xfId="2947"/>
    <cellStyle name="Normal 2 36 11 2" xfId="2948"/>
    <cellStyle name="Normal 2 36 11 2 2" xfId="2949"/>
    <cellStyle name="Normal 2 36 11 3" xfId="2950"/>
    <cellStyle name="Normal 2 36 12" xfId="2951"/>
    <cellStyle name="Normal 2 36 12 2" xfId="2952"/>
    <cellStyle name="Normal 2 36 12 2 2" xfId="2953"/>
    <cellStyle name="Normal 2 36 12 3" xfId="2954"/>
    <cellStyle name="Normal 2 36 13" xfId="2955"/>
    <cellStyle name="Normal 2 36 13 2" xfId="2956"/>
    <cellStyle name="Normal 2 36 13 2 2" xfId="2957"/>
    <cellStyle name="Normal 2 36 13 3" xfId="2958"/>
    <cellStyle name="Normal 2 36 14" xfId="2959"/>
    <cellStyle name="Normal 2 36 14 2" xfId="2960"/>
    <cellStyle name="Normal 2 36 14 2 2" xfId="2961"/>
    <cellStyle name="Normal 2 36 14 3" xfId="2962"/>
    <cellStyle name="Normal 2 36 15" xfId="2963"/>
    <cellStyle name="Normal 2 36 15 2" xfId="2964"/>
    <cellStyle name="Normal 2 36 15 2 2" xfId="2965"/>
    <cellStyle name="Normal 2 36 15 3" xfId="2966"/>
    <cellStyle name="Normal 2 36 16" xfId="2967"/>
    <cellStyle name="Normal 2 36 16 2" xfId="2968"/>
    <cellStyle name="Normal 2 36 16 2 2" xfId="2969"/>
    <cellStyle name="Normal 2 36 16 3" xfId="2970"/>
    <cellStyle name="Normal 2 36 17" xfId="2971"/>
    <cellStyle name="Normal 2 36 17 2" xfId="2972"/>
    <cellStyle name="Normal 2 36 17 2 2" xfId="2973"/>
    <cellStyle name="Normal 2 36 17 3" xfId="2974"/>
    <cellStyle name="Normal 2 36 18" xfId="2975"/>
    <cellStyle name="Normal 2 36 18 2" xfId="2976"/>
    <cellStyle name="Normal 2 36 18 2 2" xfId="2977"/>
    <cellStyle name="Normal 2 36 18 3" xfId="2978"/>
    <cellStyle name="Normal 2 36 19" xfId="2979"/>
    <cellStyle name="Normal 2 36 19 2" xfId="2980"/>
    <cellStyle name="Normal 2 36 19 2 2" xfId="2981"/>
    <cellStyle name="Normal 2 36 19 3" xfId="2982"/>
    <cellStyle name="Normal 2 36 2" xfId="2983"/>
    <cellStyle name="Normal 2 36 2 2" xfId="2984"/>
    <cellStyle name="Normal 2 36 2 2 2" xfId="2985"/>
    <cellStyle name="Normal 2 36 2 3" xfId="2986"/>
    <cellStyle name="Normal 2 36 20" xfId="2987"/>
    <cellStyle name="Normal 2 36 20 2" xfId="2988"/>
    <cellStyle name="Normal 2 36 20 2 2" xfId="2989"/>
    <cellStyle name="Normal 2 36 20 3" xfId="2990"/>
    <cellStyle name="Normal 2 36 21" xfId="2991"/>
    <cellStyle name="Normal 2 36 21 2" xfId="2992"/>
    <cellStyle name="Normal 2 36 21 2 2" xfId="2993"/>
    <cellStyle name="Normal 2 36 21 3" xfId="2994"/>
    <cellStyle name="Normal 2 36 22" xfId="2995"/>
    <cellStyle name="Normal 2 36 22 2" xfId="2996"/>
    <cellStyle name="Normal 2 36 22 2 2" xfId="2997"/>
    <cellStyle name="Normal 2 36 22 3" xfId="2998"/>
    <cellStyle name="Normal 2 36 23" xfId="2999"/>
    <cellStyle name="Normal 2 36 23 2" xfId="3000"/>
    <cellStyle name="Normal 2 36 23 2 2" xfId="3001"/>
    <cellStyle name="Normal 2 36 23 3" xfId="3002"/>
    <cellStyle name="Normal 2 36 24" xfId="3003"/>
    <cellStyle name="Normal 2 36 24 2" xfId="3004"/>
    <cellStyle name="Normal 2 36 25" xfId="3005"/>
    <cellStyle name="Normal 2 36 3" xfId="3006"/>
    <cellStyle name="Normal 2 36 3 2" xfId="3007"/>
    <cellStyle name="Normal 2 36 3 2 2" xfId="3008"/>
    <cellStyle name="Normal 2 36 3 3" xfId="3009"/>
    <cellStyle name="Normal 2 36 4" xfId="3010"/>
    <cellStyle name="Normal 2 36 4 2" xfId="3011"/>
    <cellStyle name="Normal 2 36 4 2 2" xfId="3012"/>
    <cellStyle name="Normal 2 36 4 3" xfId="3013"/>
    <cellStyle name="Normal 2 36 5" xfId="3014"/>
    <cellStyle name="Normal 2 36 5 2" xfId="3015"/>
    <cellStyle name="Normal 2 36 5 2 2" xfId="3016"/>
    <cellStyle name="Normal 2 36 5 3" xfId="3017"/>
    <cellStyle name="Normal 2 36 6" xfId="3018"/>
    <cellStyle name="Normal 2 36 6 2" xfId="3019"/>
    <cellStyle name="Normal 2 36 6 2 2" xfId="3020"/>
    <cellStyle name="Normal 2 36 6 3" xfId="3021"/>
    <cellStyle name="Normal 2 36 7" xfId="3022"/>
    <cellStyle name="Normal 2 36 7 2" xfId="3023"/>
    <cellStyle name="Normal 2 36 7 2 2" xfId="3024"/>
    <cellStyle name="Normal 2 36 7 3" xfId="3025"/>
    <cellStyle name="Normal 2 36 8" xfId="3026"/>
    <cellStyle name="Normal 2 36 8 2" xfId="3027"/>
    <cellStyle name="Normal 2 36 8 2 2" xfId="3028"/>
    <cellStyle name="Normal 2 36 8 3" xfId="3029"/>
    <cellStyle name="Normal 2 36 9" xfId="3030"/>
    <cellStyle name="Normal 2 36 9 2" xfId="3031"/>
    <cellStyle name="Normal 2 36 9 2 2" xfId="3032"/>
    <cellStyle name="Normal 2 36 9 3" xfId="3033"/>
    <cellStyle name="Normal 2 37" xfId="3034"/>
    <cellStyle name="Normal 2 37 10" xfId="3035"/>
    <cellStyle name="Normal 2 37 10 2" xfId="3036"/>
    <cellStyle name="Normal 2 37 10 2 2" xfId="3037"/>
    <cellStyle name="Normal 2 37 10 3" xfId="3038"/>
    <cellStyle name="Normal 2 37 11" xfId="3039"/>
    <cellStyle name="Normal 2 37 11 2" xfId="3040"/>
    <cellStyle name="Normal 2 37 11 2 2" xfId="3041"/>
    <cellStyle name="Normal 2 37 11 3" xfId="3042"/>
    <cellStyle name="Normal 2 37 12" xfId="3043"/>
    <cellStyle name="Normal 2 37 12 2" xfId="3044"/>
    <cellStyle name="Normal 2 37 12 2 2" xfId="3045"/>
    <cellStyle name="Normal 2 37 12 3" xfId="3046"/>
    <cellStyle name="Normal 2 37 13" xfId="3047"/>
    <cellStyle name="Normal 2 37 13 2" xfId="3048"/>
    <cellStyle name="Normal 2 37 13 2 2" xfId="3049"/>
    <cellStyle name="Normal 2 37 13 3" xfId="3050"/>
    <cellStyle name="Normal 2 37 14" xfId="3051"/>
    <cellStyle name="Normal 2 37 14 2" xfId="3052"/>
    <cellStyle name="Normal 2 37 14 2 2" xfId="3053"/>
    <cellStyle name="Normal 2 37 14 3" xfId="3054"/>
    <cellStyle name="Normal 2 37 15" xfId="3055"/>
    <cellStyle name="Normal 2 37 15 2" xfId="3056"/>
    <cellStyle name="Normal 2 37 15 2 2" xfId="3057"/>
    <cellStyle name="Normal 2 37 15 3" xfId="3058"/>
    <cellStyle name="Normal 2 37 16" xfId="3059"/>
    <cellStyle name="Normal 2 37 16 2" xfId="3060"/>
    <cellStyle name="Normal 2 37 16 2 2" xfId="3061"/>
    <cellStyle name="Normal 2 37 16 3" xfId="3062"/>
    <cellStyle name="Normal 2 37 17" xfId="3063"/>
    <cellStyle name="Normal 2 37 17 2" xfId="3064"/>
    <cellStyle name="Normal 2 37 17 2 2" xfId="3065"/>
    <cellStyle name="Normal 2 37 17 3" xfId="3066"/>
    <cellStyle name="Normal 2 37 18" xfId="3067"/>
    <cellStyle name="Normal 2 37 18 2" xfId="3068"/>
    <cellStyle name="Normal 2 37 18 2 2" xfId="3069"/>
    <cellStyle name="Normal 2 37 18 3" xfId="3070"/>
    <cellStyle name="Normal 2 37 19" xfId="3071"/>
    <cellStyle name="Normal 2 37 19 2" xfId="3072"/>
    <cellStyle name="Normal 2 37 19 2 2" xfId="3073"/>
    <cellStyle name="Normal 2 37 19 3" xfId="3074"/>
    <cellStyle name="Normal 2 37 2" xfId="3075"/>
    <cellStyle name="Normal 2 37 2 2" xfId="3076"/>
    <cellStyle name="Normal 2 37 2 2 2" xfId="3077"/>
    <cellStyle name="Normal 2 37 2 3" xfId="3078"/>
    <cellStyle name="Normal 2 37 20" xfId="3079"/>
    <cellStyle name="Normal 2 37 20 2" xfId="3080"/>
    <cellStyle name="Normal 2 37 20 2 2" xfId="3081"/>
    <cellStyle name="Normal 2 37 20 3" xfId="3082"/>
    <cellStyle name="Normal 2 37 21" xfId="3083"/>
    <cellStyle name="Normal 2 37 21 2" xfId="3084"/>
    <cellStyle name="Normal 2 37 21 2 2" xfId="3085"/>
    <cellStyle name="Normal 2 37 21 3" xfId="3086"/>
    <cellStyle name="Normal 2 37 22" xfId="3087"/>
    <cellStyle name="Normal 2 37 22 2" xfId="3088"/>
    <cellStyle name="Normal 2 37 22 2 2" xfId="3089"/>
    <cellStyle name="Normal 2 37 22 3" xfId="3090"/>
    <cellStyle name="Normal 2 37 23" xfId="3091"/>
    <cellStyle name="Normal 2 37 23 2" xfId="3092"/>
    <cellStyle name="Normal 2 37 23 2 2" xfId="3093"/>
    <cellStyle name="Normal 2 37 23 3" xfId="3094"/>
    <cellStyle name="Normal 2 37 24" xfId="3095"/>
    <cellStyle name="Normal 2 37 24 2" xfId="3096"/>
    <cellStyle name="Normal 2 37 25" xfId="3097"/>
    <cellStyle name="Normal 2 37 3" xfId="3098"/>
    <cellStyle name="Normal 2 37 3 2" xfId="3099"/>
    <cellStyle name="Normal 2 37 3 2 2" xfId="3100"/>
    <cellStyle name="Normal 2 37 3 3" xfId="3101"/>
    <cellStyle name="Normal 2 37 4" xfId="3102"/>
    <cellStyle name="Normal 2 37 4 2" xfId="3103"/>
    <cellStyle name="Normal 2 37 4 2 2" xfId="3104"/>
    <cellStyle name="Normal 2 37 4 3" xfId="3105"/>
    <cellStyle name="Normal 2 37 5" xfId="3106"/>
    <cellStyle name="Normal 2 37 5 2" xfId="3107"/>
    <cellStyle name="Normal 2 37 5 2 2" xfId="3108"/>
    <cellStyle name="Normal 2 37 5 3" xfId="3109"/>
    <cellStyle name="Normal 2 37 6" xfId="3110"/>
    <cellStyle name="Normal 2 37 6 2" xfId="3111"/>
    <cellStyle name="Normal 2 37 6 2 2" xfId="3112"/>
    <cellStyle name="Normal 2 37 6 3" xfId="3113"/>
    <cellStyle name="Normal 2 37 7" xfId="3114"/>
    <cellStyle name="Normal 2 37 7 2" xfId="3115"/>
    <cellStyle name="Normal 2 37 7 2 2" xfId="3116"/>
    <cellStyle name="Normal 2 37 7 3" xfId="3117"/>
    <cellStyle name="Normal 2 37 8" xfId="3118"/>
    <cellStyle name="Normal 2 37 8 2" xfId="3119"/>
    <cellStyle name="Normal 2 37 8 2 2" xfId="3120"/>
    <cellStyle name="Normal 2 37 8 3" xfId="3121"/>
    <cellStyle name="Normal 2 37 9" xfId="3122"/>
    <cellStyle name="Normal 2 37 9 2" xfId="3123"/>
    <cellStyle name="Normal 2 37 9 2 2" xfId="3124"/>
    <cellStyle name="Normal 2 37 9 3" xfId="3125"/>
    <cellStyle name="Normal 2 38" xfId="3126"/>
    <cellStyle name="Normal 2 38 10" xfId="3127"/>
    <cellStyle name="Normal 2 38 10 2" xfId="3128"/>
    <cellStyle name="Normal 2 38 10 2 2" xfId="3129"/>
    <cellStyle name="Normal 2 38 10 3" xfId="3130"/>
    <cellStyle name="Normal 2 38 11" xfId="3131"/>
    <cellStyle name="Normal 2 38 11 2" xfId="3132"/>
    <cellStyle name="Normal 2 38 11 2 2" xfId="3133"/>
    <cellStyle name="Normal 2 38 11 3" xfId="3134"/>
    <cellStyle name="Normal 2 38 12" xfId="3135"/>
    <cellStyle name="Normal 2 38 12 2" xfId="3136"/>
    <cellStyle name="Normal 2 38 12 2 2" xfId="3137"/>
    <cellStyle name="Normal 2 38 12 3" xfId="3138"/>
    <cellStyle name="Normal 2 38 13" xfId="3139"/>
    <cellStyle name="Normal 2 38 13 2" xfId="3140"/>
    <cellStyle name="Normal 2 38 13 2 2" xfId="3141"/>
    <cellStyle name="Normal 2 38 13 3" xfId="3142"/>
    <cellStyle name="Normal 2 38 14" xfId="3143"/>
    <cellStyle name="Normal 2 38 14 2" xfId="3144"/>
    <cellStyle name="Normal 2 38 14 2 2" xfId="3145"/>
    <cellStyle name="Normal 2 38 14 3" xfId="3146"/>
    <cellStyle name="Normal 2 38 15" xfId="3147"/>
    <cellStyle name="Normal 2 38 15 2" xfId="3148"/>
    <cellStyle name="Normal 2 38 15 2 2" xfId="3149"/>
    <cellStyle name="Normal 2 38 15 3" xfId="3150"/>
    <cellStyle name="Normal 2 38 16" xfId="3151"/>
    <cellStyle name="Normal 2 38 16 2" xfId="3152"/>
    <cellStyle name="Normal 2 38 16 2 2" xfId="3153"/>
    <cellStyle name="Normal 2 38 16 3" xfId="3154"/>
    <cellStyle name="Normal 2 38 17" xfId="3155"/>
    <cellStyle name="Normal 2 38 17 2" xfId="3156"/>
    <cellStyle name="Normal 2 38 17 2 2" xfId="3157"/>
    <cellStyle name="Normal 2 38 17 3" xfId="3158"/>
    <cellStyle name="Normal 2 38 18" xfId="3159"/>
    <cellStyle name="Normal 2 38 18 2" xfId="3160"/>
    <cellStyle name="Normal 2 38 18 2 2" xfId="3161"/>
    <cellStyle name="Normal 2 38 18 3" xfId="3162"/>
    <cellStyle name="Normal 2 38 19" xfId="3163"/>
    <cellStyle name="Normal 2 38 19 2" xfId="3164"/>
    <cellStyle name="Normal 2 38 19 2 2" xfId="3165"/>
    <cellStyle name="Normal 2 38 19 3" xfId="3166"/>
    <cellStyle name="Normal 2 38 2" xfId="3167"/>
    <cellStyle name="Normal 2 38 2 2" xfId="3168"/>
    <cellStyle name="Normal 2 38 2 2 2" xfId="3169"/>
    <cellStyle name="Normal 2 38 2 3" xfId="3170"/>
    <cellStyle name="Normal 2 38 20" xfId="3171"/>
    <cellStyle name="Normal 2 38 20 2" xfId="3172"/>
    <cellStyle name="Normal 2 38 20 2 2" xfId="3173"/>
    <cellStyle name="Normal 2 38 20 3" xfId="3174"/>
    <cellStyle name="Normal 2 38 21" xfId="3175"/>
    <cellStyle name="Normal 2 38 21 2" xfId="3176"/>
    <cellStyle name="Normal 2 38 21 2 2" xfId="3177"/>
    <cellStyle name="Normal 2 38 21 3" xfId="3178"/>
    <cellStyle name="Normal 2 38 22" xfId="3179"/>
    <cellStyle name="Normal 2 38 22 2" xfId="3180"/>
    <cellStyle name="Normal 2 38 22 2 2" xfId="3181"/>
    <cellStyle name="Normal 2 38 22 3" xfId="3182"/>
    <cellStyle name="Normal 2 38 23" xfId="3183"/>
    <cellStyle name="Normal 2 38 23 2" xfId="3184"/>
    <cellStyle name="Normal 2 38 23 2 2" xfId="3185"/>
    <cellStyle name="Normal 2 38 23 3" xfId="3186"/>
    <cellStyle name="Normal 2 38 24" xfId="3187"/>
    <cellStyle name="Normal 2 38 24 2" xfId="3188"/>
    <cellStyle name="Normal 2 38 25" xfId="3189"/>
    <cellStyle name="Normal 2 38 3" xfId="3190"/>
    <cellStyle name="Normal 2 38 3 2" xfId="3191"/>
    <cellStyle name="Normal 2 38 3 2 2" xfId="3192"/>
    <cellStyle name="Normal 2 38 3 3" xfId="3193"/>
    <cellStyle name="Normal 2 38 4" xfId="3194"/>
    <cellStyle name="Normal 2 38 4 2" xfId="3195"/>
    <cellStyle name="Normal 2 38 4 2 2" xfId="3196"/>
    <cellStyle name="Normal 2 38 4 3" xfId="3197"/>
    <cellStyle name="Normal 2 38 5" xfId="3198"/>
    <cellStyle name="Normal 2 38 5 2" xfId="3199"/>
    <cellStyle name="Normal 2 38 5 2 2" xfId="3200"/>
    <cellStyle name="Normal 2 38 5 3" xfId="3201"/>
    <cellStyle name="Normal 2 38 6" xfId="3202"/>
    <cellStyle name="Normal 2 38 6 2" xfId="3203"/>
    <cellStyle name="Normal 2 38 6 2 2" xfId="3204"/>
    <cellStyle name="Normal 2 38 6 3" xfId="3205"/>
    <cellStyle name="Normal 2 38 7" xfId="3206"/>
    <cellStyle name="Normal 2 38 7 2" xfId="3207"/>
    <cellStyle name="Normal 2 38 7 2 2" xfId="3208"/>
    <cellStyle name="Normal 2 38 7 3" xfId="3209"/>
    <cellStyle name="Normal 2 38 8" xfId="3210"/>
    <cellStyle name="Normal 2 38 8 2" xfId="3211"/>
    <cellStyle name="Normal 2 38 8 2 2" xfId="3212"/>
    <cellStyle name="Normal 2 38 8 3" xfId="3213"/>
    <cellStyle name="Normal 2 38 9" xfId="3214"/>
    <cellStyle name="Normal 2 38 9 2" xfId="3215"/>
    <cellStyle name="Normal 2 38 9 2 2" xfId="3216"/>
    <cellStyle name="Normal 2 38 9 3" xfId="3217"/>
    <cellStyle name="Normal 2 39" xfId="3218"/>
    <cellStyle name="Normal 2 39 10" xfId="3219"/>
    <cellStyle name="Normal 2 39 10 2" xfId="3220"/>
    <cellStyle name="Normal 2 39 10 2 2" xfId="3221"/>
    <cellStyle name="Normal 2 39 10 3" xfId="3222"/>
    <cellStyle name="Normal 2 39 11" xfId="3223"/>
    <cellStyle name="Normal 2 39 11 2" xfId="3224"/>
    <cellStyle name="Normal 2 39 11 2 2" xfId="3225"/>
    <cellStyle name="Normal 2 39 11 3" xfId="3226"/>
    <cellStyle name="Normal 2 39 12" xfId="3227"/>
    <cellStyle name="Normal 2 39 12 2" xfId="3228"/>
    <cellStyle name="Normal 2 39 12 2 2" xfId="3229"/>
    <cellStyle name="Normal 2 39 12 3" xfId="3230"/>
    <cellStyle name="Normal 2 39 13" xfId="3231"/>
    <cellStyle name="Normal 2 39 13 2" xfId="3232"/>
    <cellStyle name="Normal 2 39 13 2 2" xfId="3233"/>
    <cellStyle name="Normal 2 39 13 3" xfId="3234"/>
    <cellStyle name="Normal 2 39 14" xfId="3235"/>
    <cellStyle name="Normal 2 39 14 2" xfId="3236"/>
    <cellStyle name="Normal 2 39 14 2 2" xfId="3237"/>
    <cellStyle name="Normal 2 39 14 3" xfId="3238"/>
    <cellStyle name="Normal 2 39 15" xfId="3239"/>
    <cellStyle name="Normal 2 39 15 2" xfId="3240"/>
    <cellStyle name="Normal 2 39 15 2 2" xfId="3241"/>
    <cellStyle name="Normal 2 39 15 3" xfId="3242"/>
    <cellStyle name="Normal 2 39 16" xfId="3243"/>
    <cellStyle name="Normal 2 39 16 2" xfId="3244"/>
    <cellStyle name="Normal 2 39 16 2 2" xfId="3245"/>
    <cellStyle name="Normal 2 39 16 3" xfId="3246"/>
    <cellStyle name="Normal 2 39 17" xfId="3247"/>
    <cellStyle name="Normal 2 39 17 2" xfId="3248"/>
    <cellStyle name="Normal 2 39 17 2 2" xfId="3249"/>
    <cellStyle name="Normal 2 39 17 3" xfId="3250"/>
    <cellStyle name="Normal 2 39 18" xfId="3251"/>
    <cellStyle name="Normal 2 39 18 2" xfId="3252"/>
    <cellStyle name="Normal 2 39 18 2 2" xfId="3253"/>
    <cellStyle name="Normal 2 39 18 3" xfId="3254"/>
    <cellStyle name="Normal 2 39 19" xfId="3255"/>
    <cellStyle name="Normal 2 39 19 2" xfId="3256"/>
    <cellStyle name="Normal 2 39 19 2 2" xfId="3257"/>
    <cellStyle name="Normal 2 39 19 3" xfId="3258"/>
    <cellStyle name="Normal 2 39 2" xfId="3259"/>
    <cellStyle name="Normal 2 39 2 2" xfId="3260"/>
    <cellStyle name="Normal 2 39 2 2 2" xfId="3261"/>
    <cellStyle name="Normal 2 39 2 3" xfId="3262"/>
    <cellStyle name="Normal 2 39 20" xfId="3263"/>
    <cellStyle name="Normal 2 39 20 2" xfId="3264"/>
    <cellStyle name="Normal 2 39 20 2 2" xfId="3265"/>
    <cellStyle name="Normal 2 39 20 3" xfId="3266"/>
    <cellStyle name="Normal 2 39 21" xfId="3267"/>
    <cellStyle name="Normal 2 39 21 2" xfId="3268"/>
    <cellStyle name="Normal 2 39 21 2 2" xfId="3269"/>
    <cellStyle name="Normal 2 39 21 3" xfId="3270"/>
    <cellStyle name="Normal 2 39 22" xfId="3271"/>
    <cellStyle name="Normal 2 39 22 2" xfId="3272"/>
    <cellStyle name="Normal 2 39 22 2 2" xfId="3273"/>
    <cellStyle name="Normal 2 39 22 3" xfId="3274"/>
    <cellStyle name="Normal 2 39 23" xfId="3275"/>
    <cellStyle name="Normal 2 39 23 2" xfId="3276"/>
    <cellStyle name="Normal 2 39 23 2 2" xfId="3277"/>
    <cellStyle name="Normal 2 39 23 3" xfId="3278"/>
    <cellStyle name="Normal 2 39 24" xfId="3279"/>
    <cellStyle name="Normal 2 39 24 2" xfId="3280"/>
    <cellStyle name="Normal 2 39 25" xfId="3281"/>
    <cellStyle name="Normal 2 39 3" xfId="3282"/>
    <cellStyle name="Normal 2 39 3 2" xfId="3283"/>
    <cellStyle name="Normal 2 39 3 2 2" xfId="3284"/>
    <cellStyle name="Normal 2 39 3 3" xfId="3285"/>
    <cellStyle name="Normal 2 39 4" xfId="3286"/>
    <cellStyle name="Normal 2 39 4 2" xfId="3287"/>
    <cellStyle name="Normal 2 39 4 2 2" xfId="3288"/>
    <cellStyle name="Normal 2 39 4 3" xfId="3289"/>
    <cellStyle name="Normal 2 39 5" xfId="3290"/>
    <cellStyle name="Normal 2 39 5 2" xfId="3291"/>
    <cellStyle name="Normal 2 39 5 2 2" xfId="3292"/>
    <cellStyle name="Normal 2 39 5 3" xfId="3293"/>
    <cellStyle name="Normal 2 39 6" xfId="3294"/>
    <cellStyle name="Normal 2 39 6 2" xfId="3295"/>
    <cellStyle name="Normal 2 39 6 2 2" xfId="3296"/>
    <cellStyle name="Normal 2 39 6 3" xfId="3297"/>
    <cellStyle name="Normal 2 39 7" xfId="3298"/>
    <cellStyle name="Normal 2 39 7 2" xfId="3299"/>
    <cellStyle name="Normal 2 39 7 2 2" xfId="3300"/>
    <cellStyle name="Normal 2 39 7 3" xfId="3301"/>
    <cellStyle name="Normal 2 39 8" xfId="3302"/>
    <cellStyle name="Normal 2 39 8 2" xfId="3303"/>
    <cellStyle name="Normal 2 39 8 2 2" xfId="3304"/>
    <cellStyle name="Normal 2 39 8 3" xfId="3305"/>
    <cellStyle name="Normal 2 39 9" xfId="3306"/>
    <cellStyle name="Normal 2 39 9 2" xfId="3307"/>
    <cellStyle name="Normal 2 39 9 2 2" xfId="3308"/>
    <cellStyle name="Normal 2 39 9 3" xfId="3309"/>
    <cellStyle name="Normal 2 4" xfId="233"/>
    <cellStyle name="Normal 2 4 2" xfId="234"/>
    <cellStyle name="Normal 2 4 2 2" xfId="235"/>
    <cellStyle name="Normal 2 4 2 3" xfId="236"/>
    <cellStyle name="Normal 2 4 2 4" xfId="237"/>
    <cellStyle name="Normal 2 4 3" xfId="238"/>
    <cellStyle name="Normal 2 4 3 2" xfId="3310"/>
    <cellStyle name="Normal 2 4 4" xfId="3311"/>
    <cellStyle name="Normal 2 4 5" xfId="3312"/>
    <cellStyle name="Normal 2 4 6" xfId="3313"/>
    <cellStyle name="Normal 2 40" xfId="3314"/>
    <cellStyle name="Normal 2 40 2" xfId="3315"/>
    <cellStyle name="Normal 2 40 2 2" xfId="3316"/>
    <cellStyle name="Normal 2 40 3" xfId="3317"/>
    <cellStyle name="Normal 2 41" xfId="3318"/>
    <cellStyle name="Normal 2 41 2" xfId="3319"/>
    <cellStyle name="Normal 2 41 2 2" xfId="3320"/>
    <cellStyle name="Normal 2 41 3" xfId="3321"/>
    <cellStyle name="Normal 2 42" xfId="3322"/>
    <cellStyle name="Normal 2 42 2" xfId="3323"/>
    <cellStyle name="Normal 2 42 2 2" xfId="3324"/>
    <cellStyle name="Normal 2 42 3" xfId="3325"/>
    <cellStyle name="Normal 2 43" xfId="3326"/>
    <cellStyle name="Normal 2 43 2" xfId="3327"/>
    <cellStyle name="Normal 2 43 2 2" xfId="3328"/>
    <cellStyle name="Normal 2 43 3" xfId="3329"/>
    <cellStyle name="Normal 2 44" xfId="3330"/>
    <cellStyle name="Normal 2 44 2" xfId="3331"/>
    <cellStyle name="Normal 2 44 2 2" xfId="3332"/>
    <cellStyle name="Normal 2 44 3" xfId="3333"/>
    <cellStyle name="Normal 2 45" xfId="3334"/>
    <cellStyle name="Normal 2 45 2" xfId="3335"/>
    <cellStyle name="Normal 2 45 2 2" xfId="3336"/>
    <cellStyle name="Normal 2 45 3" xfId="3337"/>
    <cellStyle name="Normal 2 46" xfId="3338"/>
    <cellStyle name="Normal 2 46 2" xfId="3339"/>
    <cellStyle name="Normal 2 46 2 2" xfId="3340"/>
    <cellStyle name="Normal 2 46 3" xfId="3341"/>
    <cellStyle name="Normal 2 47" xfId="3342"/>
    <cellStyle name="Normal 2 47 2" xfId="3343"/>
    <cellStyle name="Normal 2 47 2 2" xfId="3344"/>
    <cellStyle name="Normal 2 47 3" xfId="3345"/>
    <cellStyle name="Normal 2 48" xfId="3346"/>
    <cellStyle name="Normal 2 48 2" xfId="3347"/>
    <cellStyle name="Normal 2 48 2 2" xfId="3348"/>
    <cellStyle name="Normal 2 48 3" xfId="3349"/>
    <cellStyle name="Normal 2 49" xfId="3350"/>
    <cellStyle name="Normal 2 49 2" xfId="3351"/>
    <cellStyle name="Normal 2 49 2 2" xfId="3352"/>
    <cellStyle name="Normal 2 49 3" xfId="3353"/>
    <cellStyle name="Normal 2 5" xfId="239"/>
    <cellStyle name="Normal 2 5 10" xfId="3354"/>
    <cellStyle name="Normal 2 5 10 2" xfId="3355"/>
    <cellStyle name="Normal 2 5 10 2 2" xfId="3356"/>
    <cellStyle name="Normal 2 5 10 3" xfId="3357"/>
    <cellStyle name="Normal 2 5 11" xfId="3358"/>
    <cellStyle name="Normal 2 5 11 2" xfId="3359"/>
    <cellStyle name="Normal 2 5 11 2 2" xfId="3360"/>
    <cellStyle name="Normal 2 5 11 3" xfId="3361"/>
    <cellStyle name="Normal 2 5 12" xfId="3362"/>
    <cellStyle name="Normal 2 5 12 2" xfId="3363"/>
    <cellStyle name="Normal 2 5 12 2 2" xfId="3364"/>
    <cellStyle name="Normal 2 5 12 3" xfId="3365"/>
    <cellStyle name="Normal 2 5 13" xfId="3366"/>
    <cellStyle name="Normal 2 5 13 2" xfId="3367"/>
    <cellStyle name="Normal 2 5 13 2 2" xfId="3368"/>
    <cellStyle name="Normal 2 5 13 3" xfId="3369"/>
    <cellStyle name="Normal 2 5 14" xfId="3370"/>
    <cellStyle name="Normal 2 5 14 2" xfId="3371"/>
    <cellStyle name="Normal 2 5 14 2 2" xfId="3372"/>
    <cellStyle name="Normal 2 5 14 3" xfId="3373"/>
    <cellStyle name="Normal 2 5 15" xfId="3374"/>
    <cellStyle name="Normal 2 5 15 2" xfId="3375"/>
    <cellStyle name="Normal 2 5 15 2 2" xfId="3376"/>
    <cellStyle name="Normal 2 5 15 3" xfId="3377"/>
    <cellStyle name="Normal 2 5 16" xfId="3378"/>
    <cellStyle name="Normal 2 5 16 2" xfId="3379"/>
    <cellStyle name="Normal 2 5 16 2 2" xfId="3380"/>
    <cellStyle name="Normal 2 5 16 3" xfId="3381"/>
    <cellStyle name="Normal 2 5 17" xfId="3382"/>
    <cellStyle name="Normal 2 5 17 2" xfId="3383"/>
    <cellStyle name="Normal 2 5 17 2 2" xfId="3384"/>
    <cellStyle name="Normal 2 5 17 3" xfId="3385"/>
    <cellStyle name="Normal 2 5 18" xfId="3386"/>
    <cellStyle name="Normal 2 5 18 2" xfId="3387"/>
    <cellStyle name="Normal 2 5 18 2 2" xfId="3388"/>
    <cellStyle name="Normal 2 5 18 3" xfId="3389"/>
    <cellStyle name="Normal 2 5 19" xfId="3390"/>
    <cellStyle name="Normal 2 5 19 2" xfId="3391"/>
    <cellStyle name="Normal 2 5 19 2 2" xfId="3392"/>
    <cellStyle name="Normal 2 5 19 3" xfId="3393"/>
    <cellStyle name="Normal 2 5 2" xfId="450"/>
    <cellStyle name="Normal 2 5 2 10" xfId="3394"/>
    <cellStyle name="Normal 2 5 2 10 2" xfId="3395"/>
    <cellStyle name="Normal 2 5 2 10 2 2" xfId="3396"/>
    <cellStyle name="Normal 2 5 2 10 3" xfId="3397"/>
    <cellStyle name="Normal 2 5 2 11" xfId="3398"/>
    <cellStyle name="Normal 2 5 2 11 2" xfId="3399"/>
    <cellStyle name="Normal 2 5 2 11 2 2" xfId="3400"/>
    <cellStyle name="Normal 2 5 2 11 3" xfId="3401"/>
    <cellStyle name="Normal 2 5 2 12" xfId="3402"/>
    <cellStyle name="Normal 2 5 2 12 2" xfId="3403"/>
    <cellStyle name="Normal 2 5 2 12 2 2" xfId="3404"/>
    <cellStyle name="Normal 2 5 2 12 3" xfId="3405"/>
    <cellStyle name="Normal 2 5 2 13" xfId="3406"/>
    <cellStyle name="Normal 2 5 2 13 2" xfId="3407"/>
    <cellStyle name="Normal 2 5 2 13 2 2" xfId="3408"/>
    <cellStyle name="Normal 2 5 2 13 3" xfId="3409"/>
    <cellStyle name="Normal 2 5 2 14" xfId="3410"/>
    <cellStyle name="Normal 2 5 2 14 2" xfId="3411"/>
    <cellStyle name="Normal 2 5 2 14 2 2" xfId="3412"/>
    <cellStyle name="Normal 2 5 2 14 3" xfId="3413"/>
    <cellStyle name="Normal 2 5 2 15" xfId="3414"/>
    <cellStyle name="Normal 2 5 2 15 2" xfId="3415"/>
    <cellStyle name="Normal 2 5 2 15 2 2" xfId="3416"/>
    <cellStyle name="Normal 2 5 2 15 3" xfId="3417"/>
    <cellStyle name="Normal 2 5 2 16" xfId="3418"/>
    <cellStyle name="Normal 2 5 2 16 2" xfId="3419"/>
    <cellStyle name="Normal 2 5 2 16 2 2" xfId="3420"/>
    <cellStyle name="Normal 2 5 2 16 3" xfId="3421"/>
    <cellStyle name="Normal 2 5 2 17" xfId="3422"/>
    <cellStyle name="Normal 2 5 2 17 2" xfId="3423"/>
    <cellStyle name="Normal 2 5 2 17 2 2" xfId="3424"/>
    <cellStyle name="Normal 2 5 2 17 3" xfId="3425"/>
    <cellStyle name="Normal 2 5 2 18" xfId="3426"/>
    <cellStyle name="Normal 2 5 2 18 2" xfId="3427"/>
    <cellStyle name="Normal 2 5 2 18 2 2" xfId="3428"/>
    <cellStyle name="Normal 2 5 2 18 3" xfId="3429"/>
    <cellStyle name="Normal 2 5 2 19" xfId="3430"/>
    <cellStyle name="Normal 2 5 2 19 2" xfId="3431"/>
    <cellStyle name="Normal 2 5 2 19 2 2" xfId="3432"/>
    <cellStyle name="Normal 2 5 2 19 3" xfId="3433"/>
    <cellStyle name="Normal 2 5 2 2" xfId="3434"/>
    <cellStyle name="Normal 2 5 2 2 10" xfId="3435"/>
    <cellStyle name="Normal 2 5 2 2 10 2" xfId="3436"/>
    <cellStyle name="Normal 2 5 2 2 10 2 2" xfId="3437"/>
    <cellStyle name="Normal 2 5 2 2 10 3" xfId="3438"/>
    <cellStyle name="Normal 2 5 2 2 11" xfId="3439"/>
    <cellStyle name="Normal 2 5 2 2 11 2" xfId="3440"/>
    <cellStyle name="Normal 2 5 2 2 11 2 2" xfId="3441"/>
    <cellStyle name="Normal 2 5 2 2 11 3" xfId="3442"/>
    <cellStyle name="Normal 2 5 2 2 12" xfId="3443"/>
    <cellStyle name="Normal 2 5 2 2 12 2" xfId="3444"/>
    <cellStyle name="Normal 2 5 2 2 12 2 2" xfId="3445"/>
    <cellStyle name="Normal 2 5 2 2 12 3" xfId="3446"/>
    <cellStyle name="Normal 2 5 2 2 13" xfId="3447"/>
    <cellStyle name="Normal 2 5 2 2 13 2" xfId="3448"/>
    <cellStyle name="Normal 2 5 2 2 13 2 2" xfId="3449"/>
    <cellStyle name="Normal 2 5 2 2 13 3" xfId="3450"/>
    <cellStyle name="Normal 2 5 2 2 14" xfId="3451"/>
    <cellStyle name="Normal 2 5 2 2 14 2" xfId="3452"/>
    <cellStyle name="Normal 2 5 2 2 14 2 2" xfId="3453"/>
    <cellStyle name="Normal 2 5 2 2 14 3" xfId="3454"/>
    <cellStyle name="Normal 2 5 2 2 15" xfId="3455"/>
    <cellStyle name="Normal 2 5 2 2 15 2" xfId="3456"/>
    <cellStyle name="Normal 2 5 2 2 15 2 2" xfId="3457"/>
    <cellStyle name="Normal 2 5 2 2 15 3" xfId="3458"/>
    <cellStyle name="Normal 2 5 2 2 16" xfId="3459"/>
    <cellStyle name="Normal 2 5 2 2 16 2" xfId="3460"/>
    <cellStyle name="Normal 2 5 2 2 16 2 2" xfId="3461"/>
    <cellStyle name="Normal 2 5 2 2 16 3" xfId="3462"/>
    <cellStyle name="Normal 2 5 2 2 17" xfId="3463"/>
    <cellStyle name="Normal 2 5 2 2 17 2" xfId="3464"/>
    <cellStyle name="Normal 2 5 2 2 17 2 2" xfId="3465"/>
    <cellStyle name="Normal 2 5 2 2 17 3" xfId="3466"/>
    <cellStyle name="Normal 2 5 2 2 18" xfId="3467"/>
    <cellStyle name="Normal 2 5 2 2 18 2" xfId="3468"/>
    <cellStyle name="Normal 2 5 2 2 18 2 2" xfId="3469"/>
    <cellStyle name="Normal 2 5 2 2 18 3" xfId="3470"/>
    <cellStyle name="Normal 2 5 2 2 19" xfId="3471"/>
    <cellStyle name="Normal 2 5 2 2 19 2" xfId="3472"/>
    <cellStyle name="Normal 2 5 2 2 19 2 2" xfId="3473"/>
    <cellStyle name="Normal 2 5 2 2 19 3" xfId="3474"/>
    <cellStyle name="Normal 2 5 2 2 2" xfId="3475"/>
    <cellStyle name="Normal 2 5 2 2 2 2" xfId="3476"/>
    <cellStyle name="Normal 2 5 2 2 2 2 2" xfId="3477"/>
    <cellStyle name="Normal 2 5 2 2 2 3" xfId="3478"/>
    <cellStyle name="Normal 2 5 2 2 20" xfId="3479"/>
    <cellStyle name="Normal 2 5 2 2 20 2" xfId="3480"/>
    <cellStyle name="Normal 2 5 2 2 20 2 2" xfId="3481"/>
    <cellStyle name="Normal 2 5 2 2 20 3" xfId="3482"/>
    <cellStyle name="Normal 2 5 2 2 21" xfId="3483"/>
    <cellStyle name="Normal 2 5 2 2 21 2" xfId="3484"/>
    <cellStyle name="Normal 2 5 2 2 21 2 2" xfId="3485"/>
    <cellStyle name="Normal 2 5 2 2 21 3" xfId="3486"/>
    <cellStyle name="Normal 2 5 2 2 22" xfId="3487"/>
    <cellStyle name="Normal 2 5 2 2 22 2" xfId="3488"/>
    <cellStyle name="Normal 2 5 2 2 22 2 2" xfId="3489"/>
    <cellStyle name="Normal 2 5 2 2 22 3" xfId="3490"/>
    <cellStyle name="Normal 2 5 2 2 23" xfId="3491"/>
    <cellStyle name="Normal 2 5 2 2 23 2" xfId="3492"/>
    <cellStyle name="Normal 2 5 2 2 23 2 2" xfId="3493"/>
    <cellStyle name="Normal 2 5 2 2 23 3" xfId="3494"/>
    <cellStyle name="Normal 2 5 2 2 24" xfId="3495"/>
    <cellStyle name="Normal 2 5 2 2 24 2" xfId="3496"/>
    <cellStyle name="Normal 2 5 2 2 24 2 2" xfId="3497"/>
    <cellStyle name="Normal 2 5 2 2 24 3" xfId="3498"/>
    <cellStyle name="Normal 2 5 2 2 25" xfId="3499"/>
    <cellStyle name="Normal 2 5 2 2 25 2" xfId="3500"/>
    <cellStyle name="Normal 2 5 2 2 25 2 2" xfId="3501"/>
    <cellStyle name="Normal 2 5 2 2 25 3" xfId="3502"/>
    <cellStyle name="Normal 2 5 2 2 26" xfId="3503"/>
    <cellStyle name="Normal 2 5 2 2 26 2" xfId="3504"/>
    <cellStyle name="Normal 2 5 2 2 26 2 2" xfId="3505"/>
    <cellStyle name="Normal 2 5 2 2 26 3" xfId="3506"/>
    <cellStyle name="Normal 2 5 2 2 27" xfId="3507"/>
    <cellStyle name="Normal 2 5 2 2 27 2" xfId="3508"/>
    <cellStyle name="Normal 2 5 2 2 27 2 2" xfId="3509"/>
    <cellStyle name="Normal 2 5 2 2 27 3" xfId="3510"/>
    <cellStyle name="Normal 2 5 2 2 28" xfId="3511"/>
    <cellStyle name="Normal 2 5 2 2 28 2" xfId="3512"/>
    <cellStyle name="Normal 2 5 2 2 28 2 2" xfId="3513"/>
    <cellStyle name="Normal 2 5 2 2 28 3" xfId="3514"/>
    <cellStyle name="Normal 2 5 2 2 29" xfId="3515"/>
    <cellStyle name="Normal 2 5 2 2 29 2" xfId="3516"/>
    <cellStyle name="Normal 2 5 2 2 29 2 2" xfId="3517"/>
    <cellStyle name="Normal 2 5 2 2 29 3" xfId="3518"/>
    <cellStyle name="Normal 2 5 2 2 3" xfId="3519"/>
    <cellStyle name="Normal 2 5 2 2 3 2" xfId="3520"/>
    <cellStyle name="Normal 2 5 2 2 3 2 2" xfId="3521"/>
    <cellStyle name="Normal 2 5 2 2 3 3" xfId="3522"/>
    <cellStyle name="Normal 2 5 2 2 30" xfId="3523"/>
    <cellStyle name="Normal 2 5 2 2 30 2" xfId="3524"/>
    <cellStyle name="Normal 2 5 2 2 30 2 2" xfId="3525"/>
    <cellStyle name="Normal 2 5 2 2 30 3" xfId="3526"/>
    <cellStyle name="Normal 2 5 2 2 31" xfId="3527"/>
    <cellStyle name="Normal 2 5 2 2 31 2" xfId="3528"/>
    <cellStyle name="Normal 2 5 2 2 31 2 2" xfId="3529"/>
    <cellStyle name="Normal 2 5 2 2 31 3" xfId="3530"/>
    <cellStyle name="Normal 2 5 2 2 32" xfId="3531"/>
    <cellStyle name="Normal 2 5 2 2 32 2" xfId="3532"/>
    <cellStyle name="Normal 2 5 2 2 32 2 2" xfId="3533"/>
    <cellStyle name="Normal 2 5 2 2 32 3" xfId="3534"/>
    <cellStyle name="Normal 2 5 2 2 33" xfId="3535"/>
    <cellStyle name="Normal 2 5 2 2 33 2" xfId="3536"/>
    <cellStyle name="Normal 2 5 2 2 33 2 2" xfId="3537"/>
    <cellStyle name="Normal 2 5 2 2 33 3" xfId="3538"/>
    <cellStyle name="Normal 2 5 2 2 34" xfId="3539"/>
    <cellStyle name="Normal 2 5 2 2 34 2" xfId="3540"/>
    <cellStyle name="Normal 2 5 2 2 34 2 2" xfId="3541"/>
    <cellStyle name="Normal 2 5 2 2 34 3" xfId="3542"/>
    <cellStyle name="Normal 2 5 2 2 35" xfId="3543"/>
    <cellStyle name="Normal 2 5 2 2 35 2" xfId="3544"/>
    <cellStyle name="Normal 2 5 2 2 35 2 2" xfId="3545"/>
    <cellStyle name="Normal 2 5 2 2 35 3" xfId="3546"/>
    <cellStyle name="Normal 2 5 2 2 36" xfId="3547"/>
    <cellStyle name="Normal 2 5 2 2 36 2" xfId="3548"/>
    <cellStyle name="Normal 2 5 2 2 36 2 2" xfId="3549"/>
    <cellStyle name="Normal 2 5 2 2 36 3" xfId="3550"/>
    <cellStyle name="Normal 2 5 2 2 37" xfId="3551"/>
    <cellStyle name="Normal 2 5 2 2 37 2" xfId="3552"/>
    <cellStyle name="Normal 2 5 2 2 37 2 2" xfId="3553"/>
    <cellStyle name="Normal 2 5 2 2 37 3" xfId="3554"/>
    <cellStyle name="Normal 2 5 2 2 38" xfId="3555"/>
    <cellStyle name="Normal 2 5 2 2 38 2" xfId="3556"/>
    <cellStyle name="Normal 2 5 2 2 38 2 2" xfId="3557"/>
    <cellStyle name="Normal 2 5 2 2 38 3" xfId="3558"/>
    <cellStyle name="Normal 2 5 2 2 39" xfId="3559"/>
    <cellStyle name="Normal 2 5 2 2 39 2" xfId="3560"/>
    <cellStyle name="Normal 2 5 2 2 39 2 2" xfId="3561"/>
    <cellStyle name="Normal 2 5 2 2 39 3" xfId="3562"/>
    <cellStyle name="Normal 2 5 2 2 4" xfId="3563"/>
    <cellStyle name="Normal 2 5 2 2 4 2" xfId="3564"/>
    <cellStyle name="Normal 2 5 2 2 4 2 2" xfId="3565"/>
    <cellStyle name="Normal 2 5 2 2 4 3" xfId="3566"/>
    <cellStyle name="Normal 2 5 2 2 40" xfId="3567"/>
    <cellStyle name="Normal 2 5 2 2 40 2" xfId="3568"/>
    <cellStyle name="Normal 2 5 2 2 40 2 2" xfId="3569"/>
    <cellStyle name="Normal 2 5 2 2 40 3" xfId="3570"/>
    <cellStyle name="Normal 2 5 2 2 41" xfId="3571"/>
    <cellStyle name="Normal 2 5 2 2 41 2" xfId="3572"/>
    <cellStyle name="Normal 2 5 2 2 41 2 2" xfId="3573"/>
    <cellStyle name="Normal 2 5 2 2 41 3" xfId="3574"/>
    <cellStyle name="Normal 2 5 2 2 42" xfId="3575"/>
    <cellStyle name="Normal 2 5 2 2 42 2" xfId="3576"/>
    <cellStyle name="Normal 2 5 2 2 42 2 2" xfId="3577"/>
    <cellStyle name="Normal 2 5 2 2 42 3" xfId="3578"/>
    <cellStyle name="Normal 2 5 2 2 43" xfId="3579"/>
    <cellStyle name="Normal 2 5 2 2 43 2" xfId="3580"/>
    <cellStyle name="Normal 2 5 2 2 43 2 2" xfId="3581"/>
    <cellStyle name="Normal 2 5 2 2 43 3" xfId="3582"/>
    <cellStyle name="Normal 2 5 2 2 44" xfId="3583"/>
    <cellStyle name="Normal 2 5 2 2 44 2" xfId="3584"/>
    <cellStyle name="Normal 2 5 2 2 44 2 2" xfId="3585"/>
    <cellStyle name="Normal 2 5 2 2 44 3" xfId="3586"/>
    <cellStyle name="Normal 2 5 2 2 45" xfId="3587"/>
    <cellStyle name="Normal 2 5 2 2 45 2" xfId="3588"/>
    <cellStyle name="Normal 2 5 2 2 45 2 2" xfId="3589"/>
    <cellStyle name="Normal 2 5 2 2 45 3" xfId="3590"/>
    <cellStyle name="Normal 2 5 2 2 46" xfId="3591"/>
    <cellStyle name="Normal 2 5 2 2 46 2" xfId="3592"/>
    <cellStyle name="Normal 2 5 2 2 46 2 2" xfId="3593"/>
    <cellStyle name="Normal 2 5 2 2 46 3" xfId="3594"/>
    <cellStyle name="Normal 2 5 2 2 47" xfId="3595"/>
    <cellStyle name="Normal 2 5 2 2 47 2" xfId="3596"/>
    <cellStyle name="Normal 2 5 2 2 47 2 2" xfId="3597"/>
    <cellStyle name="Normal 2 5 2 2 47 3" xfId="3598"/>
    <cellStyle name="Normal 2 5 2 2 48" xfId="3599"/>
    <cellStyle name="Normal 2 5 2 2 48 2" xfId="3600"/>
    <cellStyle name="Normal 2 5 2 2 48 2 2" xfId="3601"/>
    <cellStyle name="Normal 2 5 2 2 48 3" xfId="3602"/>
    <cellStyle name="Normal 2 5 2 2 49" xfId="3603"/>
    <cellStyle name="Normal 2 5 2 2 49 2" xfId="3604"/>
    <cellStyle name="Normal 2 5 2 2 49 2 2" xfId="3605"/>
    <cellStyle name="Normal 2 5 2 2 49 3" xfId="3606"/>
    <cellStyle name="Normal 2 5 2 2 5" xfId="3607"/>
    <cellStyle name="Normal 2 5 2 2 5 2" xfId="3608"/>
    <cellStyle name="Normal 2 5 2 2 5 2 2" xfId="3609"/>
    <cellStyle name="Normal 2 5 2 2 5 3" xfId="3610"/>
    <cellStyle name="Normal 2 5 2 2 50" xfId="3611"/>
    <cellStyle name="Normal 2 5 2 2 50 2" xfId="3612"/>
    <cellStyle name="Normal 2 5 2 2 50 2 2" xfId="3613"/>
    <cellStyle name="Normal 2 5 2 2 50 3" xfId="3614"/>
    <cellStyle name="Normal 2 5 2 2 51" xfId="3615"/>
    <cellStyle name="Normal 2 5 2 2 51 2" xfId="3616"/>
    <cellStyle name="Normal 2 5 2 2 51 2 2" xfId="3617"/>
    <cellStyle name="Normal 2 5 2 2 51 3" xfId="3618"/>
    <cellStyle name="Normal 2 5 2 2 52" xfId="3619"/>
    <cellStyle name="Normal 2 5 2 2 52 2" xfId="3620"/>
    <cellStyle name="Normal 2 5 2 2 52 2 2" xfId="3621"/>
    <cellStyle name="Normal 2 5 2 2 52 3" xfId="3622"/>
    <cellStyle name="Normal 2 5 2 2 53" xfId="3623"/>
    <cellStyle name="Normal 2 5 2 2 53 2" xfId="3624"/>
    <cellStyle name="Normal 2 5 2 2 53 2 2" xfId="3625"/>
    <cellStyle name="Normal 2 5 2 2 53 3" xfId="3626"/>
    <cellStyle name="Normal 2 5 2 2 54" xfId="3627"/>
    <cellStyle name="Normal 2 5 2 2 54 2" xfId="3628"/>
    <cellStyle name="Normal 2 5 2 2 54 2 2" xfId="3629"/>
    <cellStyle name="Normal 2 5 2 2 54 3" xfId="3630"/>
    <cellStyle name="Normal 2 5 2 2 55" xfId="3631"/>
    <cellStyle name="Normal 2 5 2 2 55 2" xfId="3632"/>
    <cellStyle name="Normal 2 5 2 2 55 2 2" xfId="3633"/>
    <cellStyle name="Normal 2 5 2 2 55 3" xfId="3634"/>
    <cellStyle name="Normal 2 5 2 2 56" xfId="3635"/>
    <cellStyle name="Normal 2 5 2 2 56 2" xfId="3636"/>
    <cellStyle name="Normal 2 5 2 2 57" xfId="3637"/>
    <cellStyle name="Normal 2 5 2 2 6" xfId="3638"/>
    <cellStyle name="Normal 2 5 2 2 6 2" xfId="3639"/>
    <cellStyle name="Normal 2 5 2 2 6 2 2" xfId="3640"/>
    <cellStyle name="Normal 2 5 2 2 6 3" xfId="3641"/>
    <cellStyle name="Normal 2 5 2 2 7" xfId="3642"/>
    <cellStyle name="Normal 2 5 2 2 7 2" xfId="3643"/>
    <cellStyle name="Normal 2 5 2 2 7 2 2" xfId="3644"/>
    <cellStyle name="Normal 2 5 2 2 7 3" xfId="3645"/>
    <cellStyle name="Normal 2 5 2 2 8" xfId="3646"/>
    <cellStyle name="Normal 2 5 2 2 8 2" xfId="3647"/>
    <cellStyle name="Normal 2 5 2 2 8 2 2" xfId="3648"/>
    <cellStyle name="Normal 2 5 2 2 8 3" xfId="3649"/>
    <cellStyle name="Normal 2 5 2 2 9" xfId="3650"/>
    <cellStyle name="Normal 2 5 2 2 9 2" xfId="3651"/>
    <cellStyle name="Normal 2 5 2 2 9 2 2" xfId="3652"/>
    <cellStyle name="Normal 2 5 2 2 9 3" xfId="3653"/>
    <cellStyle name="Normal 2 5 2 20" xfId="3654"/>
    <cellStyle name="Normal 2 5 2 20 2" xfId="3655"/>
    <cellStyle name="Normal 2 5 2 20 2 2" xfId="3656"/>
    <cellStyle name="Normal 2 5 2 20 3" xfId="3657"/>
    <cellStyle name="Normal 2 5 2 21" xfId="3658"/>
    <cellStyle name="Normal 2 5 2 21 2" xfId="3659"/>
    <cellStyle name="Normal 2 5 2 21 2 2" xfId="3660"/>
    <cellStyle name="Normal 2 5 2 21 3" xfId="3661"/>
    <cellStyle name="Normal 2 5 2 22" xfId="3662"/>
    <cellStyle name="Normal 2 5 2 22 2" xfId="3663"/>
    <cellStyle name="Normal 2 5 2 22 2 2" xfId="3664"/>
    <cellStyle name="Normal 2 5 2 22 3" xfId="3665"/>
    <cellStyle name="Normal 2 5 2 23" xfId="3666"/>
    <cellStyle name="Normal 2 5 2 23 2" xfId="3667"/>
    <cellStyle name="Normal 2 5 2 23 2 2" xfId="3668"/>
    <cellStyle name="Normal 2 5 2 23 3" xfId="3669"/>
    <cellStyle name="Normal 2 5 2 24" xfId="3670"/>
    <cellStyle name="Normal 2 5 2 24 2" xfId="3671"/>
    <cellStyle name="Normal 2 5 2 24 2 2" xfId="3672"/>
    <cellStyle name="Normal 2 5 2 24 3" xfId="3673"/>
    <cellStyle name="Normal 2 5 2 25" xfId="3674"/>
    <cellStyle name="Normal 2 5 2 25 2" xfId="3675"/>
    <cellStyle name="Normal 2 5 2 25 2 2" xfId="3676"/>
    <cellStyle name="Normal 2 5 2 25 3" xfId="3677"/>
    <cellStyle name="Normal 2 5 2 26" xfId="3678"/>
    <cellStyle name="Normal 2 5 2 26 2" xfId="3679"/>
    <cellStyle name="Normal 2 5 2 26 2 2" xfId="3680"/>
    <cellStyle name="Normal 2 5 2 26 3" xfId="3681"/>
    <cellStyle name="Normal 2 5 2 27" xfId="3682"/>
    <cellStyle name="Normal 2 5 2 27 2" xfId="3683"/>
    <cellStyle name="Normal 2 5 2 27 2 2" xfId="3684"/>
    <cellStyle name="Normal 2 5 2 27 3" xfId="3685"/>
    <cellStyle name="Normal 2 5 2 28" xfId="3686"/>
    <cellStyle name="Normal 2 5 2 28 2" xfId="3687"/>
    <cellStyle name="Normal 2 5 2 28 2 2" xfId="3688"/>
    <cellStyle name="Normal 2 5 2 28 3" xfId="3689"/>
    <cellStyle name="Normal 2 5 2 29" xfId="3690"/>
    <cellStyle name="Normal 2 5 2 29 2" xfId="3691"/>
    <cellStyle name="Normal 2 5 2 29 2 2" xfId="3692"/>
    <cellStyle name="Normal 2 5 2 29 3" xfId="3693"/>
    <cellStyle name="Normal 2 5 2 3" xfId="3694"/>
    <cellStyle name="Normal 2 5 2 3 2" xfId="3695"/>
    <cellStyle name="Normal 2 5 2 3 2 2" xfId="3696"/>
    <cellStyle name="Normal 2 5 2 3 3" xfId="3697"/>
    <cellStyle name="Normal 2 5 2 30" xfId="3698"/>
    <cellStyle name="Normal 2 5 2 30 2" xfId="3699"/>
    <cellStyle name="Normal 2 5 2 30 2 2" xfId="3700"/>
    <cellStyle name="Normal 2 5 2 30 3" xfId="3701"/>
    <cellStyle name="Normal 2 5 2 31" xfId="3702"/>
    <cellStyle name="Normal 2 5 2 31 2" xfId="3703"/>
    <cellStyle name="Normal 2 5 2 31 2 2" xfId="3704"/>
    <cellStyle name="Normal 2 5 2 31 3" xfId="3705"/>
    <cellStyle name="Normal 2 5 2 32" xfId="3706"/>
    <cellStyle name="Normal 2 5 2 32 2" xfId="3707"/>
    <cellStyle name="Normal 2 5 2 32 2 2" xfId="3708"/>
    <cellStyle name="Normal 2 5 2 32 3" xfId="3709"/>
    <cellStyle name="Normal 2 5 2 33" xfId="3710"/>
    <cellStyle name="Normal 2 5 2 33 2" xfId="3711"/>
    <cellStyle name="Normal 2 5 2 33 2 2" xfId="3712"/>
    <cellStyle name="Normal 2 5 2 33 3" xfId="3713"/>
    <cellStyle name="Normal 2 5 2 34" xfId="3714"/>
    <cellStyle name="Normal 2 5 2 34 2" xfId="3715"/>
    <cellStyle name="Normal 2 5 2 35" xfId="3716"/>
    <cellStyle name="Normal 2 5 2 4" xfId="3717"/>
    <cellStyle name="Normal 2 5 2 4 2" xfId="3718"/>
    <cellStyle name="Normal 2 5 2 4 2 2" xfId="3719"/>
    <cellStyle name="Normal 2 5 2 4 3" xfId="3720"/>
    <cellStyle name="Normal 2 5 2 5" xfId="3721"/>
    <cellStyle name="Normal 2 5 2 5 2" xfId="3722"/>
    <cellStyle name="Normal 2 5 2 5 2 2" xfId="3723"/>
    <cellStyle name="Normal 2 5 2 5 3" xfId="3724"/>
    <cellStyle name="Normal 2 5 2 6" xfId="3725"/>
    <cellStyle name="Normal 2 5 2 6 2" xfId="3726"/>
    <cellStyle name="Normal 2 5 2 6 2 2" xfId="3727"/>
    <cellStyle name="Normal 2 5 2 6 3" xfId="3728"/>
    <cellStyle name="Normal 2 5 2 7" xfId="3729"/>
    <cellStyle name="Normal 2 5 2 7 2" xfId="3730"/>
    <cellStyle name="Normal 2 5 2 7 2 2" xfId="3731"/>
    <cellStyle name="Normal 2 5 2 7 3" xfId="3732"/>
    <cellStyle name="Normal 2 5 2 8" xfId="3733"/>
    <cellStyle name="Normal 2 5 2 8 2" xfId="3734"/>
    <cellStyle name="Normal 2 5 2 8 2 2" xfId="3735"/>
    <cellStyle name="Normal 2 5 2 8 3" xfId="3736"/>
    <cellStyle name="Normal 2 5 2 9" xfId="3737"/>
    <cellStyle name="Normal 2 5 2 9 2" xfId="3738"/>
    <cellStyle name="Normal 2 5 2 9 2 2" xfId="3739"/>
    <cellStyle name="Normal 2 5 2 9 3" xfId="3740"/>
    <cellStyle name="Normal 2 5 20" xfId="3741"/>
    <cellStyle name="Normal 2 5 20 2" xfId="3742"/>
    <cellStyle name="Normal 2 5 20 2 2" xfId="3743"/>
    <cellStyle name="Normal 2 5 20 3" xfId="3744"/>
    <cellStyle name="Normal 2 5 21" xfId="3745"/>
    <cellStyle name="Normal 2 5 21 2" xfId="3746"/>
    <cellStyle name="Normal 2 5 21 2 2" xfId="3747"/>
    <cellStyle name="Normal 2 5 21 3" xfId="3748"/>
    <cellStyle name="Normal 2 5 22" xfId="3749"/>
    <cellStyle name="Normal 2 5 22 2" xfId="3750"/>
    <cellStyle name="Normal 2 5 22 2 2" xfId="3751"/>
    <cellStyle name="Normal 2 5 22 3" xfId="3752"/>
    <cellStyle name="Normal 2 5 23" xfId="3753"/>
    <cellStyle name="Normal 2 5 23 2" xfId="3754"/>
    <cellStyle name="Normal 2 5 23 2 2" xfId="3755"/>
    <cellStyle name="Normal 2 5 23 3" xfId="3756"/>
    <cellStyle name="Normal 2 5 24" xfId="3757"/>
    <cellStyle name="Normal 2 5 24 2" xfId="3758"/>
    <cellStyle name="Normal 2 5 24 2 2" xfId="3759"/>
    <cellStyle name="Normal 2 5 24 3" xfId="3760"/>
    <cellStyle name="Normal 2 5 25" xfId="3761"/>
    <cellStyle name="Normal 2 5 25 2" xfId="3762"/>
    <cellStyle name="Normal 2 5 25 2 2" xfId="3763"/>
    <cellStyle name="Normal 2 5 25 3" xfId="3764"/>
    <cellStyle name="Normal 2 5 26" xfId="3765"/>
    <cellStyle name="Normal 2 5 26 2" xfId="3766"/>
    <cellStyle name="Normal 2 5 26 2 2" xfId="3767"/>
    <cellStyle name="Normal 2 5 26 3" xfId="3768"/>
    <cellStyle name="Normal 2 5 27" xfId="3769"/>
    <cellStyle name="Normal 2 5 27 2" xfId="3770"/>
    <cellStyle name="Normal 2 5 27 2 2" xfId="3771"/>
    <cellStyle name="Normal 2 5 27 3" xfId="3772"/>
    <cellStyle name="Normal 2 5 28" xfId="3773"/>
    <cellStyle name="Normal 2 5 28 2" xfId="3774"/>
    <cellStyle name="Normal 2 5 28 2 2" xfId="3775"/>
    <cellStyle name="Normal 2 5 28 3" xfId="3776"/>
    <cellStyle name="Normal 2 5 29" xfId="3777"/>
    <cellStyle name="Normal 2 5 29 2" xfId="3778"/>
    <cellStyle name="Normal 2 5 29 2 2" xfId="3779"/>
    <cellStyle name="Normal 2 5 29 3" xfId="3780"/>
    <cellStyle name="Normal 2 5 3" xfId="3781"/>
    <cellStyle name="Normal 2 5 3 2" xfId="3782"/>
    <cellStyle name="Normal 2 5 3 2 2" xfId="3783"/>
    <cellStyle name="Normal 2 5 3 3" xfId="3784"/>
    <cellStyle name="Normal 2 5 30" xfId="3785"/>
    <cellStyle name="Normal 2 5 30 2" xfId="3786"/>
    <cellStyle name="Normal 2 5 30 2 2" xfId="3787"/>
    <cellStyle name="Normal 2 5 30 3" xfId="3788"/>
    <cellStyle name="Normal 2 5 31" xfId="3789"/>
    <cellStyle name="Normal 2 5 31 2" xfId="3790"/>
    <cellStyle name="Normal 2 5 31 2 2" xfId="3791"/>
    <cellStyle name="Normal 2 5 31 3" xfId="3792"/>
    <cellStyle name="Normal 2 5 32" xfId="3793"/>
    <cellStyle name="Normal 2 5 32 2" xfId="3794"/>
    <cellStyle name="Normal 2 5 32 2 2" xfId="3795"/>
    <cellStyle name="Normal 2 5 32 3" xfId="3796"/>
    <cellStyle name="Normal 2 5 33" xfId="3797"/>
    <cellStyle name="Normal 2 5 33 2" xfId="3798"/>
    <cellStyle name="Normal 2 5 33 2 2" xfId="3799"/>
    <cellStyle name="Normal 2 5 33 3" xfId="3800"/>
    <cellStyle name="Normal 2 5 34" xfId="3801"/>
    <cellStyle name="Normal 2 5 34 2" xfId="3802"/>
    <cellStyle name="Normal 2 5 34 2 2" xfId="3803"/>
    <cellStyle name="Normal 2 5 34 3" xfId="3804"/>
    <cellStyle name="Normal 2 5 35" xfId="3805"/>
    <cellStyle name="Normal 2 5 35 2" xfId="3806"/>
    <cellStyle name="Normal 2 5 35 2 2" xfId="3807"/>
    <cellStyle name="Normal 2 5 35 3" xfId="3808"/>
    <cellStyle name="Normal 2 5 36" xfId="3809"/>
    <cellStyle name="Normal 2 5 36 2" xfId="3810"/>
    <cellStyle name="Normal 2 5 36 2 2" xfId="3811"/>
    <cellStyle name="Normal 2 5 36 3" xfId="3812"/>
    <cellStyle name="Normal 2 5 37" xfId="3813"/>
    <cellStyle name="Normal 2 5 37 2" xfId="3814"/>
    <cellStyle name="Normal 2 5 37 2 2" xfId="3815"/>
    <cellStyle name="Normal 2 5 37 3" xfId="3816"/>
    <cellStyle name="Normal 2 5 38" xfId="3817"/>
    <cellStyle name="Normal 2 5 38 2" xfId="3818"/>
    <cellStyle name="Normal 2 5 38 2 2" xfId="3819"/>
    <cellStyle name="Normal 2 5 38 3" xfId="3820"/>
    <cellStyle name="Normal 2 5 39" xfId="3821"/>
    <cellStyle name="Normal 2 5 39 2" xfId="3822"/>
    <cellStyle name="Normal 2 5 39 2 2" xfId="3823"/>
    <cellStyle name="Normal 2 5 39 3" xfId="3824"/>
    <cellStyle name="Normal 2 5 4" xfId="3825"/>
    <cellStyle name="Normal 2 5 4 2" xfId="3826"/>
    <cellStyle name="Normal 2 5 4 2 2" xfId="3827"/>
    <cellStyle name="Normal 2 5 4 3" xfId="3828"/>
    <cellStyle name="Normal 2 5 40" xfId="3829"/>
    <cellStyle name="Normal 2 5 40 2" xfId="3830"/>
    <cellStyle name="Normal 2 5 40 2 2" xfId="3831"/>
    <cellStyle name="Normal 2 5 40 3" xfId="3832"/>
    <cellStyle name="Normal 2 5 41" xfId="3833"/>
    <cellStyle name="Normal 2 5 41 2" xfId="3834"/>
    <cellStyle name="Normal 2 5 41 2 2" xfId="3835"/>
    <cellStyle name="Normal 2 5 41 3" xfId="3836"/>
    <cellStyle name="Normal 2 5 42" xfId="3837"/>
    <cellStyle name="Normal 2 5 42 2" xfId="3838"/>
    <cellStyle name="Normal 2 5 42 2 2" xfId="3839"/>
    <cellStyle name="Normal 2 5 42 3" xfId="3840"/>
    <cellStyle name="Normal 2 5 43" xfId="3841"/>
    <cellStyle name="Normal 2 5 43 2" xfId="3842"/>
    <cellStyle name="Normal 2 5 43 2 2" xfId="3843"/>
    <cellStyle name="Normal 2 5 43 3" xfId="3844"/>
    <cellStyle name="Normal 2 5 44" xfId="3845"/>
    <cellStyle name="Normal 2 5 44 2" xfId="3846"/>
    <cellStyle name="Normal 2 5 44 2 2" xfId="3847"/>
    <cellStyle name="Normal 2 5 44 3" xfId="3848"/>
    <cellStyle name="Normal 2 5 45" xfId="3849"/>
    <cellStyle name="Normal 2 5 45 2" xfId="3850"/>
    <cellStyle name="Normal 2 5 45 2 2" xfId="3851"/>
    <cellStyle name="Normal 2 5 45 3" xfId="3852"/>
    <cellStyle name="Normal 2 5 46" xfId="3853"/>
    <cellStyle name="Normal 2 5 46 2" xfId="3854"/>
    <cellStyle name="Normal 2 5 46 2 2" xfId="3855"/>
    <cellStyle name="Normal 2 5 46 3" xfId="3856"/>
    <cellStyle name="Normal 2 5 47" xfId="3857"/>
    <cellStyle name="Normal 2 5 47 2" xfId="3858"/>
    <cellStyle name="Normal 2 5 47 2 2" xfId="3859"/>
    <cellStyle name="Normal 2 5 47 3" xfId="3860"/>
    <cellStyle name="Normal 2 5 48" xfId="3861"/>
    <cellStyle name="Normal 2 5 48 2" xfId="3862"/>
    <cellStyle name="Normal 2 5 48 2 2" xfId="3863"/>
    <cellStyle name="Normal 2 5 48 3" xfId="3864"/>
    <cellStyle name="Normal 2 5 49" xfId="3865"/>
    <cellStyle name="Normal 2 5 49 2" xfId="3866"/>
    <cellStyle name="Normal 2 5 49 2 2" xfId="3867"/>
    <cellStyle name="Normal 2 5 49 3" xfId="3868"/>
    <cellStyle name="Normal 2 5 5" xfId="3869"/>
    <cellStyle name="Normal 2 5 5 2" xfId="3870"/>
    <cellStyle name="Normal 2 5 5 2 2" xfId="3871"/>
    <cellStyle name="Normal 2 5 5 3" xfId="3872"/>
    <cellStyle name="Normal 2 5 50" xfId="3873"/>
    <cellStyle name="Normal 2 5 50 2" xfId="3874"/>
    <cellStyle name="Normal 2 5 50 2 2" xfId="3875"/>
    <cellStyle name="Normal 2 5 50 3" xfId="3876"/>
    <cellStyle name="Normal 2 5 51" xfId="3877"/>
    <cellStyle name="Normal 2 5 51 2" xfId="3878"/>
    <cellStyle name="Normal 2 5 51 2 2" xfId="3879"/>
    <cellStyle name="Normal 2 5 51 3" xfId="3880"/>
    <cellStyle name="Normal 2 5 52" xfId="3881"/>
    <cellStyle name="Normal 2 5 52 2" xfId="3882"/>
    <cellStyle name="Normal 2 5 52 2 2" xfId="3883"/>
    <cellStyle name="Normal 2 5 52 3" xfId="3884"/>
    <cellStyle name="Normal 2 5 53" xfId="3885"/>
    <cellStyle name="Normal 2 5 53 2" xfId="3886"/>
    <cellStyle name="Normal 2 5 53 2 2" xfId="3887"/>
    <cellStyle name="Normal 2 5 53 3" xfId="3888"/>
    <cellStyle name="Normal 2 5 54" xfId="3889"/>
    <cellStyle name="Normal 2 5 54 2" xfId="3890"/>
    <cellStyle name="Normal 2 5 54 2 2" xfId="3891"/>
    <cellStyle name="Normal 2 5 54 3" xfId="3892"/>
    <cellStyle name="Normal 2 5 55" xfId="3893"/>
    <cellStyle name="Normal 2 5 55 2" xfId="3894"/>
    <cellStyle name="Normal 2 5 55 2 2" xfId="3895"/>
    <cellStyle name="Normal 2 5 55 3" xfId="3896"/>
    <cellStyle name="Normal 2 5 56" xfId="3897"/>
    <cellStyle name="Normal 2 5 56 2" xfId="3898"/>
    <cellStyle name="Normal 2 5 56 2 2" xfId="3899"/>
    <cellStyle name="Normal 2 5 56 3" xfId="3900"/>
    <cellStyle name="Normal 2 5 57" xfId="3901"/>
    <cellStyle name="Normal 2 5 57 2" xfId="3902"/>
    <cellStyle name="Normal 2 5 57 2 2" xfId="3903"/>
    <cellStyle name="Normal 2 5 57 3" xfId="3904"/>
    <cellStyle name="Normal 2 5 58" xfId="3905"/>
    <cellStyle name="Normal 2 5 58 2" xfId="3906"/>
    <cellStyle name="Normal 2 5 58 2 2" xfId="3907"/>
    <cellStyle name="Normal 2 5 58 3" xfId="3908"/>
    <cellStyle name="Normal 2 5 59" xfId="3909"/>
    <cellStyle name="Normal 2 5 59 2" xfId="3910"/>
    <cellStyle name="Normal 2 5 59 2 2" xfId="3911"/>
    <cellStyle name="Normal 2 5 59 3" xfId="3912"/>
    <cellStyle name="Normal 2 5 6" xfId="3913"/>
    <cellStyle name="Normal 2 5 6 2" xfId="3914"/>
    <cellStyle name="Normal 2 5 6 2 2" xfId="3915"/>
    <cellStyle name="Normal 2 5 6 3" xfId="3916"/>
    <cellStyle name="Normal 2 5 60" xfId="3917"/>
    <cellStyle name="Normal 2 5 60 2" xfId="3918"/>
    <cellStyle name="Normal 2 5 60 2 2" xfId="3919"/>
    <cellStyle name="Normal 2 5 60 3" xfId="3920"/>
    <cellStyle name="Normal 2 5 61" xfId="3921"/>
    <cellStyle name="Normal 2 5 61 2" xfId="3922"/>
    <cellStyle name="Normal 2 5 61 2 2" xfId="3923"/>
    <cellStyle name="Normal 2 5 61 3" xfId="3924"/>
    <cellStyle name="Normal 2 5 62" xfId="3925"/>
    <cellStyle name="Normal 2 5 62 2" xfId="3926"/>
    <cellStyle name="Normal 2 5 62 2 2" xfId="3927"/>
    <cellStyle name="Normal 2 5 62 3" xfId="3928"/>
    <cellStyle name="Normal 2 5 63" xfId="3929"/>
    <cellStyle name="Normal 2 5 63 2" xfId="3930"/>
    <cellStyle name="Normal 2 5 63 2 2" xfId="3931"/>
    <cellStyle name="Normal 2 5 63 3" xfId="3932"/>
    <cellStyle name="Normal 2 5 64" xfId="3933"/>
    <cellStyle name="Normal 2 5 64 2" xfId="3934"/>
    <cellStyle name="Normal 2 5 64 2 2" xfId="3935"/>
    <cellStyle name="Normal 2 5 64 3" xfId="3936"/>
    <cellStyle name="Normal 2 5 65" xfId="3937"/>
    <cellStyle name="Normal 2 5 65 2" xfId="3938"/>
    <cellStyle name="Normal 2 5 65 2 2" xfId="3939"/>
    <cellStyle name="Normal 2 5 65 3" xfId="3940"/>
    <cellStyle name="Normal 2 5 66" xfId="3941"/>
    <cellStyle name="Normal 2 5 66 2" xfId="3942"/>
    <cellStyle name="Normal 2 5 66 2 2" xfId="3943"/>
    <cellStyle name="Normal 2 5 66 3" xfId="3944"/>
    <cellStyle name="Normal 2 5 67" xfId="3945"/>
    <cellStyle name="Normal 2 5 67 2" xfId="3946"/>
    <cellStyle name="Normal 2 5 67 2 2" xfId="3947"/>
    <cellStyle name="Normal 2 5 67 3" xfId="3948"/>
    <cellStyle name="Normal 2 5 68" xfId="3949"/>
    <cellStyle name="Normal 2 5 68 2" xfId="3950"/>
    <cellStyle name="Normal 2 5 68 2 2" xfId="3951"/>
    <cellStyle name="Normal 2 5 68 3" xfId="3952"/>
    <cellStyle name="Normal 2 5 69" xfId="3953"/>
    <cellStyle name="Normal 2 5 69 2" xfId="3954"/>
    <cellStyle name="Normal 2 5 69 2 2" xfId="3955"/>
    <cellStyle name="Normal 2 5 69 3" xfId="3956"/>
    <cellStyle name="Normal 2 5 7" xfId="3957"/>
    <cellStyle name="Normal 2 5 7 2" xfId="3958"/>
    <cellStyle name="Normal 2 5 7 2 2" xfId="3959"/>
    <cellStyle name="Normal 2 5 7 3" xfId="3960"/>
    <cellStyle name="Normal 2 5 70" xfId="3961"/>
    <cellStyle name="Normal 2 5 70 2" xfId="3962"/>
    <cellStyle name="Normal 2 5 70 2 2" xfId="3963"/>
    <cellStyle name="Normal 2 5 70 3" xfId="3964"/>
    <cellStyle name="Normal 2 5 71" xfId="3965"/>
    <cellStyle name="Normal 2 5 71 2" xfId="3966"/>
    <cellStyle name="Normal 2 5 71 2 2" xfId="3967"/>
    <cellStyle name="Normal 2 5 71 3" xfId="3968"/>
    <cellStyle name="Normal 2 5 72" xfId="3969"/>
    <cellStyle name="Normal 2 5 72 2" xfId="3970"/>
    <cellStyle name="Normal 2 5 72 2 2" xfId="3971"/>
    <cellStyle name="Normal 2 5 72 3" xfId="3972"/>
    <cellStyle name="Normal 2 5 73" xfId="3973"/>
    <cellStyle name="Normal 2 5 73 2" xfId="3974"/>
    <cellStyle name="Normal 2 5 73 2 2" xfId="3975"/>
    <cellStyle name="Normal 2 5 73 3" xfId="3976"/>
    <cellStyle name="Normal 2 5 74" xfId="3977"/>
    <cellStyle name="Normal 2 5 74 2" xfId="3978"/>
    <cellStyle name="Normal 2 5 74 2 2" xfId="3979"/>
    <cellStyle name="Normal 2 5 74 3" xfId="3980"/>
    <cellStyle name="Normal 2 5 75" xfId="3981"/>
    <cellStyle name="Normal 2 5 75 2" xfId="3982"/>
    <cellStyle name="Normal 2 5 75 2 2" xfId="3983"/>
    <cellStyle name="Normal 2 5 75 3" xfId="3984"/>
    <cellStyle name="Normal 2 5 76" xfId="3985"/>
    <cellStyle name="Normal 2 5 76 2" xfId="3986"/>
    <cellStyle name="Normal 2 5 76 2 2" xfId="3987"/>
    <cellStyle name="Normal 2 5 76 3" xfId="3988"/>
    <cellStyle name="Normal 2 5 77" xfId="3989"/>
    <cellStyle name="Normal 2 5 77 2" xfId="3990"/>
    <cellStyle name="Normal 2 5 77 2 2" xfId="3991"/>
    <cellStyle name="Normal 2 5 77 3" xfId="3992"/>
    <cellStyle name="Normal 2 5 78" xfId="3993"/>
    <cellStyle name="Normal 2 5 78 2" xfId="3994"/>
    <cellStyle name="Normal 2 5 78 2 2" xfId="3995"/>
    <cellStyle name="Normal 2 5 78 3" xfId="3996"/>
    <cellStyle name="Normal 2 5 79" xfId="3997"/>
    <cellStyle name="Normal 2 5 79 2" xfId="3998"/>
    <cellStyle name="Normal 2 5 79 2 2" xfId="3999"/>
    <cellStyle name="Normal 2 5 79 3" xfId="4000"/>
    <cellStyle name="Normal 2 5 8" xfId="4001"/>
    <cellStyle name="Normal 2 5 8 2" xfId="4002"/>
    <cellStyle name="Normal 2 5 8 2 2" xfId="4003"/>
    <cellStyle name="Normal 2 5 8 3" xfId="4004"/>
    <cellStyle name="Normal 2 5 80" xfId="4005"/>
    <cellStyle name="Normal 2 5 80 2" xfId="4006"/>
    <cellStyle name="Normal 2 5 80 2 2" xfId="4007"/>
    <cellStyle name="Normal 2 5 80 3" xfId="4008"/>
    <cellStyle name="Normal 2 5 81" xfId="4009"/>
    <cellStyle name="Normal 2 5 81 2" xfId="4010"/>
    <cellStyle name="Normal 2 5 81 2 2" xfId="4011"/>
    <cellStyle name="Normal 2 5 81 3" xfId="4012"/>
    <cellStyle name="Normal 2 5 82" xfId="4013"/>
    <cellStyle name="Normal 2 5 82 2" xfId="4014"/>
    <cellStyle name="Normal 2 5 82 2 2" xfId="4015"/>
    <cellStyle name="Normal 2 5 82 3" xfId="4016"/>
    <cellStyle name="Normal 2 5 83" xfId="4017"/>
    <cellStyle name="Normal 2 5 83 2" xfId="4018"/>
    <cellStyle name="Normal 2 5 83 2 2" xfId="4019"/>
    <cellStyle name="Normal 2 5 83 3" xfId="4020"/>
    <cellStyle name="Normal 2 5 84" xfId="4021"/>
    <cellStyle name="Normal 2 5 84 2" xfId="4022"/>
    <cellStyle name="Normal 2 5 84 2 2" xfId="4023"/>
    <cellStyle name="Normal 2 5 84 3" xfId="4024"/>
    <cellStyle name="Normal 2 5 85" xfId="4025"/>
    <cellStyle name="Normal 2 5 85 2" xfId="4026"/>
    <cellStyle name="Normal 2 5 85 2 2" xfId="4027"/>
    <cellStyle name="Normal 2 5 85 3" xfId="4028"/>
    <cellStyle name="Normal 2 5 86" xfId="4029"/>
    <cellStyle name="Normal 2 5 86 2" xfId="4030"/>
    <cellStyle name="Normal 2 5 86 2 2" xfId="4031"/>
    <cellStyle name="Normal 2 5 86 3" xfId="4032"/>
    <cellStyle name="Normal 2 5 87" xfId="4033"/>
    <cellStyle name="Normal 2 5 87 2" xfId="4034"/>
    <cellStyle name="Normal 2 5 87 2 2" xfId="4035"/>
    <cellStyle name="Normal 2 5 87 3" xfId="4036"/>
    <cellStyle name="Normal 2 5 88" xfId="4037"/>
    <cellStyle name="Normal 2 5 89" xfId="4038"/>
    <cellStyle name="Normal 2 5 89 2" xfId="4039"/>
    <cellStyle name="Normal 2 5 9" xfId="4040"/>
    <cellStyle name="Normal 2 5 9 2" xfId="4041"/>
    <cellStyle name="Normal 2 5 9 2 2" xfId="4042"/>
    <cellStyle name="Normal 2 5 9 3" xfId="4043"/>
    <cellStyle name="Normal 2 5 90" xfId="4044"/>
    <cellStyle name="Normal 2 5_DEER 032008 Cost Summary Delivery - Rev 4 (2)" xfId="4045"/>
    <cellStyle name="Normal 2 50" xfId="4046"/>
    <cellStyle name="Normal 2 50 2" xfId="4047"/>
    <cellStyle name="Normal 2 50 2 2" xfId="4048"/>
    <cellStyle name="Normal 2 50 3" xfId="4049"/>
    <cellStyle name="Normal 2 51" xfId="4050"/>
    <cellStyle name="Normal 2 51 2" xfId="4051"/>
    <cellStyle name="Normal 2 51 2 2" xfId="4052"/>
    <cellStyle name="Normal 2 51 3" xfId="4053"/>
    <cellStyle name="Normal 2 52" xfId="4054"/>
    <cellStyle name="Normal 2 52 2" xfId="4055"/>
    <cellStyle name="Normal 2 52 2 2" xfId="4056"/>
    <cellStyle name="Normal 2 52 3" xfId="4057"/>
    <cellStyle name="Normal 2 53" xfId="4058"/>
    <cellStyle name="Normal 2 53 2" xfId="4059"/>
    <cellStyle name="Normal 2 53 2 2" xfId="4060"/>
    <cellStyle name="Normal 2 53 3" xfId="4061"/>
    <cellStyle name="Normal 2 54" xfId="4062"/>
    <cellStyle name="Normal 2 54 2" xfId="4063"/>
    <cellStyle name="Normal 2 54 2 2" xfId="4064"/>
    <cellStyle name="Normal 2 54 3" xfId="4065"/>
    <cellStyle name="Normal 2 55" xfId="4066"/>
    <cellStyle name="Normal 2 55 2" xfId="4067"/>
    <cellStyle name="Normal 2 55 2 2" xfId="4068"/>
    <cellStyle name="Normal 2 55 3" xfId="4069"/>
    <cellStyle name="Normal 2 56" xfId="4070"/>
    <cellStyle name="Normal 2 56 2" xfId="4071"/>
    <cellStyle name="Normal 2 56 2 2" xfId="4072"/>
    <cellStyle name="Normal 2 56 3" xfId="4073"/>
    <cellStyle name="Normal 2 57" xfId="4074"/>
    <cellStyle name="Normal 2 57 2" xfId="4075"/>
    <cellStyle name="Normal 2 57 2 2" xfId="4076"/>
    <cellStyle name="Normal 2 57 3" xfId="4077"/>
    <cellStyle name="Normal 2 58" xfId="4078"/>
    <cellStyle name="Normal 2 58 2" xfId="4079"/>
    <cellStyle name="Normal 2 58 2 2" xfId="4080"/>
    <cellStyle name="Normal 2 58 3" xfId="4081"/>
    <cellStyle name="Normal 2 59" xfId="4082"/>
    <cellStyle name="Normal 2 59 2" xfId="4083"/>
    <cellStyle name="Normal 2 59 2 2" xfId="4084"/>
    <cellStyle name="Normal 2 59 3" xfId="4085"/>
    <cellStyle name="Normal 2 6" xfId="240"/>
    <cellStyle name="Normal 2 6 2" xfId="241"/>
    <cellStyle name="Normal 2 6 2 2" xfId="242"/>
    <cellStyle name="Normal 2 6 2 3" xfId="243"/>
    <cellStyle name="Normal 2 6 3" xfId="244"/>
    <cellStyle name="Normal 2 6 3 2" xfId="245"/>
    <cellStyle name="Normal 2 6 4" xfId="246"/>
    <cellStyle name="Normal 2 6 4 2" xfId="247"/>
    <cellStyle name="Normal 2 6 5" xfId="248"/>
    <cellStyle name="Normal 2 6 6" xfId="249"/>
    <cellStyle name="Normal 2 60" xfId="4086"/>
    <cellStyle name="Normal 2 60 2" xfId="4087"/>
    <cellStyle name="Normal 2 60 2 2" xfId="4088"/>
    <cellStyle name="Normal 2 60 3" xfId="4089"/>
    <cellStyle name="Normal 2 61" xfId="4090"/>
    <cellStyle name="Normal 2 61 2" xfId="4091"/>
    <cellStyle name="Normal 2 61 2 2" xfId="4092"/>
    <cellStyle name="Normal 2 61 3" xfId="4093"/>
    <cellStyle name="Normal 2 62" xfId="4094"/>
    <cellStyle name="Normal 2 62 2" xfId="4095"/>
    <cellStyle name="Normal 2 62 2 2" xfId="4096"/>
    <cellStyle name="Normal 2 62 3" xfId="4097"/>
    <cellStyle name="Normal 2 63" xfId="4098"/>
    <cellStyle name="Normal 2 63 2" xfId="4099"/>
    <cellStyle name="Normal 2 63 2 2" xfId="4100"/>
    <cellStyle name="Normal 2 63 3" xfId="4101"/>
    <cellStyle name="Normal 2 64" xfId="4102"/>
    <cellStyle name="Normal 2 64 2" xfId="4103"/>
    <cellStyle name="Normal 2 64 2 2" xfId="4104"/>
    <cellStyle name="Normal 2 64 3" xfId="4105"/>
    <cellStyle name="Normal 2 65" xfId="4106"/>
    <cellStyle name="Normal 2 65 2" xfId="4107"/>
    <cellStyle name="Normal 2 65 2 2" xfId="4108"/>
    <cellStyle name="Normal 2 65 3" xfId="4109"/>
    <cellStyle name="Normal 2 66" xfId="4110"/>
    <cellStyle name="Normal 2 66 2" xfId="4111"/>
    <cellStyle name="Normal 2 66 2 2" xfId="4112"/>
    <cellStyle name="Normal 2 66 3" xfId="4113"/>
    <cellStyle name="Normal 2 67" xfId="4114"/>
    <cellStyle name="Normal 2 67 2" xfId="4115"/>
    <cellStyle name="Normal 2 67 2 2" xfId="4116"/>
    <cellStyle name="Normal 2 67 3" xfId="4117"/>
    <cellStyle name="Normal 2 68" xfId="4118"/>
    <cellStyle name="Normal 2 68 2" xfId="4119"/>
    <cellStyle name="Normal 2 68 2 2" xfId="4120"/>
    <cellStyle name="Normal 2 68 3" xfId="4121"/>
    <cellStyle name="Normal 2 69" xfId="4122"/>
    <cellStyle name="Normal 2 69 2" xfId="4123"/>
    <cellStyle name="Normal 2 69 2 2" xfId="4124"/>
    <cellStyle name="Normal 2 69 3" xfId="4125"/>
    <cellStyle name="Normal 2 7" xfId="250"/>
    <cellStyle name="Normal 2 7 2" xfId="251"/>
    <cellStyle name="Normal 2 7 2 2" xfId="252"/>
    <cellStyle name="Normal 2 7 3" xfId="253"/>
    <cellStyle name="Normal 2 7 4" xfId="4126"/>
    <cellStyle name="Normal 2 7 5" xfId="4127"/>
    <cellStyle name="Normal 2 70" xfId="4128"/>
    <cellStyle name="Normal 2 70 2" xfId="4129"/>
    <cellStyle name="Normal 2 70 2 2" xfId="4130"/>
    <cellStyle name="Normal 2 70 3" xfId="4131"/>
    <cellStyle name="Normal 2 71" xfId="4132"/>
    <cellStyle name="Normal 2 71 2" xfId="4133"/>
    <cellStyle name="Normal 2 71 2 2" xfId="4134"/>
    <cellStyle name="Normal 2 71 3" xfId="4135"/>
    <cellStyle name="Normal 2 72" xfId="4136"/>
    <cellStyle name="Normal 2 72 2" xfId="4137"/>
    <cellStyle name="Normal 2 72 2 2" xfId="4138"/>
    <cellStyle name="Normal 2 72 3" xfId="4139"/>
    <cellStyle name="Normal 2 73" xfId="4140"/>
    <cellStyle name="Normal 2 73 2" xfId="4141"/>
    <cellStyle name="Normal 2 73 2 2" xfId="4142"/>
    <cellStyle name="Normal 2 73 3" xfId="4143"/>
    <cellStyle name="Normal 2 74" xfId="4144"/>
    <cellStyle name="Normal 2 74 2" xfId="4145"/>
    <cellStyle name="Normal 2 74 2 2" xfId="4146"/>
    <cellStyle name="Normal 2 74 3" xfId="4147"/>
    <cellStyle name="Normal 2 75" xfId="4148"/>
    <cellStyle name="Normal 2 75 2" xfId="4149"/>
    <cellStyle name="Normal 2 75 2 2" xfId="4150"/>
    <cellStyle name="Normal 2 75 3" xfId="4151"/>
    <cellStyle name="Normal 2 76" xfId="4152"/>
    <cellStyle name="Normal 2 76 2" xfId="4153"/>
    <cellStyle name="Normal 2 76 2 2" xfId="4154"/>
    <cellStyle name="Normal 2 76 3" xfId="4155"/>
    <cellStyle name="Normal 2 77" xfId="4156"/>
    <cellStyle name="Normal 2 77 2" xfId="4157"/>
    <cellStyle name="Normal 2 77 2 2" xfId="4158"/>
    <cellStyle name="Normal 2 77 3" xfId="4159"/>
    <cellStyle name="Normal 2 78" xfId="4160"/>
    <cellStyle name="Normal 2 78 2" xfId="4161"/>
    <cellStyle name="Normal 2 78 2 2" xfId="4162"/>
    <cellStyle name="Normal 2 78 3" xfId="4163"/>
    <cellStyle name="Normal 2 79" xfId="4164"/>
    <cellStyle name="Normal 2 79 2" xfId="4165"/>
    <cellStyle name="Normal 2 79 2 2" xfId="4166"/>
    <cellStyle name="Normal 2 79 3" xfId="4167"/>
    <cellStyle name="Normal 2 8" xfId="254"/>
    <cellStyle name="Normal 2 8 10" xfId="4168"/>
    <cellStyle name="Normal 2 8 10 2" xfId="4169"/>
    <cellStyle name="Normal 2 8 10 2 2" xfId="4170"/>
    <cellStyle name="Normal 2 8 10 3" xfId="4171"/>
    <cellStyle name="Normal 2 8 11" xfId="4172"/>
    <cellStyle name="Normal 2 8 11 2" xfId="4173"/>
    <cellStyle name="Normal 2 8 11 2 2" xfId="4174"/>
    <cellStyle name="Normal 2 8 11 3" xfId="4175"/>
    <cellStyle name="Normal 2 8 12" xfId="4176"/>
    <cellStyle name="Normal 2 8 12 2" xfId="4177"/>
    <cellStyle name="Normal 2 8 12 2 2" xfId="4178"/>
    <cellStyle name="Normal 2 8 12 3" xfId="4179"/>
    <cellStyle name="Normal 2 8 13" xfId="4180"/>
    <cellStyle name="Normal 2 8 13 2" xfId="4181"/>
    <cellStyle name="Normal 2 8 13 2 2" xfId="4182"/>
    <cellStyle name="Normal 2 8 13 3" xfId="4183"/>
    <cellStyle name="Normal 2 8 14" xfId="4184"/>
    <cellStyle name="Normal 2 8 14 2" xfId="4185"/>
    <cellStyle name="Normal 2 8 14 2 2" xfId="4186"/>
    <cellStyle name="Normal 2 8 14 3" xfId="4187"/>
    <cellStyle name="Normal 2 8 15" xfId="4188"/>
    <cellStyle name="Normal 2 8 15 2" xfId="4189"/>
    <cellStyle name="Normal 2 8 15 2 2" xfId="4190"/>
    <cellStyle name="Normal 2 8 15 3" xfId="4191"/>
    <cellStyle name="Normal 2 8 16" xfId="4192"/>
    <cellStyle name="Normal 2 8 16 2" xfId="4193"/>
    <cellStyle name="Normal 2 8 16 2 2" xfId="4194"/>
    <cellStyle name="Normal 2 8 16 3" xfId="4195"/>
    <cellStyle name="Normal 2 8 17" xfId="4196"/>
    <cellStyle name="Normal 2 8 17 2" xfId="4197"/>
    <cellStyle name="Normal 2 8 17 2 2" xfId="4198"/>
    <cellStyle name="Normal 2 8 17 3" xfId="4199"/>
    <cellStyle name="Normal 2 8 18" xfId="4200"/>
    <cellStyle name="Normal 2 8 18 2" xfId="4201"/>
    <cellStyle name="Normal 2 8 18 2 2" xfId="4202"/>
    <cellStyle name="Normal 2 8 18 3" xfId="4203"/>
    <cellStyle name="Normal 2 8 19" xfId="4204"/>
    <cellStyle name="Normal 2 8 19 2" xfId="4205"/>
    <cellStyle name="Normal 2 8 19 2 2" xfId="4206"/>
    <cellStyle name="Normal 2 8 19 3" xfId="4207"/>
    <cellStyle name="Normal 2 8 2" xfId="451"/>
    <cellStyle name="Normal 2 8 2 2" xfId="4208"/>
    <cellStyle name="Normal 2 8 2 2 2" xfId="4209"/>
    <cellStyle name="Normal 2 8 2 3" xfId="4210"/>
    <cellStyle name="Normal 2 8 20" xfId="4211"/>
    <cellStyle name="Normal 2 8 20 2" xfId="4212"/>
    <cellStyle name="Normal 2 8 20 2 2" xfId="4213"/>
    <cellStyle name="Normal 2 8 20 3" xfId="4214"/>
    <cellStyle name="Normal 2 8 21" xfId="4215"/>
    <cellStyle name="Normal 2 8 21 2" xfId="4216"/>
    <cellStyle name="Normal 2 8 21 2 2" xfId="4217"/>
    <cellStyle name="Normal 2 8 21 3" xfId="4218"/>
    <cellStyle name="Normal 2 8 22" xfId="4219"/>
    <cellStyle name="Normal 2 8 22 2" xfId="4220"/>
    <cellStyle name="Normal 2 8 22 2 2" xfId="4221"/>
    <cellStyle name="Normal 2 8 22 3" xfId="4222"/>
    <cellStyle name="Normal 2 8 23" xfId="4223"/>
    <cellStyle name="Normal 2 8 23 2" xfId="4224"/>
    <cellStyle name="Normal 2 8 23 2 2" xfId="4225"/>
    <cellStyle name="Normal 2 8 23 3" xfId="4226"/>
    <cellStyle name="Normal 2 8 24" xfId="4227"/>
    <cellStyle name="Normal 2 8 24 2" xfId="4228"/>
    <cellStyle name="Normal 2 8 25" xfId="4229"/>
    <cellStyle name="Normal 2 8 3" xfId="4230"/>
    <cellStyle name="Normal 2 8 3 2" xfId="4231"/>
    <cellStyle name="Normal 2 8 3 2 2" xfId="4232"/>
    <cellStyle name="Normal 2 8 3 3" xfId="4233"/>
    <cellStyle name="Normal 2 8 4" xfId="4234"/>
    <cellStyle name="Normal 2 8 4 2" xfId="4235"/>
    <cellStyle name="Normal 2 8 4 2 2" xfId="4236"/>
    <cellStyle name="Normal 2 8 4 3" xfId="4237"/>
    <cellStyle name="Normal 2 8 5" xfId="4238"/>
    <cellStyle name="Normal 2 8 5 2" xfId="4239"/>
    <cellStyle name="Normal 2 8 5 2 2" xfId="4240"/>
    <cellStyle name="Normal 2 8 5 3" xfId="4241"/>
    <cellStyle name="Normal 2 8 6" xfId="4242"/>
    <cellStyle name="Normal 2 8 6 2" xfId="4243"/>
    <cellStyle name="Normal 2 8 6 2 2" xfId="4244"/>
    <cellStyle name="Normal 2 8 6 3" xfId="4245"/>
    <cellStyle name="Normal 2 8 7" xfId="4246"/>
    <cellStyle name="Normal 2 8 7 2" xfId="4247"/>
    <cellStyle name="Normal 2 8 7 2 2" xfId="4248"/>
    <cellStyle name="Normal 2 8 7 3" xfId="4249"/>
    <cellStyle name="Normal 2 8 8" xfId="4250"/>
    <cellStyle name="Normal 2 8 8 2" xfId="4251"/>
    <cellStyle name="Normal 2 8 8 2 2" xfId="4252"/>
    <cellStyle name="Normal 2 8 8 3" xfId="4253"/>
    <cellStyle name="Normal 2 8 9" xfId="4254"/>
    <cellStyle name="Normal 2 8 9 2" xfId="4255"/>
    <cellStyle name="Normal 2 8 9 2 2" xfId="4256"/>
    <cellStyle name="Normal 2 8 9 3" xfId="4257"/>
    <cellStyle name="Normal 2 80" xfId="4258"/>
    <cellStyle name="Normal 2 80 2" xfId="4259"/>
    <cellStyle name="Normal 2 80 2 2" xfId="4260"/>
    <cellStyle name="Normal 2 80 3" xfId="4261"/>
    <cellStyle name="Normal 2 81" xfId="4262"/>
    <cellStyle name="Normal 2 81 2" xfId="4263"/>
    <cellStyle name="Normal 2 81 2 2" xfId="4264"/>
    <cellStyle name="Normal 2 81 3" xfId="4265"/>
    <cellStyle name="Normal 2 82" xfId="4266"/>
    <cellStyle name="Normal 2 82 2" xfId="4267"/>
    <cellStyle name="Normal 2 82 2 2" xfId="4268"/>
    <cellStyle name="Normal 2 82 3" xfId="4269"/>
    <cellStyle name="Normal 2 83" xfId="4270"/>
    <cellStyle name="Normal 2 83 2" xfId="4271"/>
    <cellStyle name="Normal 2 83 2 2" xfId="4272"/>
    <cellStyle name="Normal 2 83 3" xfId="4273"/>
    <cellStyle name="Normal 2 84" xfId="4274"/>
    <cellStyle name="Normal 2 84 2" xfId="4275"/>
    <cellStyle name="Normal 2 84 2 2" xfId="4276"/>
    <cellStyle name="Normal 2 84 3" xfId="4277"/>
    <cellStyle name="Normal 2 85" xfId="4278"/>
    <cellStyle name="Normal 2 85 2" xfId="4279"/>
    <cellStyle name="Normal 2 85 2 2" xfId="4280"/>
    <cellStyle name="Normal 2 85 3" xfId="4281"/>
    <cellStyle name="Normal 2 86" xfId="4282"/>
    <cellStyle name="Normal 2 86 2" xfId="4283"/>
    <cellStyle name="Normal 2 86 2 2" xfId="4284"/>
    <cellStyle name="Normal 2 86 3" xfId="4285"/>
    <cellStyle name="Normal 2 87" xfId="4286"/>
    <cellStyle name="Normal 2 87 2" xfId="4287"/>
    <cellStyle name="Normal 2 87 2 2" xfId="4288"/>
    <cellStyle name="Normal 2 87 3" xfId="4289"/>
    <cellStyle name="Normal 2 88" xfId="4290"/>
    <cellStyle name="Normal 2 88 2" xfId="4291"/>
    <cellStyle name="Normal 2 88 2 2" xfId="4292"/>
    <cellStyle name="Normal 2 88 3" xfId="4293"/>
    <cellStyle name="Normal 2 89" xfId="4294"/>
    <cellStyle name="Normal 2 89 2" xfId="4295"/>
    <cellStyle name="Normal 2 89 2 2" xfId="4296"/>
    <cellStyle name="Normal 2 89 3" xfId="4297"/>
    <cellStyle name="Normal 2 9" xfId="255"/>
    <cellStyle name="Normal 2 9 10" xfId="4298"/>
    <cellStyle name="Normal 2 9 10 2" xfId="4299"/>
    <cellStyle name="Normal 2 9 10 2 2" xfId="4300"/>
    <cellStyle name="Normal 2 9 10 3" xfId="4301"/>
    <cellStyle name="Normal 2 9 11" xfId="4302"/>
    <cellStyle name="Normal 2 9 11 2" xfId="4303"/>
    <cellStyle name="Normal 2 9 11 2 2" xfId="4304"/>
    <cellStyle name="Normal 2 9 11 3" xfId="4305"/>
    <cellStyle name="Normal 2 9 12" xfId="4306"/>
    <cellStyle name="Normal 2 9 12 2" xfId="4307"/>
    <cellStyle name="Normal 2 9 12 2 2" xfId="4308"/>
    <cellStyle name="Normal 2 9 12 3" xfId="4309"/>
    <cellStyle name="Normal 2 9 13" xfId="4310"/>
    <cellStyle name="Normal 2 9 13 2" xfId="4311"/>
    <cellStyle name="Normal 2 9 13 2 2" xfId="4312"/>
    <cellStyle name="Normal 2 9 13 3" xfId="4313"/>
    <cellStyle name="Normal 2 9 14" xfId="4314"/>
    <cellStyle name="Normal 2 9 14 2" xfId="4315"/>
    <cellStyle name="Normal 2 9 14 2 2" xfId="4316"/>
    <cellStyle name="Normal 2 9 14 3" xfId="4317"/>
    <cellStyle name="Normal 2 9 15" xfId="4318"/>
    <cellStyle name="Normal 2 9 15 2" xfId="4319"/>
    <cellStyle name="Normal 2 9 15 2 2" xfId="4320"/>
    <cellStyle name="Normal 2 9 15 3" xfId="4321"/>
    <cellStyle name="Normal 2 9 16" xfId="4322"/>
    <cellStyle name="Normal 2 9 16 2" xfId="4323"/>
    <cellStyle name="Normal 2 9 16 2 2" xfId="4324"/>
    <cellStyle name="Normal 2 9 16 3" xfId="4325"/>
    <cellStyle name="Normal 2 9 17" xfId="4326"/>
    <cellStyle name="Normal 2 9 17 2" xfId="4327"/>
    <cellStyle name="Normal 2 9 17 2 2" xfId="4328"/>
    <cellStyle name="Normal 2 9 17 3" xfId="4329"/>
    <cellStyle name="Normal 2 9 18" xfId="4330"/>
    <cellStyle name="Normal 2 9 18 2" xfId="4331"/>
    <cellStyle name="Normal 2 9 18 2 2" xfId="4332"/>
    <cellStyle name="Normal 2 9 18 3" xfId="4333"/>
    <cellStyle name="Normal 2 9 19" xfId="4334"/>
    <cellStyle name="Normal 2 9 19 2" xfId="4335"/>
    <cellStyle name="Normal 2 9 19 2 2" xfId="4336"/>
    <cellStyle name="Normal 2 9 19 3" xfId="4337"/>
    <cellStyle name="Normal 2 9 2" xfId="452"/>
    <cellStyle name="Normal 2 9 2 2" xfId="4338"/>
    <cellStyle name="Normal 2 9 2 2 2" xfId="4339"/>
    <cellStyle name="Normal 2 9 2 3" xfId="4340"/>
    <cellStyle name="Normal 2 9 20" xfId="4341"/>
    <cellStyle name="Normal 2 9 20 2" xfId="4342"/>
    <cellStyle name="Normal 2 9 20 2 2" xfId="4343"/>
    <cellStyle name="Normal 2 9 20 3" xfId="4344"/>
    <cellStyle name="Normal 2 9 21" xfId="4345"/>
    <cellStyle name="Normal 2 9 21 2" xfId="4346"/>
    <cellStyle name="Normal 2 9 21 2 2" xfId="4347"/>
    <cellStyle name="Normal 2 9 21 3" xfId="4348"/>
    <cellStyle name="Normal 2 9 22" xfId="4349"/>
    <cellStyle name="Normal 2 9 22 2" xfId="4350"/>
    <cellStyle name="Normal 2 9 22 2 2" xfId="4351"/>
    <cellStyle name="Normal 2 9 22 3" xfId="4352"/>
    <cellStyle name="Normal 2 9 23" xfId="4353"/>
    <cellStyle name="Normal 2 9 23 2" xfId="4354"/>
    <cellStyle name="Normal 2 9 23 2 2" xfId="4355"/>
    <cellStyle name="Normal 2 9 23 3" xfId="4356"/>
    <cellStyle name="Normal 2 9 24" xfId="4357"/>
    <cellStyle name="Normal 2 9 24 2" xfId="4358"/>
    <cellStyle name="Normal 2 9 25" xfId="4359"/>
    <cellStyle name="Normal 2 9 3" xfId="4360"/>
    <cellStyle name="Normal 2 9 3 2" xfId="4361"/>
    <cellStyle name="Normal 2 9 3 2 2" xfId="4362"/>
    <cellStyle name="Normal 2 9 3 3" xfId="4363"/>
    <cellStyle name="Normal 2 9 4" xfId="4364"/>
    <cellStyle name="Normal 2 9 4 2" xfId="4365"/>
    <cellStyle name="Normal 2 9 4 2 2" xfId="4366"/>
    <cellStyle name="Normal 2 9 4 3" xfId="4367"/>
    <cellStyle name="Normal 2 9 5" xfId="4368"/>
    <cellStyle name="Normal 2 9 5 2" xfId="4369"/>
    <cellStyle name="Normal 2 9 5 2 2" xfId="4370"/>
    <cellStyle name="Normal 2 9 5 3" xfId="4371"/>
    <cellStyle name="Normal 2 9 6" xfId="4372"/>
    <cellStyle name="Normal 2 9 6 2" xfId="4373"/>
    <cellStyle name="Normal 2 9 6 2 2" xfId="4374"/>
    <cellStyle name="Normal 2 9 6 3" xfId="4375"/>
    <cellStyle name="Normal 2 9 7" xfId="4376"/>
    <cellStyle name="Normal 2 9 7 2" xfId="4377"/>
    <cellStyle name="Normal 2 9 7 2 2" xfId="4378"/>
    <cellStyle name="Normal 2 9 7 3" xfId="4379"/>
    <cellStyle name="Normal 2 9 8" xfId="4380"/>
    <cellStyle name="Normal 2 9 8 2" xfId="4381"/>
    <cellStyle name="Normal 2 9 8 2 2" xfId="4382"/>
    <cellStyle name="Normal 2 9 8 3" xfId="4383"/>
    <cellStyle name="Normal 2 9 9" xfId="4384"/>
    <cellStyle name="Normal 2 9 9 2" xfId="4385"/>
    <cellStyle name="Normal 2 9 9 2 2" xfId="4386"/>
    <cellStyle name="Normal 2 9 9 3" xfId="4387"/>
    <cellStyle name="Normal 2 90" xfId="4388"/>
    <cellStyle name="Normal 2 90 2" xfId="4389"/>
    <cellStyle name="Normal 2 90 2 2" xfId="4390"/>
    <cellStyle name="Normal 2 90 3" xfId="4391"/>
    <cellStyle name="Normal 2 91" xfId="4392"/>
    <cellStyle name="Normal 2 91 2" xfId="4393"/>
    <cellStyle name="Normal 2 91 2 2" xfId="4394"/>
    <cellStyle name="Normal 2 91 3" xfId="4395"/>
    <cellStyle name="Normal 2 92" xfId="4396"/>
    <cellStyle name="Normal 2 92 2" xfId="4397"/>
    <cellStyle name="Normal 2 92 2 2" xfId="4398"/>
    <cellStyle name="Normal 2 92 3" xfId="4399"/>
    <cellStyle name="Normal 2 93" xfId="4400"/>
    <cellStyle name="Normal 2 93 2" xfId="4401"/>
    <cellStyle name="Normal 2 93 2 2" xfId="4402"/>
    <cellStyle name="Normal 2 93 3" xfId="4403"/>
    <cellStyle name="Normal 2 94" xfId="4404"/>
    <cellStyle name="Normal 2 94 2" xfId="4405"/>
    <cellStyle name="Normal 2 94 3" xfId="4406"/>
    <cellStyle name="Normal 2 95" xfId="4407"/>
    <cellStyle name="Normal 2 95 2" xfId="4408"/>
    <cellStyle name="Normal 2 95 3" xfId="4409"/>
    <cellStyle name="Normal 2 96" xfId="4410"/>
    <cellStyle name="Normal 2 96 2" xfId="4411"/>
    <cellStyle name="Normal 2 96 3" xfId="4412"/>
    <cellStyle name="Normal 2 97" xfId="4413"/>
    <cellStyle name="Normal 2 97 2" xfId="4414"/>
    <cellStyle name="Normal 2 97 3" xfId="4415"/>
    <cellStyle name="Normal 2 98" xfId="4416"/>
    <cellStyle name="Normal 2 98 2" xfId="4417"/>
    <cellStyle name="Normal 2 98 3" xfId="4418"/>
    <cellStyle name="Normal 2 99" xfId="4419"/>
    <cellStyle name="Normal 2 99 2" xfId="4420"/>
    <cellStyle name="Normal 2 99 3" xfId="4421"/>
    <cellStyle name="Normal 2_DEER 032008 Cost Summary Delivery - Rev 4 (2)" xfId="4422"/>
    <cellStyle name="Normal 20" xfId="256"/>
    <cellStyle name="Normal 21" xfId="257"/>
    <cellStyle name="Normal 22" xfId="258"/>
    <cellStyle name="Normal 23" xfId="259"/>
    <cellStyle name="Normal 24" xfId="260"/>
    <cellStyle name="Normal 24 2" xfId="4423"/>
    <cellStyle name="Normal 25" xfId="261"/>
    <cellStyle name="Normal 26" xfId="262"/>
    <cellStyle name="Normal 27" xfId="263"/>
    <cellStyle name="Normal 28" xfId="264"/>
    <cellStyle name="Normal 29" xfId="265"/>
    <cellStyle name="Normal 3" xfId="266"/>
    <cellStyle name="Normal 3 10" xfId="4424"/>
    <cellStyle name="Normal 3 10 10" xfId="4425"/>
    <cellStyle name="Normal 3 10 10 2" xfId="4426"/>
    <cellStyle name="Normal 3 10 10 2 2" xfId="4427"/>
    <cellStyle name="Normal 3 10 10 3" xfId="4428"/>
    <cellStyle name="Normal 3 10 11" xfId="4429"/>
    <cellStyle name="Normal 3 10 11 2" xfId="4430"/>
    <cellStyle name="Normal 3 10 11 2 2" xfId="4431"/>
    <cellStyle name="Normal 3 10 11 3" xfId="4432"/>
    <cellStyle name="Normal 3 10 12" xfId="4433"/>
    <cellStyle name="Normal 3 10 12 2" xfId="4434"/>
    <cellStyle name="Normal 3 10 12 2 2" xfId="4435"/>
    <cellStyle name="Normal 3 10 12 3" xfId="4436"/>
    <cellStyle name="Normal 3 10 13" xfId="4437"/>
    <cellStyle name="Normal 3 10 13 2" xfId="4438"/>
    <cellStyle name="Normal 3 10 13 2 2" xfId="4439"/>
    <cellStyle name="Normal 3 10 13 3" xfId="4440"/>
    <cellStyle name="Normal 3 10 14" xfId="4441"/>
    <cellStyle name="Normal 3 10 14 2" xfId="4442"/>
    <cellStyle name="Normal 3 10 14 2 2" xfId="4443"/>
    <cellStyle name="Normal 3 10 14 3" xfId="4444"/>
    <cellStyle name="Normal 3 10 15" xfId="4445"/>
    <cellStyle name="Normal 3 10 15 2" xfId="4446"/>
    <cellStyle name="Normal 3 10 15 2 2" xfId="4447"/>
    <cellStyle name="Normal 3 10 15 3" xfId="4448"/>
    <cellStyle name="Normal 3 10 16" xfId="4449"/>
    <cellStyle name="Normal 3 10 16 2" xfId="4450"/>
    <cellStyle name="Normal 3 10 16 2 2" xfId="4451"/>
    <cellStyle name="Normal 3 10 16 3" xfId="4452"/>
    <cellStyle name="Normal 3 10 17" xfId="4453"/>
    <cellStyle name="Normal 3 10 17 2" xfId="4454"/>
    <cellStyle name="Normal 3 10 17 2 2" xfId="4455"/>
    <cellStyle name="Normal 3 10 17 3" xfId="4456"/>
    <cellStyle name="Normal 3 10 18" xfId="4457"/>
    <cellStyle name="Normal 3 10 18 2" xfId="4458"/>
    <cellStyle name="Normal 3 10 18 2 2" xfId="4459"/>
    <cellStyle name="Normal 3 10 18 3" xfId="4460"/>
    <cellStyle name="Normal 3 10 19" xfId="4461"/>
    <cellStyle name="Normal 3 10 19 2" xfId="4462"/>
    <cellStyle name="Normal 3 10 19 2 2" xfId="4463"/>
    <cellStyle name="Normal 3 10 19 3" xfId="4464"/>
    <cellStyle name="Normal 3 10 2" xfId="4465"/>
    <cellStyle name="Normal 3 10 2 2" xfId="4466"/>
    <cellStyle name="Normal 3 10 2 2 2" xfId="4467"/>
    <cellStyle name="Normal 3 10 2 3" xfId="4468"/>
    <cellStyle name="Normal 3 10 20" xfId="4469"/>
    <cellStyle name="Normal 3 10 20 2" xfId="4470"/>
    <cellStyle name="Normal 3 10 20 2 2" xfId="4471"/>
    <cellStyle name="Normal 3 10 20 3" xfId="4472"/>
    <cellStyle name="Normal 3 10 21" xfId="4473"/>
    <cellStyle name="Normal 3 10 21 2" xfId="4474"/>
    <cellStyle name="Normal 3 10 21 2 2" xfId="4475"/>
    <cellStyle name="Normal 3 10 21 3" xfId="4476"/>
    <cellStyle name="Normal 3 10 22" xfId="4477"/>
    <cellStyle name="Normal 3 10 22 2" xfId="4478"/>
    <cellStyle name="Normal 3 10 22 2 2" xfId="4479"/>
    <cellStyle name="Normal 3 10 22 3" xfId="4480"/>
    <cellStyle name="Normal 3 10 23" xfId="4481"/>
    <cellStyle name="Normal 3 10 23 2" xfId="4482"/>
    <cellStyle name="Normal 3 10 23 2 2" xfId="4483"/>
    <cellStyle name="Normal 3 10 23 3" xfId="4484"/>
    <cellStyle name="Normal 3 10 24" xfId="4485"/>
    <cellStyle name="Normal 3 10 24 2" xfId="4486"/>
    <cellStyle name="Normal 3 10 25" xfId="4487"/>
    <cellStyle name="Normal 3 10 3" xfId="4488"/>
    <cellStyle name="Normal 3 10 3 2" xfId="4489"/>
    <cellStyle name="Normal 3 10 3 2 2" xfId="4490"/>
    <cellStyle name="Normal 3 10 3 3" xfId="4491"/>
    <cellStyle name="Normal 3 10 4" xfId="4492"/>
    <cellStyle name="Normal 3 10 4 2" xfId="4493"/>
    <cellStyle name="Normal 3 10 4 2 2" xfId="4494"/>
    <cellStyle name="Normal 3 10 4 3" xfId="4495"/>
    <cellStyle name="Normal 3 10 5" xfId="4496"/>
    <cellStyle name="Normal 3 10 5 2" xfId="4497"/>
    <cellStyle name="Normal 3 10 5 2 2" xfId="4498"/>
    <cellStyle name="Normal 3 10 5 3" xfId="4499"/>
    <cellStyle name="Normal 3 10 6" xfId="4500"/>
    <cellStyle name="Normal 3 10 6 2" xfId="4501"/>
    <cellStyle name="Normal 3 10 6 2 2" xfId="4502"/>
    <cellStyle name="Normal 3 10 6 3" xfId="4503"/>
    <cellStyle name="Normal 3 10 7" xfId="4504"/>
    <cellStyle name="Normal 3 10 7 2" xfId="4505"/>
    <cellStyle name="Normal 3 10 7 2 2" xfId="4506"/>
    <cellStyle name="Normal 3 10 7 3" xfId="4507"/>
    <cellStyle name="Normal 3 10 8" xfId="4508"/>
    <cellStyle name="Normal 3 10 8 2" xfId="4509"/>
    <cellStyle name="Normal 3 10 8 2 2" xfId="4510"/>
    <cellStyle name="Normal 3 10 8 3" xfId="4511"/>
    <cellStyle name="Normal 3 10 9" xfId="4512"/>
    <cellStyle name="Normal 3 10 9 2" xfId="4513"/>
    <cellStyle name="Normal 3 10 9 2 2" xfId="4514"/>
    <cellStyle name="Normal 3 10 9 3" xfId="4515"/>
    <cellStyle name="Normal 3 11" xfId="4516"/>
    <cellStyle name="Normal 3 11 10" xfId="4517"/>
    <cellStyle name="Normal 3 11 10 2" xfId="4518"/>
    <cellStyle name="Normal 3 11 10 2 2" xfId="4519"/>
    <cellStyle name="Normal 3 11 10 3" xfId="4520"/>
    <cellStyle name="Normal 3 11 11" xfId="4521"/>
    <cellStyle name="Normal 3 11 11 2" xfId="4522"/>
    <cellStyle name="Normal 3 11 11 2 2" xfId="4523"/>
    <cellStyle name="Normal 3 11 11 3" xfId="4524"/>
    <cellStyle name="Normal 3 11 12" xfId="4525"/>
    <cellStyle name="Normal 3 11 12 2" xfId="4526"/>
    <cellStyle name="Normal 3 11 12 2 2" xfId="4527"/>
    <cellStyle name="Normal 3 11 12 3" xfId="4528"/>
    <cellStyle name="Normal 3 11 13" xfId="4529"/>
    <cellStyle name="Normal 3 11 13 2" xfId="4530"/>
    <cellStyle name="Normal 3 11 13 2 2" xfId="4531"/>
    <cellStyle name="Normal 3 11 13 3" xfId="4532"/>
    <cellStyle name="Normal 3 11 14" xfId="4533"/>
    <cellStyle name="Normal 3 11 14 2" xfId="4534"/>
    <cellStyle name="Normal 3 11 14 2 2" xfId="4535"/>
    <cellStyle name="Normal 3 11 14 3" xfId="4536"/>
    <cellStyle name="Normal 3 11 15" xfId="4537"/>
    <cellStyle name="Normal 3 11 15 2" xfId="4538"/>
    <cellStyle name="Normal 3 11 15 2 2" xfId="4539"/>
    <cellStyle name="Normal 3 11 15 3" xfId="4540"/>
    <cellStyle name="Normal 3 11 16" xfId="4541"/>
    <cellStyle name="Normal 3 11 16 2" xfId="4542"/>
    <cellStyle name="Normal 3 11 16 2 2" xfId="4543"/>
    <cellStyle name="Normal 3 11 16 3" xfId="4544"/>
    <cellStyle name="Normal 3 11 17" xfId="4545"/>
    <cellStyle name="Normal 3 11 17 2" xfId="4546"/>
    <cellStyle name="Normal 3 11 17 2 2" xfId="4547"/>
    <cellStyle name="Normal 3 11 17 3" xfId="4548"/>
    <cellStyle name="Normal 3 11 18" xfId="4549"/>
    <cellStyle name="Normal 3 11 18 2" xfId="4550"/>
    <cellStyle name="Normal 3 11 18 2 2" xfId="4551"/>
    <cellStyle name="Normal 3 11 18 3" xfId="4552"/>
    <cellStyle name="Normal 3 11 19" xfId="4553"/>
    <cellStyle name="Normal 3 11 19 2" xfId="4554"/>
    <cellStyle name="Normal 3 11 19 2 2" xfId="4555"/>
    <cellStyle name="Normal 3 11 19 3" xfId="4556"/>
    <cellStyle name="Normal 3 11 2" xfId="4557"/>
    <cellStyle name="Normal 3 11 2 2" xfId="4558"/>
    <cellStyle name="Normal 3 11 2 2 2" xfId="4559"/>
    <cellStyle name="Normal 3 11 2 3" xfId="4560"/>
    <cellStyle name="Normal 3 11 20" xfId="4561"/>
    <cellStyle name="Normal 3 11 20 2" xfId="4562"/>
    <cellStyle name="Normal 3 11 20 2 2" xfId="4563"/>
    <cellStyle name="Normal 3 11 20 3" xfId="4564"/>
    <cellStyle name="Normal 3 11 21" xfId="4565"/>
    <cellStyle name="Normal 3 11 21 2" xfId="4566"/>
    <cellStyle name="Normal 3 11 21 2 2" xfId="4567"/>
    <cellStyle name="Normal 3 11 21 3" xfId="4568"/>
    <cellStyle name="Normal 3 11 22" xfId="4569"/>
    <cellStyle name="Normal 3 11 22 2" xfId="4570"/>
    <cellStyle name="Normal 3 11 22 2 2" xfId="4571"/>
    <cellStyle name="Normal 3 11 22 3" xfId="4572"/>
    <cellStyle name="Normal 3 11 23" xfId="4573"/>
    <cellStyle name="Normal 3 11 23 2" xfId="4574"/>
    <cellStyle name="Normal 3 11 23 2 2" xfId="4575"/>
    <cellStyle name="Normal 3 11 23 3" xfId="4576"/>
    <cellStyle name="Normal 3 11 24" xfId="4577"/>
    <cellStyle name="Normal 3 11 24 2" xfId="4578"/>
    <cellStyle name="Normal 3 11 25" xfId="4579"/>
    <cellStyle name="Normal 3 11 3" xfId="4580"/>
    <cellStyle name="Normal 3 11 3 2" xfId="4581"/>
    <cellStyle name="Normal 3 11 3 2 2" xfId="4582"/>
    <cellStyle name="Normal 3 11 3 3" xfId="4583"/>
    <cellStyle name="Normal 3 11 4" xfId="4584"/>
    <cellStyle name="Normal 3 11 4 2" xfId="4585"/>
    <cellStyle name="Normal 3 11 4 2 2" xfId="4586"/>
    <cellStyle name="Normal 3 11 4 3" xfId="4587"/>
    <cellStyle name="Normal 3 11 5" xfId="4588"/>
    <cellStyle name="Normal 3 11 5 2" xfId="4589"/>
    <cellStyle name="Normal 3 11 5 2 2" xfId="4590"/>
    <cellStyle name="Normal 3 11 5 3" xfId="4591"/>
    <cellStyle name="Normal 3 11 6" xfId="4592"/>
    <cellStyle name="Normal 3 11 6 2" xfId="4593"/>
    <cellStyle name="Normal 3 11 6 2 2" xfId="4594"/>
    <cellStyle name="Normal 3 11 6 3" xfId="4595"/>
    <cellStyle name="Normal 3 11 7" xfId="4596"/>
    <cellStyle name="Normal 3 11 7 2" xfId="4597"/>
    <cellStyle name="Normal 3 11 7 2 2" xfId="4598"/>
    <cellStyle name="Normal 3 11 7 3" xfId="4599"/>
    <cellStyle name="Normal 3 11 8" xfId="4600"/>
    <cellStyle name="Normal 3 11 8 2" xfId="4601"/>
    <cellStyle name="Normal 3 11 8 2 2" xfId="4602"/>
    <cellStyle name="Normal 3 11 8 3" xfId="4603"/>
    <cellStyle name="Normal 3 11 9" xfId="4604"/>
    <cellStyle name="Normal 3 11 9 2" xfId="4605"/>
    <cellStyle name="Normal 3 11 9 2 2" xfId="4606"/>
    <cellStyle name="Normal 3 11 9 3" xfId="4607"/>
    <cellStyle name="Normal 3 12" xfId="4608"/>
    <cellStyle name="Normal 3 12 10" xfId="4609"/>
    <cellStyle name="Normal 3 12 10 2" xfId="4610"/>
    <cellStyle name="Normal 3 12 10 2 2" xfId="4611"/>
    <cellStyle name="Normal 3 12 10 3" xfId="4612"/>
    <cellStyle name="Normal 3 12 11" xfId="4613"/>
    <cellStyle name="Normal 3 12 11 2" xfId="4614"/>
    <cellStyle name="Normal 3 12 11 2 2" xfId="4615"/>
    <cellStyle name="Normal 3 12 11 3" xfId="4616"/>
    <cellStyle name="Normal 3 12 12" xfId="4617"/>
    <cellStyle name="Normal 3 12 12 2" xfId="4618"/>
    <cellStyle name="Normal 3 12 12 2 2" xfId="4619"/>
    <cellStyle name="Normal 3 12 12 3" xfId="4620"/>
    <cellStyle name="Normal 3 12 13" xfId="4621"/>
    <cellStyle name="Normal 3 12 13 2" xfId="4622"/>
    <cellStyle name="Normal 3 12 13 2 2" xfId="4623"/>
    <cellStyle name="Normal 3 12 13 3" xfId="4624"/>
    <cellStyle name="Normal 3 12 14" xfId="4625"/>
    <cellStyle name="Normal 3 12 14 2" xfId="4626"/>
    <cellStyle name="Normal 3 12 14 2 2" xfId="4627"/>
    <cellStyle name="Normal 3 12 14 3" xfId="4628"/>
    <cellStyle name="Normal 3 12 15" xfId="4629"/>
    <cellStyle name="Normal 3 12 15 2" xfId="4630"/>
    <cellStyle name="Normal 3 12 15 2 2" xfId="4631"/>
    <cellStyle name="Normal 3 12 15 3" xfId="4632"/>
    <cellStyle name="Normal 3 12 16" xfId="4633"/>
    <cellStyle name="Normal 3 12 16 2" xfId="4634"/>
    <cellStyle name="Normal 3 12 16 2 2" xfId="4635"/>
    <cellStyle name="Normal 3 12 16 3" xfId="4636"/>
    <cellStyle name="Normal 3 12 17" xfId="4637"/>
    <cellStyle name="Normal 3 12 17 2" xfId="4638"/>
    <cellStyle name="Normal 3 12 17 2 2" xfId="4639"/>
    <cellStyle name="Normal 3 12 17 3" xfId="4640"/>
    <cellStyle name="Normal 3 12 18" xfId="4641"/>
    <cellStyle name="Normal 3 12 18 2" xfId="4642"/>
    <cellStyle name="Normal 3 12 18 2 2" xfId="4643"/>
    <cellStyle name="Normal 3 12 18 3" xfId="4644"/>
    <cellStyle name="Normal 3 12 19" xfId="4645"/>
    <cellStyle name="Normal 3 12 19 2" xfId="4646"/>
    <cellStyle name="Normal 3 12 19 2 2" xfId="4647"/>
    <cellStyle name="Normal 3 12 19 3" xfId="4648"/>
    <cellStyle name="Normal 3 12 2" xfId="4649"/>
    <cellStyle name="Normal 3 12 2 2" xfId="4650"/>
    <cellStyle name="Normal 3 12 2 2 2" xfId="4651"/>
    <cellStyle name="Normal 3 12 2 3" xfId="4652"/>
    <cellStyle name="Normal 3 12 20" xfId="4653"/>
    <cellStyle name="Normal 3 12 20 2" xfId="4654"/>
    <cellStyle name="Normal 3 12 20 2 2" xfId="4655"/>
    <cellStyle name="Normal 3 12 20 3" xfId="4656"/>
    <cellStyle name="Normal 3 12 21" xfId="4657"/>
    <cellStyle name="Normal 3 12 21 2" xfId="4658"/>
    <cellStyle name="Normal 3 12 21 2 2" xfId="4659"/>
    <cellStyle name="Normal 3 12 21 3" xfId="4660"/>
    <cellStyle name="Normal 3 12 22" xfId="4661"/>
    <cellStyle name="Normal 3 12 22 2" xfId="4662"/>
    <cellStyle name="Normal 3 12 22 2 2" xfId="4663"/>
    <cellStyle name="Normal 3 12 22 3" xfId="4664"/>
    <cellStyle name="Normal 3 12 23" xfId="4665"/>
    <cellStyle name="Normal 3 12 23 2" xfId="4666"/>
    <cellStyle name="Normal 3 12 23 2 2" xfId="4667"/>
    <cellStyle name="Normal 3 12 23 3" xfId="4668"/>
    <cellStyle name="Normal 3 12 24" xfId="4669"/>
    <cellStyle name="Normal 3 12 24 2" xfId="4670"/>
    <cellStyle name="Normal 3 12 25" xfId="4671"/>
    <cellStyle name="Normal 3 12 3" xfId="4672"/>
    <cellStyle name="Normal 3 12 3 2" xfId="4673"/>
    <cellStyle name="Normal 3 12 3 2 2" xfId="4674"/>
    <cellStyle name="Normal 3 12 3 3" xfId="4675"/>
    <cellStyle name="Normal 3 12 4" xfId="4676"/>
    <cellStyle name="Normal 3 12 4 2" xfId="4677"/>
    <cellStyle name="Normal 3 12 4 2 2" xfId="4678"/>
    <cellStyle name="Normal 3 12 4 3" xfId="4679"/>
    <cellStyle name="Normal 3 12 5" xfId="4680"/>
    <cellStyle name="Normal 3 12 5 2" xfId="4681"/>
    <cellStyle name="Normal 3 12 5 2 2" xfId="4682"/>
    <cellStyle name="Normal 3 12 5 3" xfId="4683"/>
    <cellStyle name="Normal 3 12 6" xfId="4684"/>
    <cellStyle name="Normal 3 12 6 2" xfId="4685"/>
    <cellStyle name="Normal 3 12 6 2 2" xfId="4686"/>
    <cellStyle name="Normal 3 12 6 3" xfId="4687"/>
    <cellStyle name="Normal 3 12 7" xfId="4688"/>
    <cellStyle name="Normal 3 12 7 2" xfId="4689"/>
    <cellStyle name="Normal 3 12 7 2 2" xfId="4690"/>
    <cellStyle name="Normal 3 12 7 3" xfId="4691"/>
    <cellStyle name="Normal 3 12 8" xfId="4692"/>
    <cellStyle name="Normal 3 12 8 2" xfId="4693"/>
    <cellStyle name="Normal 3 12 8 2 2" xfId="4694"/>
    <cellStyle name="Normal 3 12 8 3" xfId="4695"/>
    <cellStyle name="Normal 3 12 9" xfId="4696"/>
    <cellStyle name="Normal 3 12 9 2" xfId="4697"/>
    <cellStyle name="Normal 3 12 9 2 2" xfId="4698"/>
    <cellStyle name="Normal 3 12 9 3" xfId="4699"/>
    <cellStyle name="Normal 3 13" xfId="4700"/>
    <cellStyle name="Normal 3 13 10" xfId="4701"/>
    <cellStyle name="Normal 3 13 10 2" xfId="4702"/>
    <cellStyle name="Normal 3 13 10 2 2" xfId="4703"/>
    <cellStyle name="Normal 3 13 10 3" xfId="4704"/>
    <cellStyle name="Normal 3 13 11" xfId="4705"/>
    <cellStyle name="Normal 3 13 11 2" xfId="4706"/>
    <cellStyle name="Normal 3 13 11 2 2" xfId="4707"/>
    <cellStyle name="Normal 3 13 11 3" xfId="4708"/>
    <cellStyle name="Normal 3 13 12" xfId="4709"/>
    <cellStyle name="Normal 3 13 12 2" xfId="4710"/>
    <cellStyle name="Normal 3 13 12 2 2" xfId="4711"/>
    <cellStyle name="Normal 3 13 12 3" xfId="4712"/>
    <cellStyle name="Normal 3 13 13" xfId="4713"/>
    <cellStyle name="Normal 3 13 13 2" xfId="4714"/>
    <cellStyle name="Normal 3 13 13 2 2" xfId="4715"/>
    <cellStyle name="Normal 3 13 13 3" xfId="4716"/>
    <cellStyle name="Normal 3 13 14" xfId="4717"/>
    <cellStyle name="Normal 3 13 14 2" xfId="4718"/>
    <cellStyle name="Normal 3 13 14 2 2" xfId="4719"/>
    <cellStyle name="Normal 3 13 14 3" xfId="4720"/>
    <cellStyle name="Normal 3 13 15" xfId="4721"/>
    <cellStyle name="Normal 3 13 15 2" xfId="4722"/>
    <cellStyle name="Normal 3 13 15 2 2" xfId="4723"/>
    <cellStyle name="Normal 3 13 15 3" xfId="4724"/>
    <cellStyle name="Normal 3 13 16" xfId="4725"/>
    <cellStyle name="Normal 3 13 16 2" xfId="4726"/>
    <cellStyle name="Normal 3 13 16 2 2" xfId="4727"/>
    <cellStyle name="Normal 3 13 16 3" xfId="4728"/>
    <cellStyle name="Normal 3 13 17" xfId="4729"/>
    <cellStyle name="Normal 3 13 17 2" xfId="4730"/>
    <cellStyle name="Normal 3 13 17 2 2" xfId="4731"/>
    <cellStyle name="Normal 3 13 17 3" xfId="4732"/>
    <cellStyle name="Normal 3 13 18" xfId="4733"/>
    <cellStyle name="Normal 3 13 18 2" xfId="4734"/>
    <cellStyle name="Normal 3 13 18 2 2" xfId="4735"/>
    <cellStyle name="Normal 3 13 18 3" xfId="4736"/>
    <cellStyle name="Normal 3 13 19" xfId="4737"/>
    <cellStyle name="Normal 3 13 19 2" xfId="4738"/>
    <cellStyle name="Normal 3 13 19 2 2" xfId="4739"/>
    <cellStyle name="Normal 3 13 19 3" xfId="4740"/>
    <cellStyle name="Normal 3 13 2" xfId="4741"/>
    <cellStyle name="Normal 3 13 2 2" xfId="4742"/>
    <cellStyle name="Normal 3 13 2 2 2" xfId="4743"/>
    <cellStyle name="Normal 3 13 2 3" xfId="4744"/>
    <cellStyle name="Normal 3 13 20" xfId="4745"/>
    <cellStyle name="Normal 3 13 20 2" xfId="4746"/>
    <cellStyle name="Normal 3 13 20 2 2" xfId="4747"/>
    <cellStyle name="Normal 3 13 20 3" xfId="4748"/>
    <cellStyle name="Normal 3 13 21" xfId="4749"/>
    <cellStyle name="Normal 3 13 21 2" xfId="4750"/>
    <cellStyle name="Normal 3 13 21 2 2" xfId="4751"/>
    <cellStyle name="Normal 3 13 21 3" xfId="4752"/>
    <cellStyle name="Normal 3 13 22" xfId="4753"/>
    <cellStyle name="Normal 3 13 22 2" xfId="4754"/>
    <cellStyle name="Normal 3 13 22 2 2" xfId="4755"/>
    <cellStyle name="Normal 3 13 22 3" xfId="4756"/>
    <cellStyle name="Normal 3 13 23" xfId="4757"/>
    <cellStyle name="Normal 3 13 23 2" xfId="4758"/>
    <cellStyle name="Normal 3 13 23 2 2" xfId="4759"/>
    <cellStyle name="Normal 3 13 23 3" xfId="4760"/>
    <cellStyle name="Normal 3 13 24" xfId="4761"/>
    <cellStyle name="Normal 3 13 24 2" xfId="4762"/>
    <cellStyle name="Normal 3 13 25" xfId="4763"/>
    <cellStyle name="Normal 3 13 3" xfId="4764"/>
    <cellStyle name="Normal 3 13 3 2" xfId="4765"/>
    <cellStyle name="Normal 3 13 3 2 2" xfId="4766"/>
    <cellStyle name="Normal 3 13 3 3" xfId="4767"/>
    <cellStyle name="Normal 3 13 4" xfId="4768"/>
    <cellStyle name="Normal 3 13 4 2" xfId="4769"/>
    <cellStyle name="Normal 3 13 4 2 2" xfId="4770"/>
    <cellStyle name="Normal 3 13 4 3" xfId="4771"/>
    <cellStyle name="Normal 3 13 5" xfId="4772"/>
    <cellStyle name="Normal 3 13 5 2" xfId="4773"/>
    <cellStyle name="Normal 3 13 5 2 2" xfId="4774"/>
    <cellStyle name="Normal 3 13 5 3" xfId="4775"/>
    <cellStyle name="Normal 3 13 6" xfId="4776"/>
    <cellStyle name="Normal 3 13 6 2" xfId="4777"/>
    <cellStyle name="Normal 3 13 6 2 2" xfId="4778"/>
    <cellStyle name="Normal 3 13 6 3" xfId="4779"/>
    <cellStyle name="Normal 3 13 7" xfId="4780"/>
    <cellStyle name="Normal 3 13 7 2" xfId="4781"/>
    <cellStyle name="Normal 3 13 7 2 2" xfId="4782"/>
    <cellStyle name="Normal 3 13 7 3" xfId="4783"/>
    <cellStyle name="Normal 3 13 8" xfId="4784"/>
    <cellStyle name="Normal 3 13 8 2" xfId="4785"/>
    <cellStyle name="Normal 3 13 8 2 2" xfId="4786"/>
    <cellStyle name="Normal 3 13 8 3" xfId="4787"/>
    <cellStyle name="Normal 3 13 9" xfId="4788"/>
    <cellStyle name="Normal 3 13 9 2" xfId="4789"/>
    <cellStyle name="Normal 3 13 9 2 2" xfId="4790"/>
    <cellStyle name="Normal 3 13 9 3" xfId="4791"/>
    <cellStyle name="Normal 3 14" xfId="4792"/>
    <cellStyle name="Normal 3 14 10" xfId="4793"/>
    <cellStyle name="Normal 3 14 10 2" xfId="4794"/>
    <cellStyle name="Normal 3 14 10 2 2" xfId="4795"/>
    <cellStyle name="Normal 3 14 10 3" xfId="4796"/>
    <cellStyle name="Normal 3 14 11" xfId="4797"/>
    <cellStyle name="Normal 3 14 11 2" xfId="4798"/>
    <cellStyle name="Normal 3 14 11 2 2" xfId="4799"/>
    <cellStyle name="Normal 3 14 11 3" xfId="4800"/>
    <cellStyle name="Normal 3 14 12" xfId="4801"/>
    <cellStyle name="Normal 3 14 12 2" xfId="4802"/>
    <cellStyle name="Normal 3 14 12 2 2" xfId="4803"/>
    <cellStyle name="Normal 3 14 12 3" xfId="4804"/>
    <cellStyle name="Normal 3 14 13" xfId="4805"/>
    <cellStyle name="Normal 3 14 13 2" xfId="4806"/>
    <cellStyle name="Normal 3 14 13 2 2" xfId="4807"/>
    <cellStyle name="Normal 3 14 13 3" xfId="4808"/>
    <cellStyle name="Normal 3 14 14" xfId="4809"/>
    <cellStyle name="Normal 3 14 14 2" xfId="4810"/>
    <cellStyle name="Normal 3 14 14 2 2" xfId="4811"/>
    <cellStyle name="Normal 3 14 14 3" xfId="4812"/>
    <cellStyle name="Normal 3 14 15" xfId="4813"/>
    <cellStyle name="Normal 3 14 15 2" xfId="4814"/>
    <cellStyle name="Normal 3 14 15 2 2" xfId="4815"/>
    <cellStyle name="Normal 3 14 15 3" xfId="4816"/>
    <cellStyle name="Normal 3 14 16" xfId="4817"/>
    <cellStyle name="Normal 3 14 16 2" xfId="4818"/>
    <cellStyle name="Normal 3 14 16 2 2" xfId="4819"/>
    <cellStyle name="Normal 3 14 16 3" xfId="4820"/>
    <cellStyle name="Normal 3 14 17" xfId="4821"/>
    <cellStyle name="Normal 3 14 17 2" xfId="4822"/>
    <cellStyle name="Normal 3 14 17 2 2" xfId="4823"/>
    <cellStyle name="Normal 3 14 17 3" xfId="4824"/>
    <cellStyle name="Normal 3 14 18" xfId="4825"/>
    <cellStyle name="Normal 3 14 18 2" xfId="4826"/>
    <cellStyle name="Normal 3 14 18 2 2" xfId="4827"/>
    <cellStyle name="Normal 3 14 18 3" xfId="4828"/>
    <cellStyle name="Normal 3 14 19" xfId="4829"/>
    <cellStyle name="Normal 3 14 19 2" xfId="4830"/>
    <cellStyle name="Normal 3 14 19 2 2" xfId="4831"/>
    <cellStyle name="Normal 3 14 19 3" xfId="4832"/>
    <cellStyle name="Normal 3 14 2" xfId="4833"/>
    <cellStyle name="Normal 3 14 2 2" xfId="4834"/>
    <cellStyle name="Normal 3 14 2 2 2" xfId="4835"/>
    <cellStyle name="Normal 3 14 2 3" xfId="4836"/>
    <cellStyle name="Normal 3 14 20" xfId="4837"/>
    <cellStyle name="Normal 3 14 20 2" xfId="4838"/>
    <cellStyle name="Normal 3 14 20 2 2" xfId="4839"/>
    <cellStyle name="Normal 3 14 20 3" xfId="4840"/>
    <cellStyle name="Normal 3 14 21" xfId="4841"/>
    <cellStyle name="Normal 3 14 21 2" xfId="4842"/>
    <cellStyle name="Normal 3 14 21 2 2" xfId="4843"/>
    <cellStyle name="Normal 3 14 21 3" xfId="4844"/>
    <cellStyle name="Normal 3 14 22" xfId="4845"/>
    <cellStyle name="Normal 3 14 22 2" xfId="4846"/>
    <cellStyle name="Normal 3 14 22 2 2" xfId="4847"/>
    <cellStyle name="Normal 3 14 22 3" xfId="4848"/>
    <cellStyle name="Normal 3 14 23" xfId="4849"/>
    <cellStyle name="Normal 3 14 23 2" xfId="4850"/>
    <cellStyle name="Normal 3 14 23 2 2" xfId="4851"/>
    <cellStyle name="Normal 3 14 23 3" xfId="4852"/>
    <cellStyle name="Normal 3 14 24" xfId="4853"/>
    <cellStyle name="Normal 3 14 24 2" xfId="4854"/>
    <cellStyle name="Normal 3 14 25" xfId="4855"/>
    <cellStyle name="Normal 3 14 3" xfId="4856"/>
    <cellStyle name="Normal 3 14 3 2" xfId="4857"/>
    <cellStyle name="Normal 3 14 3 2 2" xfId="4858"/>
    <cellStyle name="Normal 3 14 3 3" xfId="4859"/>
    <cellStyle name="Normal 3 14 4" xfId="4860"/>
    <cellStyle name="Normal 3 14 4 2" xfId="4861"/>
    <cellStyle name="Normal 3 14 4 2 2" xfId="4862"/>
    <cellStyle name="Normal 3 14 4 3" xfId="4863"/>
    <cellStyle name="Normal 3 14 5" xfId="4864"/>
    <cellStyle name="Normal 3 14 5 2" xfId="4865"/>
    <cellStyle name="Normal 3 14 5 2 2" xfId="4866"/>
    <cellStyle name="Normal 3 14 5 3" xfId="4867"/>
    <cellStyle name="Normal 3 14 6" xfId="4868"/>
    <cellStyle name="Normal 3 14 6 2" xfId="4869"/>
    <cellStyle name="Normal 3 14 6 2 2" xfId="4870"/>
    <cellStyle name="Normal 3 14 6 3" xfId="4871"/>
    <cellStyle name="Normal 3 14 7" xfId="4872"/>
    <cellStyle name="Normal 3 14 7 2" xfId="4873"/>
    <cellStyle name="Normal 3 14 7 2 2" xfId="4874"/>
    <cellStyle name="Normal 3 14 7 3" xfId="4875"/>
    <cellStyle name="Normal 3 14 8" xfId="4876"/>
    <cellStyle name="Normal 3 14 8 2" xfId="4877"/>
    <cellStyle name="Normal 3 14 8 2 2" xfId="4878"/>
    <cellStyle name="Normal 3 14 8 3" xfId="4879"/>
    <cellStyle name="Normal 3 14 9" xfId="4880"/>
    <cellStyle name="Normal 3 14 9 2" xfId="4881"/>
    <cellStyle name="Normal 3 14 9 2 2" xfId="4882"/>
    <cellStyle name="Normal 3 14 9 3" xfId="4883"/>
    <cellStyle name="Normal 3 15" xfId="4884"/>
    <cellStyle name="Normal 3 15 10" xfId="4885"/>
    <cellStyle name="Normal 3 15 10 2" xfId="4886"/>
    <cellStyle name="Normal 3 15 10 2 2" xfId="4887"/>
    <cellStyle name="Normal 3 15 10 3" xfId="4888"/>
    <cellStyle name="Normal 3 15 11" xfId="4889"/>
    <cellStyle name="Normal 3 15 11 2" xfId="4890"/>
    <cellStyle name="Normal 3 15 11 2 2" xfId="4891"/>
    <cellStyle name="Normal 3 15 11 3" xfId="4892"/>
    <cellStyle name="Normal 3 15 12" xfId="4893"/>
    <cellStyle name="Normal 3 15 12 2" xfId="4894"/>
    <cellStyle name="Normal 3 15 12 2 2" xfId="4895"/>
    <cellStyle name="Normal 3 15 12 3" xfId="4896"/>
    <cellStyle name="Normal 3 15 13" xfId="4897"/>
    <cellStyle name="Normal 3 15 13 2" xfId="4898"/>
    <cellStyle name="Normal 3 15 13 2 2" xfId="4899"/>
    <cellStyle name="Normal 3 15 13 3" xfId="4900"/>
    <cellStyle name="Normal 3 15 14" xfId="4901"/>
    <cellStyle name="Normal 3 15 14 2" xfId="4902"/>
    <cellStyle name="Normal 3 15 14 2 2" xfId="4903"/>
    <cellStyle name="Normal 3 15 14 3" xfId="4904"/>
    <cellStyle name="Normal 3 15 15" xfId="4905"/>
    <cellStyle name="Normal 3 15 15 2" xfId="4906"/>
    <cellStyle name="Normal 3 15 15 2 2" xfId="4907"/>
    <cellStyle name="Normal 3 15 15 3" xfId="4908"/>
    <cellStyle name="Normal 3 15 16" xfId="4909"/>
    <cellStyle name="Normal 3 15 16 2" xfId="4910"/>
    <cellStyle name="Normal 3 15 16 2 2" xfId="4911"/>
    <cellStyle name="Normal 3 15 16 3" xfId="4912"/>
    <cellStyle name="Normal 3 15 17" xfId="4913"/>
    <cellStyle name="Normal 3 15 17 2" xfId="4914"/>
    <cellStyle name="Normal 3 15 17 2 2" xfId="4915"/>
    <cellStyle name="Normal 3 15 17 3" xfId="4916"/>
    <cellStyle name="Normal 3 15 18" xfId="4917"/>
    <cellStyle name="Normal 3 15 18 2" xfId="4918"/>
    <cellStyle name="Normal 3 15 18 2 2" xfId="4919"/>
    <cellStyle name="Normal 3 15 18 3" xfId="4920"/>
    <cellStyle name="Normal 3 15 19" xfId="4921"/>
    <cellStyle name="Normal 3 15 19 2" xfId="4922"/>
    <cellStyle name="Normal 3 15 19 2 2" xfId="4923"/>
    <cellStyle name="Normal 3 15 19 3" xfId="4924"/>
    <cellStyle name="Normal 3 15 2" xfId="4925"/>
    <cellStyle name="Normal 3 15 2 2" xfId="4926"/>
    <cellStyle name="Normal 3 15 2 2 2" xfId="4927"/>
    <cellStyle name="Normal 3 15 2 3" xfId="4928"/>
    <cellStyle name="Normal 3 15 20" xfId="4929"/>
    <cellStyle name="Normal 3 15 20 2" xfId="4930"/>
    <cellStyle name="Normal 3 15 20 2 2" xfId="4931"/>
    <cellStyle name="Normal 3 15 20 3" xfId="4932"/>
    <cellStyle name="Normal 3 15 21" xfId="4933"/>
    <cellStyle name="Normal 3 15 21 2" xfId="4934"/>
    <cellStyle name="Normal 3 15 21 2 2" xfId="4935"/>
    <cellStyle name="Normal 3 15 21 3" xfId="4936"/>
    <cellStyle name="Normal 3 15 22" xfId="4937"/>
    <cellStyle name="Normal 3 15 22 2" xfId="4938"/>
    <cellStyle name="Normal 3 15 22 2 2" xfId="4939"/>
    <cellStyle name="Normal 3 15 22 3" xfId="4940"/>
    <cellStyle name="Normal 3 15 23" xfId="4941"/>
    <cellStyle name="Normal 3 15 23 2" xfId="4942"/>
    <cellStyle name="Normal 3 15 23 2 2" xfId="4943"/>
    <cellStyle name="Normal 3 15 23 3" xfId="4944"/>
    <cellStyle name="Normal 3 15 24" xfId="4945"/>
    <cellStyle name="Normal 3 15 24 2" xfId="4946"/>
    <cellStyle name="Normal 3 15 25" xfId="4947"/>
    <cellStyle name="Normal 3 15 3" xfId="4948"/>
    <cellStyle name="Normal 3 15 3 2" xfId="4949"/>
    <cellStyle name="Normal 3 15 3 2 2" xfId="4950"/>
    <cellStyle name="Normal 3 15 3 3" xfId="4951"/>
    <cellStyle name="Normal 3 15 4" xfId="4952"/>
    <cellStyle name="Normal 3 15 4 2" xfId="4953"/>
    <cellStyle name="Normal 3 15 4 2 2" xfId="4954"/>
    <cellStyle name="Normal 3 15 4 3" xfId="4955"/>
    <cellStyle name="Normal 3 15 5" xfId="4956"/>
    <cellStyle name="Normal 3 15 5 2" xfId="4957"/>
    <cellStyle name="Normal 3 15 5 2 2" xfId="4958"/>
    <cellStyle name="Normal 3 15 5 3" xfId="4959"/>
    <cellStyle name="Normal 3 15 6" xfId="4960"/>
    <cellStyle name="Normal 3 15 6 2" xfId="4961"/>
    <cellStyle name="Normal 3 15 6 2 2" xfId="4962"/>
    <cellStyle name="Normal 3 15 6 3" xfId="4963"/>
    <cellStyle name="Normal 3 15 7" xfId="4964"/>
    <cellStyle name="Normal 3 15 7 2" xfId="4965"/>
    <cellStyle name="Normal 3 15 7 2 2" xfId="4966"/>
    <cellStyle name="Normal 3 15 7 3" xfId="4967"/>
    <cellStyle name="Normal 3 15 8" xfId="4968"/>
    <cellStyle name="Normal 3 15 8 2" xfId="4969"/>
    <cellStyle name="Normal 3 15 8 2 2" xfId="4970"/>
    <cellStyle name="Normal 3 15 8 3" xfId="4971"/>
    <cellStyle name="Normal 3 15 9" xfId="4972"/>
    <cellStyle name="Normal 3 15 9 2" xfId="4973"/>
    <cellStyle name="Normal 3 15 9 2 2" xfId="4974"/>
    <cellStyle name="Normal 3 15 9 3" xfId="4975"/>
    <cellStyle name="Normal 3 16" xfId="4976"/>
    <cellStyle name="Normal 3 16 10" xfId="4977"/>
    <cellStyle name="Normal 3 16 10 2" xfId="4978"/>
    <cellStyle name="Normal 3 16 10 2 2" xfId="4979"/>
    <cellStyle name="Normal 3 16 10 3" xfId="4980"/>
    <cellStyle name="Normal 3 16 11" xfId="4981"/>
    <cellStyle name="Normal 3 16 11 2" xfId="4982"/>
    <cellStyle name="Normal 3 16 11 2 2" xfId="4983"/>
    <cellStyle name="Normal 3 16 11 3" xfId="4984"/>
    <cellStyle name="Normal 3 16 12" xfId="4985"/>
    <cellStyle name="Normal 3 16 12 2" xfId="4986"/>
    <cellStyle name="Normal 3 16 12 2 2" xfId="4987"/>
    <cellStyle name="Normal 3 16 12 3" xfId="4988"/>
    <cellStyle name="Normal 3 16 13" xfId="4989"/>
    <cellStyle name="Normal 3 16 13 2" xfId="4990"/>
    <cellStyle name="Normal 3 16 13 2 2" xfId="4991"/>
    <cellStyle name="Normal 3 16 13 3" xfId="4992"/>
    <cellStyle name="Normal 3 16 14" xfId="4993"/>
    <cellStyle name="Normal 3 16 14 2" xfId="4994"/>
    <cellStyle name="Normal 3 16 14 2 2" xfId="4995"/>
    <cellStyle name="Normal 3 16 14 3" xfId="4996"/>
    <cellStyle name="Normal 3 16 15" xfId="4997"/>
    <cellStyle name="Normal 3 16 15 2" xfId="4998"/>
    <cellStyle name="Normal 3 16 15 2 2" xfId="4999"/>
    <cellStyle name="Normal 3 16 15 3" xfId="5000"/>
    <cellStyle name="Normal 3 16 16" xfId="5001"/>
    <cellStyle name="Normal 3 16 16 2" xfId="5002"/>
    <cellStyle name="Normal 3 16 16 2 2" xfId="5003"/>
    <cellStyle name="Normal 3 16 16 3" xfId="5004"/>
    <cellStyle name="Normal 3 16 17" xfId="5005"/>
    <cellStyle name="Normal 3 16 17 2" xfId="5006"/>
    <cellStyle name="Normal 3 16 17 2 2" xfId="5007"/>
    <cellStyle name="Normal 3 16 17 3" xfId="5008"/>
    <cellStyle name="Normal 3 16 18" xfId="5009"/>
    <cellStyle name="Normal 3 16 18 2" xfId="5010"/>
    <cellStyle name="Normal 3 16 18 2 2" xfId="5011"/>
    <cellStyle name="Normal 3 16 18 3" xfId="5012"/>
    <cellStyle name="Normal 3 16 19" xfId="5013"/>
    <cellStyle name="Normal 3 16 19 2" xfId="5014"/>
    <cellStyle name="Normal 3 16 19 2 2" xfId="5015"/>
    <cellStyle name="Normal 3 16 19 3" xfId="5016"/>
    <cellStyle name="Normal 3 16 2" xfId="5017"/>
    <cellStyle name="Normal 3 16 2 2" xfId="5018"/>
    <cellStyle name="Normal 3 16 2 2 2" xfId="5019"/>
    <cellStyle name="Normal 3 16 2 3" xfId="5020"/>
    <cellStyle name="Normal 3 16 20" xfId="5021"/>
    <cellStyle name="Normal 3 16 20 2" xfId="5022"/>
    <cellStyle name="Normal 3 16 20 2 2" xfId="5023"/>
    <cellStyle name="Normal 3 16 20 3" xfId="5024"/>
    <cellStyle name="Normal 3 16 21" xfId="5025"/>
    <cellStyle name="Normal 3 16 21 2" xfId="5026"/>
    <cellStyle name="Normal 3 16 21 2 2" xfId="5027"/>
    <cellStyle name="Normal 3 16 21 3" xfId="5028"/>
    <cellStyle name="Normal 3 16 22" xfId="5029"/>
    <cellStyle name="Normal 3 16 22 2" xfId="5030"/>
    <cellStyle name="Normal 3 16 22 2 2" xfId="5031"/>
    <cellStyle name="Normal 3 16 22 3" xfId="5032"/>
    <cellStyle name="Normal 3 16 23" xfId="5033"/>
    <cellStyle name="Normal 3 16 23 2" xfId="5034"/>
    <cellStyle name="Normal 3 16 23 2 2" xfId="5035"/>
    <cellStyle name="Normal 3 16 23 3" xfId="5036"/>
    <cellStyle name="Normal 3 16 24" xfId="5037"/>
    <cellStyle name="Normal 3 16 24 2" xfId="5038"/>
    <cellStyle name="Normal 3 16 25" xfId="5039"/>
    <cellStyle name="Normal 3 16 3" xfId="5040"/>
    <cellStyle name="Normal 3 16 3 2" xfId="5041"/>
    <cellStyle name="Normal 3 16 3 2 2" xfId="5042"/>
    <cellStyle name="Normal 3 16 3 3" xfId="5043"/>
    <cellStyle name="Normal 3 16 4" xfId="5044"/>
    <cellStyle name="Normal 3 16 4 2" xfId="5045"/>
    <cellStyle name="Normal 3 16 4 2 2" xfId="5046"/>
    <cellStyle name="Normal 3 16 4 3" xfId="5047"/>
    <cellStyle name="Normal 3 16 5" xfId="5048"/>
    <cellStyle name="Normal 3 16 5 2" xfId="5049"/>
    <cellStyle name="Normal 3 16 5 2 2" xfId="5050"/>
    <cellStyle name="Normal 3 16 5 3" xfId="5051"/>
    <cellStyle name="Normal 3 16 6" xfId="5052"/>
    <cellStyle name="Normal 3 16 6 2" xfId="5053"/>
    <cellStyle name="Normal 3 16 6 2 2" xfId="5054"/>
    <cellStyle name="Normal 3 16 6 3" xfId="5055"/>
    <cellStyle name="Normal 3 16 7" xfId="5056"/>
    <cellStyle name="Normal 3 16 7 2" xfId="5057"/>
    <cellStyle name="Normal 3 16 7 2 2" xfId="5058"/>
    <cellStyle name="Normal 3 16 7 3" xfId="5059"/>
    <cellStyle name="Normal 3 16 8" xfId="5060"/>
    <cellStyle name="Normal 3 16 8 2" xfId="5061"/>
    <cellStyle name="Normal 3 16 8 2 2" xfId="5062"/>
    <cellStyle name="Normal 3 16 8 3" xfId="5063"/>
    <cellStyle name="Normal 3 16 9" xfId="5064"/>
    <cellStyle name="Normal 3 16 9 2" xfId="5065"/>
    <cellStyle name="Normal 3 16 9 2 2" xfId="5066"/>
    <cellStyle name="Normal 3 16 9 3" xfId="5067"/>
    <cellStyle name="Normal 3 17" xfId="5068"/>
    <cellStyle name="Normal 3 17 10" xfId="5069"/>
    <cellStyle name="Normal 3 17 10 2" xfId="5070"/>
    <cellStyle name="Normal 3 17 10 2 2" xfId="5071"/>
    <cellStyle name="Normal 3 17 10 3" xfId="5072"/>
    <cellStyle name="Normal 3 17 11" xfId="5073"/>
    <cellStyle name="Normal 3 17 11 2" xfId="5074"/>
    <cellStyle name="Normal 3 17 11 2 2" xfId="5075"/>
    <cellStyle name="Normal 3 17 11 3" xfId="5076"/>
    <cellStyle name="Normal 3 17 12" xfId="5077"/>
    <cellStyle name="Normal 3 17 12 2" xfId="5078"/>
    <cellStyle name="Normal 3 17 12 2 2" xfId="5079"/>
    <cellStyle name="Normal 3 17 12 3" xfId="5080"/>
    <cellStyle name="Normal 3 17 13" xfId="5081"/>
    <cellStyle name="Normal 3 17 13 2" xfId="5082"/>
    <cellStyle name="Normal 3 17 13 2 2" xfId="5083"/>
    <cellStyle name="Normal 3 17 13 3" xfId="5084"/>
    <cellStyle name="Normal 3 17 14" xfId="5085"/>
    <cellStyle name="Normal 3 17 14 2" xfId="5086"/>
    <cellStyle name="Normal 3 17 14 2 2" xfId="5087"/>
    <cellStyle name="Normal 3 17 14 3" xfId="5088"/>
    <cellStyle name="Normal 3 17 15" xfId="5089"/>
    <cellStyle name="Normal 3 17 15 2" xfId="5090"/>
    <cellStyle name="Normal 3 17 15 2 2" xfId="5091"/>
    <cellStyle name="Normal 3 17 15 3" xfId="5092"/>
    <cellStyle name="Normal 3 17 16" xfId="5093"/>
    <cellStyle name="Normal 3 17 16 2" xfId="5094"/>
    <cellStyle name="Normal 3 17 16 2 2" xfId="5095"/>
    <cellStyle name="Normal 3 17 16 3" xfId="5096"/>
    <cellStyle name="Normal 3 17 17" xfId="5097"/>
    <cellStyle name="Normal 3 17 17 2" xfId="5098"/>
    <cellStyle name="Normal 3 17 17 2 2" xfId="5099"/>
    <cellStyle name="Normal 3 17 17 3" xfId="5100"/>
    <cellStyle name="Normal 3 17 18" xfId="5101"/>
    <cellStyle name="Normal 3 17 18 2" xfId="5102"/>
    <cellStyle name="Normal 3 17 18 2 2" xfId="5103"/>
    <cellStyle name="Normal 3 17 18 3" xfId="5104"/>
    <cellStyle name="Normal 3 17 19" xfId="5105"/>
    <cellStyle name="Normal 3 17 19 2" xfId="5106"/>
    <cellStyle name="Normal 3 17 19 2 2" xfId="5107"/>
    <cellStyle name="Normal 3 17 19 3" xfId="5108"/>
    <cellStyle name="Normal 3 17 2" xfId="5109"/>
    <cellStyle name="Normal 3 17 2 2" xfId="5110"/>
    <cellStyle name="Normal 3 17 2 2 2" xfId="5111"/>
    <cellStyle name="Normal 3 17 2 3" xfId="5112"/>
    <cellStyle name="Normal 3 17 20" xfId="5113"/>
    <cellStyle name="Normal 3 17 20 2" xfId="5114"/>
    <cellStyle name="Normal 3 17 20 2 2" xfId="5115"/>
    <cellStyle name="Normal 3 17 20 3" xfId="5116"/>
    <cellStyle name="Normal 3 17 21" xfId="5117"/>
    <cellStyle name="Normal 3 17 21 2" xfId="5118"/>
    <cellStyle name="Normal 3 17 21 2 2" xfId="5119"/>
    <cellStyle name="Normal 3 17 21 3" xfId="5120"/>
    <cellStyle name="Normal 3 17 22" xfId="5121"/>
    <cellStyle name="Normal 3 17 22 2" xfId="5122"/>
    <cellStyle name="Normal 3 17 22 2 2" xfId="5123"/>
    <cellStyle name="Normal 3 17 22 3" xfId="5124"/>
    <cellStyle name="Normal 3 17 23" xfId="5125"/>
    <cellStyle name="Normal 3 17 23 2" xfId="5126"/>
    <cellStyle name="Normal 3 17 23 2 2" xfId="5127"/>
    <cellStyle name="Normal 3 17 23 3" xfId="5128"/>
    <cellStyle name="Normal 3 17 24" xfId="5129"/>
    <cellStyle name="Normal 3 17 24 2" xfId="5130"/>
    <cellStyle name="Normal 3 17 25" xfId="5131"/>
    <cellStyle name="Normal 3 17 3" xfId="5132"/>
    <cellStyle name="Normal 3 17 3 2" xfId="5133"/>
    <cellStyle name="Normal 3 17 3 2 2" xfId="5134"/>
    <cellStyle name="Normal 3 17 3 3" xfId="5135"/>
    <cellStyle name="Normal 3 17 4" xfId="5136"/>
    <cellStyle name="Normal 3 17 4 2" xfId="5137"/>
    <cellStyle name="Normal 3 17 4 2 2" xfId="5138"/>
    <cellStyle name="Normal 3 17 4 3" xfId="5139"/>
    <cellStyle name="Normal 3 17 5" xfId="5140"/>
    <cellStyle name="Normal 3 17 5 2" xfId="5141"/>
    <cellStyle name="Normal 3 17 5 2 2" xfId="5142"/>
    <cellStyle name="Normal 3 17 5 3" xfId="5143"/>
    <cellStyle name="Normal 3 17 6" xfId="5144"/>
    <cellStyle name="Normal 3 17 6 2" xfId="5145"/>
    <cellStyle name="Normal 3 17 6 2 2" xfId="5146"/>
    <cellStyle name="Normal 3 17 6 3" xfId="5147"/>
    <cellStyle name="Normal 3 17 7" xfId="5148"/>
    <cellStyle name="Normal 3 17 7 2" xfId="5149"/>
    <cellStyle name="Normal 3 17 7 2 2" xfId="5150"/>
    <cellStyle name="Normal 3 17 7 3" xfId="5151"/>
    <cellStyle name="Normal 3 17 8" xfId="5152"/>
    <cellStyle name="Normal 3 17 8 2" xfId="5153"/>
    <cellStyle name="Normal 3 17 8 2 2" xfId="5154"/>
    <cellStyle name="Normal 3 17 8 3" xfId="5155"/>
    <cellStyle name="Normal 3 17 9" xfId="5156"/>
    <cellStyle name="Normal 3 17 9 2" xfId="5157"/>
    <cellStyle name="Normal 3 17 9 2 2" xfId="5158"/>
    <cellStyle name="Normal 3 17 9 3" xfId="5159"/>
    <cellStyle name="Normal 3 18" xfId="5160"/>
    <cellStyle name="Normal 3 18 10" xfId="5161"/>
    <cellStyle name="Normal 3 18 10 2" xfId="5162"/>
    <cellStyle name="Normal 3 18 10 2 2" xfId="5163"/>
    <cellStyle name="Normal 3 18 10 3" xfId="5164"/>
    <cellStyle name="Normal 3 18 11" xfId="5165"/>
    <cellStyle name="Normal 3 18 11 2" xfId="5166"/>
    <cellStyle name="Normal 3 18 11 2 2" xfId="5167"/>
    <cellStyle name="Normal 3 18 11 3" xfId="5168"/>
    <cellStyle name="Normal 3 18 12" xfId="5169"/>
    <cellStyle name="Normal 3 18 12 2" xfId="5170"/>
    <cellStyle name="Normal 3 18 12 2 2" xfId="5171"/>
    <cellStyle name="Normal 3 18 12 3" xfId="5172"/>
    <cellStyle name="Normal 3 18 13" xfId="5173"/>
    <cellStyle name="Normal 3 18 13 2" xfId="5174"/>
    <cellStyle name="Normal 3 18 13 2 2" xfId="5175"/>
    <cellStyle name="Normal 3 18 13 3" xfId="5176"/>
    <cellStyle name="Normal 3 18 14" xfId="5177"/>
    <cellStyle name="Normal 3 18 14 2" xfId="5178"/>
    <cellStyle name="Normal 3 18 14 2 2" xfId="5179"/>
    <cellStyle name="Normal 3 18 14 3" xfId="5180"/>
    <cellStyle name="Normal 3 18 15" xfId="5181"/>
    <cellStyle name="Normal 3 18 15 2" xfId="5182"/>
    <cellStyle name="Normal 3 18 15 2 2" xfId="5183"/>
    <cellStyle name="Normal 3 18 15 3" xfId="5184"/>
    <cellStyle name="Normal 3 18 16" xfId="5185"/>
    <cellStyle name="Normal 3 18 16 2" xfId="5186"/>
    <cellStyle name="Normal 3 18 16 2 2" xfId="5187"/>
    <cellStyle name="Normal 3 18 16 3" xfId="5188"/>
    <cellStyle name="Normal 3 18 17" xfId="5189"/>
    <cellStyle name="Normal 3 18 17 2" xfId="5190"/>
    <cellStyle name="Normal 3 18 17 2 2" xfId="5191"/>
    <cellStyle name="Normal 3 18 17 3" xfId="5192"/>
    <cellStyle name="Normal 3 18 18" xfId="5193"/>
    <cellStyle name="Normal 3 18 18 2" xfId="5194"/>
    <cellStyle name="Normal 3 18 18 2 2" xfId="5195"/>
    <cellStyle name="Normal 3 18 18 3" xfId="5196"/>
    <cellStyle name="Normal 3 18 19" xfId="5197"/>
    <cellStyle name="Normal 3 18 19 2" xfId="5198"/>
    <cellStyle name="Normal 3 18 19 2 2" xfId="5199"/>
    <cellStyle name="Normal 3 18 19 3" xfId="5200"/>
    <cellStyle name="Normal 3 18 2" xfId="5201"/>
    <cellStyle name="Normal 3 18 2 2" xfId="5202"/>
    <cellStyle name="Normal 3 18 2 2 2" xfId="5203"/>
    <cellStyle name="Normal 3 18 2 3" xfId="5204"/>
    <cellStyle name="Normal 3 18 20" xfId="5205"/>
    <cellStyle name="Normal 3 18 20 2" xfId="5206"/>
    <cellStyle name="Normal 3 18 20 2 2" xfId="5207"/>
    <cellStyle name="Normal 3 18 20 3" xfId="5208"/>
    <cellStyle name="Normal 3 18 21" xfId="5209"/>
    <cellStyle name="Normal 3 18 21 2" xfId="5210"/>
    <cellStyle name="Normal 3 18 21 2 2" xfId="5211"/>
    <cellStyle name="Normal 3 18 21 3" xfId="5212"/>
    <cellStyle name="Normal 3 18 22" xfId="5213"/>
    <cellStyle name="Normal 3 18 22 2" xfId="5214"/>
    <cellStyle name="Normal 3 18 22 2 2" xfId="5215"/>
    <cellStyle name="Normal 3 18 22 3" xfId="5216"/>
    <cellStyle name="Normal 3 18 23" xfId="5217"/>
    <cellStyle name="Normal 3 18 23 2" xfId="5218"/>
    <cellStyle name="Normal 3 18 23 2 2" xfId="5219"/>
    <cellStyle name="Normal 3 18 23 3" xfId="5220"/>
    <cellStyle name="Normal 3 18 24" xfId="5221"/>
    <cellStyle name="Normal 3 18 24 2" xfId="5222"/>
    <cellStyle name="Normal 3 18 25" xfId="5223"/>
    <cellStyle name="Normal 3 18 3" xfId="5224"/>
    <cellStyle name="Normal 3 18 3 2" xfId="5225"/>
    <cellStyle name="Normal 3 18 3 2 2" xfId="5226"/>
    <cellStyle name="Normal 3 18 3 3" xfId="5227"/>
    <cellStyle name="Normal 3 18 4" xfId="5228"/>
    <cellStyle name="Normal 3 18 4 2" xfId="5229"/>
    <cellStyle name="Normal 3 18 4 2 2" xfId="5230"/>
    <cellStyle name="Normal 3 18 4 3" xfId="5231"/>
    <cellStyle name="Normal 3 18 5" xfId="5232"/>
    <cellStyle name="Normal 3 18 5 2" xfId="5233"/>
    <cellStyle name="Normal 3 18 5 2 2" xfId="5234"/>
    <cellStyle name="Normal 3 18 5 3" xfId="5235"/>
    <cellStyle name="Normal 3 18 6" xfId="5236"/>
    <cellStyle name="Normal 3 18 6 2" xfId="5237"/>
    <cellStyle name="Normal 3 18 6 2 2" xfId="5238"/>
    <cellStyle name="Normal 3 18 6 3" xfId="5239"/>
    <cellStyle name="Normal 3 18 7" xfId="5240"/>
    <cellStyle name="Normal 3 18 7 2" xfId="5241"/>
    <cellStyle name="Normal 3 18 7 2 2" xfId="5242"/>
    <cellStyle name="Normal 3 18 7 3" xfId="5243"/>
    <cellStyle name="Normal 3 18 8" xfId="5244"/>
    <cellStyle name="Normal 3 18 8 2" xfId="5245"/>
    <cellStyle name="Normal 3 18 8 2 2" xfId="5246"/>
    <cellStyle name="Normal 3 18 8 3" xfId="5247"/>
    <cellStyle name="Normal 3 18 9" xfId="5248"/>
    <cellStyle name="Normal 3 18 9 2" xfId="5249"/>
    <cellStyle name="Normal 3 18 9 2 2" xfId="5250"/>
    <cellStyle name="Normal 3 18 9 3" xfId="5251"/>
    <cellStyle name="Normal 3 19" xfId="5252"/>
    <cellStyle name="Normal 3 19 10" xfId="5253"/>
    <cellStyle name="Normal 3 19 10 2" xfId="5254"/>
    <cellStyle name="Normal 3 19 10 2 2" xfId="5255"/>
    <cellStyle name="Normal 3 19 10 3" xfId="5256"/>
    <cellStyle name="Normal 3 19 11" xfId="5257"/>
    <cellStyle name="Normal 3 19 11 2" xfId="5258"/>
    <cellStyle name="Normal 3 19 11 2 2" xfId="5259"/>
    <cellStyle name="Normal 3 19 11 3" xfId="5260"/>
    <cellStyle name="Normal 3 19 12" xfId="5261"/>
    <cellStyle name="Normal 3 19 12 2" xfId="5262"/>
    <cellStyle name="Normal 3 19 12 2 2" xfId="5263"/>
    <cellStyle name="Normal 3 19 12 3" xfId="5264"/>
    <cellStyle name="Normal 3 19 13" xfId="5265"/>
    <cellStyle name="Normal 3 19 13 2" xfId="5266"/>
    <cellStyle name="Normal 3 19 13 2 2" xfId="5267"/>
    <cellStyle name="Normal 3 19 13 3" xfId="5268"/>
    <cellStyle name="Normal 3 19 14" xfId="5269"/>
    <cellStyle name="Normal 3 19 14 2" xfId="5270"/>
    <cellStyle name="Normal 3 19 14 2 2" xfId="5271"/>
    <cellStyle name="Normal 3 19 14 3" xfId="5272"/>
    <cellStyle name="Normal 3 19 15" xfId="5273"/>
    <cellStyle name="Normal 3 19 15 2" xfId="5274"/>
    <cellStyle name="Normal 3 19 15 2 2" xfId="5275"/>
    <cellStyle name="Normal 3 19 15 3" xfId="5276"/>
    <cellStyle name="Normal 3 19 16" xfId="5277"/>
    <cellStyle name="Normal 3 19 16 2" xfId="5278"/>
    <cellStyle name="Normal 3 19 16 2 2" xfId="5279"/>
    <cellStyle name="Normal 3 19 16 3" xfId="5280"/>
    <cellStyle name="Normal 3 19 17" xfId="5281"/>
    <cellStyle name="Normal 3 19 17 2" xfId="5282"/>
    <cellStyle name="Normal 3 19 17 2 2" xfId="5283"/>
    <cellStyle name="Normal 3 19 17 3" xfId="5284"/>
    <cellStyle name="Normal 3 19 18" xfId="5285"/>
    <cellStyle name="Normal 3 19 18 2" xfId="5286"/>
    <cellStyle name="Normal 3 19 18 2 2" xfId="5287"/>
    <cellStyle name="Normal 3 19 18 3" xfId="5288"/>
    <cellStyle name="Normal 3 19 19" xfId="5289"/>
    <cellStyle name="Normal 3 19 19 2" xfId="5290"/>
    <cellStyle name="Normal 3 19 19 2 2" xfId="5291"/>
    <cellStyle name="Normal 3 19 19 3" xfId="5292"/>
    <cellStyle name="Normal 3 19 2" xfId="5293"/>
    <cellStyle name="Normal 3 19 2 2" xfId="5294"/>
    <cellStyle name="Normal 3 19 2 2 2" xfId="5295"/>
    <cellStyle name="Normal 3 19 2 3" xfId="5296"/>
    <cellStyle name="Normal 3 19 20" xfId="5297"/>
    <cellStyle name="Normal 3 19 20 2" xfId="5298"/>
    <cellStyle name="Normal 3 19 20 2 2" xfId="5299"/>
    <cellStyle name="Normal 3 19 20 3" xfId="5300"/>
    <cellStyle name="Normal 3 19 21" xfId="5301"/>
    <cellStyle name="Normal 3 19 21 2" xfId="5302"/>
    <cellStyle name="Normal 3 19 21 2 2" xfId="5303"/>
    <cellStyle name="Normal 3 19 21 3" xfId="5304"/>
    <cellStyle name="Normal 3 19 22" xfId="5305"/>
    <cellStyle name="Normal 3 19 22 2" xfId="5306"/>
    <cellStyle name="Normal 3 19 22 2 2" xfId="5307"/>
    <cellStyle name="Normal 3 19 22 3" xfId="5308"/>
    <cellStyle name="Normal 3 19 23" xfId="5309"/>
    <cellStyle name="Normal 3 19 23 2" xfId="5310"/>
    <cellStyle name="Normal 3 19 23 2 2" xfId="5311"/>
    <cellStyle name="Normal 3 19 23 3" xfId="5312"/>
    <cellStyle name="Normal 3 19 24" xfId="5313"/>
    <cellStyle name="Normal 3 19 24 2" xfId="5314"/>
    <cellStyle name="Normal 3 19 25" xfId="5315"/>
    <cellStyle name="Normal 3 19 3" xfId="5316"/>
    <cellStyle name="Normal 3 19 3 2" xfId="5317"/>
    <cellStyle name="Normal 3 19 3 2 2" xfId="5318"/>
    <cellStyle name="Normal 3 19 3 3" xfId="5319"/>
    <cellStyle name="Normal 3 19 4" xfId="5320"/>
    <cellStyle name="Normal 3 19 4 2" xfId="5321"/>
    <cellStyle name="Normal 3 19 4 2 2" xfId="5322"/>
    <cellStyle name="Normal 3 19 4 3" xfId="5323"/>
    <cellStyle name="Normal 3 19 5" xfId="5324"/>
    <cellStyle name="Normal 3 19 5 2" xfId="5325"/>
    <cellStyle name="Normal 3 19 5 2 2" xfId="5326"/>
    <cellStyle name="Normal 3 19 5 3" xfId="5327"/>
    <cellStyle name="Normal 3 19 6" xfId="5328"/>
    <cellStyle name="Normal 3 19 6 2" xfId="5329"/>
    <cellStyle name="Normal 3 19 6 2 2" xfId="5330"/>
    <cellStyle name="Normal 3 19 6 3" xfId="5331"/>
    <cellStyle name="Normal 3 19 7" xfId="5332"/>
    <cellStyle name="Normal 3 19 7 2" xfId="5333"/>
    <cellStyle name="Normal 3 19 7 2 2" xfId="5334"/>
    <cellStyle name="Normal 3 19 7 3" xfId="5335"/>
    <cellStyle name="Normal 3 19 8" xfId="5336"/>
    <cellStyle name="Normal 3 19 8 2" xfId="5337"/>
    <cellStyle name="Normal 3 19 8 2 2" xfId="5338"/>
    <cellStyle name="Normal 3 19 8 3" xfId="5339"/>
    <cellStyle name="Normal 3 19 9" xfId="5340"/>
    <cellStyle name="Normal 3 19 9 2" xfId="5341"/>
    <cellStyle name="Normal 3 19 9 2 2" xfId="5342"/>
    <cellStyle name="Normal 3 19 9 3" xfId="5343"/>
    <cellStyle name="Normal 3 2" xfId="267"/>
    <cellStyle name="Normal 3 2 10" xfId="5344"/>
    <cellStyle name="Normal 3 2 10 2" xfId="5345"/>
    <cellStyle name="Normal 3 2 10 2 2" xfId="5346"/>
    <cellStyle name="Normal 3 2 10 3" xfId="5347"/>
    <cellStyle name="Normal 3 2 11" xfId="5348"/>
    <cellStyle name="Normal 3 2 11 2" xfId="5349"/>
    <cellStyle name="Normal 3 2 11 2 2" xfId="5350"/>
    <cellStyle name="Normal 3 2 11 3" xfId="5351"/>
    <cellStyle name="Normal 3 2 12" xfId="5352"/>
    <cellStyle name="Normal 3 2 12 2" xfId="5353"/>
    <cellStyle name="Normal 3 2 12 2 2" xfId="5354"/>
    <cellStyle name="Normal 3 2 12 3" xfId="5355"/>
    <cellStyle name="Normal 3 2 13" xfId="5356"/>
    <cellStyle name="Normal 3 2 13 2" xfId="5357"/>
    <cellStyle name="Normal 3 2 13 2 2" xfId="5358"/>
    <cellStyle name="Normal 3 2 13 3" xfId="5359"/>
    <cellStyle name="Normal 3 2 14" xfId="5360"/>
    <cellStyle name="Normal 3 2 14 2" xfId="5361"/>
    <cellStyle name="Normal 3 2 14 2 2" xfId="5362"/>
    <cellStyle name="Normal 3 2 14 3" xfId="5363"/>
    <cellStyle name="Normal 3 2 15" xfId="5364"/>
    <cellStyle name="Normal 3 2 15 2" xfId="5365"/>
    <cellStyle name="Normal 3 2 15 2 2" xfId="5366"/>
    <cellStyle name="Normal 3 2 15 3" xfId="5367"/>
    <cellStyle name="Normal 3 2 16" xfId="5368"/>
    <cellStyle name="Normal 3 2 16 2" xfId="5369"/>
    <cellStyle name="Normal 3 2 16 2 2" xfId="5370"/>
    <cellStyle name="Normal 3 2 16 3" xfId="5371"/>
    <cellStyle name="Normal 3 2 17" xfId="5372"/>
    <cellStyle name="Normal 3 2 17 2" xfId="5373"/>
    <cellStyle name="Normal 3 2 17 2 2" xfId="5374"/>
    <cellStyle name="Normal 3 2 17 3" xfId="5375"/>
    <cellStyle name="Normal 3 2 18" xfId="5376"/>
    <cellStyle name="Normal 3 2 18 2" xfId="5377"/>
    <cellStyle name="Normal 3 2 18 2 2" xfId="5378"/>
    <cellStyle name="Normal 3 2 18 3" xfId="5379"/>
    <cellStyle name="Normal 3 2 19" xfId="5380"/>
    <cellStyle name="Normal 3 2 19 2" xfId="5381"/>
    <cellStyle name="Normal 3 2 19 2 2" xfId="5382"/>
    <cellStyle name="Normal 3 2 19 3" xfId="5383"/>
    <cellStyle name="Normal 3 2 2" xfId="268"/>
    <cellStyle name="Normal 3 2 2 10" xfId="5384"/>
    <cellStyle name="Normal 3 2 2 10 2" xfId="5385"/>
    <cellStyle name="Normal 3 2 2 10 2 2" xfId="5386"/>
    <cellStyle name="Normal 3 2 2 10 3" xfId="5387"/>
    <cellStyle name="Normal 3 2 2 11" xfId="5388"/>
    <cellStyle name="Normal 3 2 2 11 2" xfId="5389"/>
    <cellStyle name="Normal 3 2 2 11 2 2" xfId="5390"/>
    <cellStyle name="Normal 3 2 2 11 3" xfId="5391"/>
    <cellStyle name="Normal 3 2 2 12" xfId="5392"/>
    <cellStyle name="Normal 3 2 2 12 2" xfId="5393"/>
    <cellStyle name="Normal 3 2 2 12 2 2" xfId="5394"/>
    <cellStyle name="Normal 3 2 2 12 3" xfId="5395"/>
    <cellStyle name="Normal 3 2 2 13" xfId="5396"/>
    <cellStyle name="Normal 3 2 2 13 2" xfId="5397"/>
    <cellStyle name="Normal 3 2 2 13 2 2" xfId="5398"/>
    <cellStyle name="Normal 3 2 2 13 3" xfId="5399"/>
    <cellStyle name="Normal 3 2 2 14" xfId="5400"/>
    <cellStyle name="Normal 3 2 2 14 2" xfId="5401"/>
    <cellStyle name="Normal 3 2 2 14 2 2" xfId="5402"/>
    <cellStyle name="Normal 3 2 2 14 3" xfId="5403"/>
    <cellStyle name="Normal 3 2 2 15" xfId="5404"/>
    <cellStyle name="Normal 3 2 2 15 2" xfId="5405"/>
    <cellStyle name="Normal 3 2 2 15 2 2" xfId="5406"/>
    <cellStyle name="Normal 3 2 2 15 3" xfId="5407"/>
    <cellStyle name="Normal 3 2 2 16" xfId="5408"/>
    <cellStyle name="Normal 3 2 2 16 2" xfId="5409"/>
    <cellStyle name="Normal 3 2 2 16 2 2" xfId="5410"/>
    <cellStyle name="Normal 3 2 2 16 3" xfId="5411"/>
    <cellStyle name="Normal 3 2 2 17" xfId="5412"/>
    <cellStyle name="Normal 3 2 2 17 2" xfId="5413"/>
    <cellStyle name="Normal 3 2 2 17 2 2" xfId="5414"/>
    <cellStyle name="Normal 3 2 2 17 3" xfId="5415"/>
    <cellStyle name="Normal 3 2 2 18" xfId="5416"/>
    <cellStyle name="Normal 3 2 2 18 2" xfId="5417"/>
    <cellStyle name="Normal 3 2 2 18 2 2" xfId="5418"/>
    <cellStyle name="Normal 3 2 2 18 3" xfId="5419"/>
    <cellStyle name="Normal 3 2 2 19" xfId="5420"/>
    <cellStyle name="Normal 3 2 2 19 2" xfId="5421"/>
    <cellStyle name="Normal 3 2 2 19 2 2" xfId="5422"/>
    <cellStyle name="Normal 3 2 2 19 3" xfId="5423"/>
    <cellStyle name="Normal 3 2 2 2" xfId="5424"/>
    <cellStyle name="Normal 3 2 2 2 2" xfId="5425"/>
    <cellStyle name="Normal 3 2 2 2 2 2" xfId="5426"/>
    <cellStyle name="Normal 3 2 2 2 3" xfId="5427"/>
    <cellStyle name="Normal 3 2 2 20" xfId="5428"/>
    <cellStyle name="Normal 3 2 2 20 2" xfId="5429"/>
    <cellStyle name="Normal 3 2 2 20 2 2" xfId="5430"/>
    <cellStyle name="Normal 3 2 2 20 3" xfId="5431"/>
    <cellStyle name="Normal 3 2 2 21" xfId="5432"/>
    <cellStyle name="Normal 3 2 2 21 2" xfId="5433"/>
    <cellStyle name="Normal 3 2 2 21 2 2" xfId="5434"/>
    <cellStyle name="Normal 3 2 2 21 3" xfId="5435"/>
    <cellStyle name="Normal 3 2 2 22" xfId="5436"/>
    <cellStyle name="Normal 3 2 2 22 2" xfId="5437"/>
    <cellStyle name="Normal 3 2 2 22 2 2" xfId="5438"/>
    <cellStyle name="Normal 3 2 2 22 3" xfId="5439"/>
    <cellStyle name="Normal 3 2 2 23" xfId="5440"/>
    <cellStyle name="Normal 3 2 2 23 2" xfId="5441"/>
    <cellStyle name="Normal 3 2 2 23 2 2" xfId="5442"/>
    <cellStyle name="Normal 3 2 2 23 3" xfId="5443"/>
    <cellStyle name="Normal 3 2 2 24" xfId="5444"/>
    <cellStyle name="Normal 3 2 2 24 2" xfId="5445"/>
    <cellStyle name="Normal 3 2 2 24 2 2" xfId="5446"/>
    <cellStyle name="Normal 3 2 2 24 3" xfId="5447"/>
    <cellStyle name="Normal 3 2 2 25" xfId="5448"/>
    <cellStyle name="Normal 3 2 2 25 2" xfId="5449"/>
    <cellStyle name="Normal 3 2 2 25 2 2" xfId="5450"/>
    <cellStyle name="Normal 3 2 2 25 3" xfId="5451"/>
    <cellStyle name="Normal 3 2 2 26" xfId="5452"/>
    <cellStyle name="Normal 3 2 2 26 2" xfId="5453"/>
    <cellStyle name="Normal 3 2 2 26 2 2" xfId="5454"/>
    <cellStyle name="Normal 3 2 2 26 3" xfId="5455"/>
    <cellStyle name="Normal 3 2 2 27" xfId="5456"/>
    <cellStyle name="Normal 3 2 2 27 2" xfId="5457"/>
    <cellStyle name="Normal 3 2 2 27 2 2" xfId="5458"/>
    <cellStyle name="Normal 3 2 2 27 3" xfId="5459"/>
    <cellStyle name="Normal 3 2 2 28" xfId="5460"/>
    <cellStyle name="Normal 3 2 2 28 2" xfId="5461"/>
    <cellStyle name="Normal 3 2 2 28 2 2" xfId="5462"/>
    <cellStyle name="Normal 3 2 2 28 3" xfId="5463"/>
    <cellStyle name="Normal 3 2 2 29" xfId="5464"/>
    <cellStyle name="Normal 3 2 2 29 2" xfId="5465"/>
    <cellStyle name="Normal 3 2 2 29 2 2" xfId="5466"/>
    <cellStyle name="Normal 3 2 2 29 3" xfId="5467"/>
    <cellStyle name="Normal 3 2 2 3" xfId="5468"/>
    <cellStyle name="Normal 3 2 2 3 2" xfId="5469"/>
    <cellStyle name="Normal 3 2 2 3 2 2" xfId="5470"/>
    <cellStyle name="Normal 3 2 2 3 3" xfId="5471"/>
    <cellStyle name="Normal 3 2 2 30" xfId="5472"/>
    <cellStyle name="Normal 3 2 2 30 2" xfId="5473"/>
    <cellStyle name="Normal 3 2 2 30 2 2" xfId="5474"/>
    <cellStyle name="Normal 3 2 2 30 3" xfId="5475"/>
    <cellStyle name="Normal 3 2 2 31" xfId="5476"/>
    <cellStyle name="Normal 3 2 2 31 2" xfId="5477"/>
    <cellStyle name="Normal 3 2 2 31 2 2" xfId="5478"/>
    <cellStyle name="Normal 3 2 2 31 3" xfId="5479"/>
    <cellStyle name="Normal 3 2 2 32" xfId="5480"/>
    <cellStyle name="Normal 3 2 2 32 2" xfId="5481"/>
    <cellStyle name="Normal 3 2 2 32 2 2" xfId="5482"/>
    <cellStyle name="Normal 3 2 2 32 3" xfId="5483"/>
    <cellStyle name="Normal 3 2 2 33" xfId="5484"/>
    <cellStyle name="Normal 3 2 2 33 2" xfId="5485"/>
    <cellStyle name="Normal 3 2 2 33 2 2" xfId="5486"/>
    <cellStyle name="Normal 3 2 2 33 3" xfId="5487"/>
    <cellStyle name="Normal 3 2 2 34" xfId="5488"/>
    <cellStyle name="Normal 3 2 2 34 2" xfId="5489"/>
    <cellStyle name="Normal 3 2 2 35" xfId="5490"/>
    <cellStyle name="Normal 3 2 2 4" xfId="5491"/>
    <cellStyle name="Normal 3 2 2 4 2" xfId="5492"/>
    <cellStyle name="Normal 3 2 2 4 2 2" xfId="5493"/>
    <cellStyle name="Normal 3 2 2 4 3" xfId="5494"/>
    <cellStyle name="Normal 3 2 2 5" xfId="5495"/>
    <cellStyle name="Normal 3 2 2 5 2" xfId="5496"/>
    <cellStyle name="Normal 3 2 2 5 2 2" xfId="5497"/>
    <cellStyle name="Normal 3 2 2 5 3" xfId="5498"/>
    <cellStyle name="Normal 3 2 2 6" xfId="5499"/>
    <cellStyle name="Normal 3 2 2 6 2" xfId="5500"/>
    <cellStyle name="Normal 3 2 2 6 2 2" xfId="5501"/>
    <cellStyle name="Normal 3 2 2 6 3" xfId="5502"/>
    <cellStyle name="Normal 3 2 2 7" xfId="5503"/>
    <cellStyle name="Normal 3 2 2 7 2" xfId="5504"/>
    <cellStyle name="Normal 3 2 2 7 2 2" xfId="5505"/>
    <cellStyle name="Normal 3 2 2 7 3" xfId="5506"/>
    <cellStyle name="Normal 3 2 2 8" xfId="5507"/>
    <cellStyle name="Normal 3 2 2 8 2" xfId="5508"/>
    <cellStyle name="Normal 3 2 2 8 2 2" xfId="5509"/>
    <cellStyle name="Normal 3 2 2 8 3" xfId="5510"/>
    <cellStyle name="Normal 3 2 2 9" xfId="5511"/>
    <cellStyle name="Normal 3 2 2 9 2" xfId="5512"/>
    <cellStyle name="Normal 3 2 2 9 2 2" xfId="5513"/>
    <cellStyle name="Normal 3 2 2 9 3" xfId="5514"/>
    <cellStyle name="Normal 3 2 20" xfId="5515"/>
    <cellStyle name="Normal 3 2 20 2" xfId="5516"/>
    <cellStyle name="Normal 3 2 20 2 2" xfId="5517"/>
    <cellStyle name="Normal 3 2 20 3" xfId="5518"/>
    <cellStyle name="Normal 3 2 21" xfId="5519"/>
    <cellStyle name="Normal 3 2 21 2" xfId="5520"/>
    <cellStyle name="Normal 3 2 21 2 2" xfId="5521"/>
    <cellStyle name="Normal 3 2 21 3" xfId="5522"/>
    <cellStyle name="Normal 3 2 22" xfId="5523"/>
    <cellStyle name="Normal 3 2 22 2" xfId="5524"/>
    <cellStyle name="Normal 3 2 22 2 2" xfId="5525"/>
    <cellStyle name="Normal 3 2 22 3" xfId="5526"/>
    <cellStyle name="Normal 3 2 23" xfId="5527"/>
    <cellStyle name="Normal 3 2 23 2" xfId="5528"/>
    <cellStyle name="Normal 3 2 23 2 2" xfId="5529"/>
    <cellStyle name="Normal 3 2 23 3" xfId="5530"/>
    <cellStyle name="Normal 3 2 24" xfId="5531"/>
    <cellStyle name="Normal 3 2 24 2" xfId="5532"/>
    <cellStyle name="Normal 3 2 24 2 2" xfId="5533"/>
    <cellStyle name="Normal 3 2 24 3" xfId="5534"/>
    <cellStyle name="Normal 3 2 25" xfId="5535"/>
    <cellStyle name="Normal 3 2 25 2" xfId="5536"/>
    <cellStyle name="Normal 3 2 25 2 2" xfId="5537"/>
    <cellStyle name="Normal 3 2 25 3" xfId="5538"/>
    <cellStyle name="Normal 3 2 26" xfId="5539"/>
    <cellStyle name="Normal 3 2 26 2" xfId="5540"/>
    <cellStyle name="Normal 3 2 26 2 2" xfId="5541"/>
    <cellStyle name="Normal 3 2 26 3" xfId="5542"/>
    <cellStyle name="Normal 3 2 27" xfId="5543"/>
    <cellStyle name="Normal 3 2 27 2" xfId="5544"/>
    <cellStyle name="Normal 3 2 27 2 2" xfId="5545"/>
    <cellStyle name="Normal 3 2 27 3" xfId="5546"/>
    <cellStyle name="Normal 3 2 28" xfId="5547"/>
    <cellStyle name="Normal 3 2 28 2" xfId="5548"/>
    <cellStyle name="Normal 3 2 28 2 2" xfId="5549"/>
    <cellStyle name="Normal 3 2 28 3" xfId="5550"/>
    <cellStyle name="Normal 3 2 29" xfId="5551"/>
    <cellStyle name="Normal 3 2 29 2" xfId="5552"/>
    <cellStyle name="Normal 3 2 29 2 2" xfId="5553"/>
    <cellStyle name="Normal 3 2 29 3" xfId="5554"/>
    <cellStyle name="Normal 3 2 3" xfId="269"/>
    <cellStyle name="Normal 3 2 3 2" xfId="5555"/>
    <cellStyle name="Normal 3 2 3 2 2" xfId="5556"/>
    <cellStyle name="Normal 3 2 3 3" xfId="5557"/>
    <cellStyle name="Normal 3 2 30" xfId="5558"/>
    <cellStyle name="Normal 3 2 30 2" xfId="5559"/>
    <cellStyle name="Normal 3 2 30 2 2" xfId="5560"/>
    <cellStyle name="Normal 3 2 30 3" xfId="5561"/>
    <cellStyle name="Normal 3 2 31" xfId="5562"/>
    <cellStyle name="Normal 3 2 31 2" xfId="5563"/>
    <cellStyle name="Normal 3 2 31 2 2" xfId="5564"/>
    <cellStyle name="Normal 3 2 31 3" xfId="5565"/>
    <cellStyle name="Normal 3 2 32" xfId="5566"/>
    <cellStyle name="Normal 3 2 32 2" xfId="5567"/>
    <cellStyle name="Normal 3 2 32 2 2" xfId="5568"/>
    <cellStyle name="Normal 3 2 32 3" xfId="5569"/>
    <cellStyle name="Normal 3 2 33" xfId="5570"/>
    <cellStyle name="Normal 3 2 33 2" xfId="5571"/>
    <cellStyle name="Normal 3 2 33 2 2" xfId="5572"/>
    <cellStyle name="Normal 3 2 33 3" xfId="5573"/>
    <cellStyle name="Normal 3 2 34" xfId="5574"/>
    <cellStyle name="Normal 3 2 34 2" xfId="5575"/>
    <cellStyle name="Normal 3 2 34 2 2" xfId="5576"/>
    <cellStyle name="Normal 3 2 34 3" xfId="5577"/>
    <cellStyle name="Normal 3 2 35" xfId="5578"/>
    <cellStyle name="Normal 3 2 35 2" xfId="5579"/>
    <cellStyle name="Normal 3 2 35 2 2" xfId="5580"/>
    <cellStyle name="Normal 3 2 35 3" xfId="5581"/>
    <cellStyle name="Normal 3 2 36" xfId="5582"/>
    <cellStyle name="Normal 3 2 36 2" xfId="5583"/>
    <cellStyle name="Normal 3 2 36 2 2" xfId="5584"/>
    <cellStyle name="Normal 3 2 36 3" xfId="5585"/>
    <cellStyle name="Normal 3 2 37" xfId="5586"/>
    <cellStyle name="Normal 3 2 37 2" xfId="5587"/>
    <cellStyle name="Normal 3 2 37 2 2" xfId="5588"/>
    <cellStyle name="Normal 3 2 37 3" xfId="5589"/>
    <cellStyle name="Normal 3 2 38" xfId="5590"/>
    <cellStyle name="Normal 3 2 38 2" xfId="5591"/>
    <cellStyle name="Normal 3 2 38 2 2" xfId="5592"/>
    <cellStyle name="Normal 3 2 38 3" xfId="5593"/>
    <cellStyle name="Normal 3 2 39" xfId="5594"/>
    <cellStyle name="Normal 3 2 39 2" xfId="5595"/>
    <cellStyle name="Normal 3 2 39 2 2" xfId="5596"/>
    <cellStyle name="Normal 3 2 39 3" xfId="5597"/>
    <cellStyle name="Normal 3 2 4" xfId="5598"/>
    <cellStyle name="Normal 3 2 4 2" xfId="5599"/>
    <cellStyle name="Normal 3 2 4 2 2" xfId="5600"/>
    <cellStyle name="Normal 3 2 4 3" xfId="5601"/>
    <cellStyle name="Normal 3 2 40" xfId="5602"/>
    <cellStyle name="Normal 3 2 40 2" xfId="5603"/>
    <cellStyle name="Normal 3 2 40 2 2" xfId="5604"/>
    <cellStyle name="Normal 3 2 40 3" xfId="5605"/>
    <cellStyle name="Normal 3 2 41" xfId="5606"/>
    <cellStyle name="Normal 3 2 41 2" xfId="5607"/>
    <cellStyle name="Normal 3 2 41 2 2" xfId="5608"/>
    <cellStyle name="Normal 3 2 41 3" xfId="5609"/>
    <cellStyle name="Normal 3 2 42" xfId="5610"/>
    <cellStyle name="Normal 3 2 42 2" xfId="5611"/>
    <cellStyle name="Normal 3 2 42 2 2" xfId="5612"/>
    <cellStyle name="Normal 3 2 42 3" xfId="5613"/>
    <cellStyle name="Normal 3 2 43" xfId="5614"/>
    <cellStyle name="Normal 3 2 43 2" xfId="5615"/>
    <cellStyle name="Normal 3 2 43 2 2" xfId="5616"/>
    <cellStyle name="Normal 3 2 43 3" xfId="5617"/>
    <cellStyle name="Normal 3 2 44" xfId="5618"/>
    <cellStyle name="Normal 3 2 44 2" xfId="5619"/>
    <cellStyle name="Normal 3 2 44 2 2" xfId="5620"/>
    <cellStyle name="Normal 3 2 44 3" xfId="5621"/>
    <cellStyle name="Normal 3 2 45" xfId="5622"/>
    <cellStyle name="Normal 3 2 45 2" xfId="5623"/>
    <cellStyle name="Normal 3 2 45 2 2" xfId="5624"/>
    <cellStyle name="Normal 3 2 45 3" xfId="5625"/>
    <cellStyle name="Normal 3 2 46" xfId="5626"/>
    <cellStyle name="Normal 3 2 46 2" xfId="5627"/>
    <cellStyle name="Normal 3 2 46 2 2" xfId="5628"/>
    <cellStyle name="Normal 3 2 46 3" xfId="5629"/>
    <cellStyle name="Normal 3 2 47" xfId="5630"/>
    <cellStyle name="Normal 3 2 47 2" xfId="5631"/>
    <cellStyle name="Normal 3 2 47 2 2" xfId="5632"/>
    <cellStyle name="Normal 3 2 47 3" xfId="5633"/>
    <cellStyle name="Normal 3 2 48" xfId="5634"/>
    <cellStyle name="Normal 3 2 48 2" xfId="5635"/>
    <cellStyle name="Normal 3 2 48 2 2" xfId="5636"/>
    <cellStyle name="Normal 3 2 48 3" xfId="5637"/>
    <cellStyle name="Normal 3 2 49" xfId="5638"/>
    <cellStyle name="Normal 3 2 49 2" xfId="5639"/>
    <cellStyle name="Normal 3 2 49 2 2" xfId="5640"/>
    <cellStyle name="Normal 3 2 49 3" xfId="5641"/>
    <cellStyle name="Normal 3 2 5" xfId="5642"/>
    <cellStyle name="Normal 3 2 5 2" xfId="5643"/>
    <cellStyle name="Normal 3 2 5 2 2" xfId="5644"/>
    <cellStyle name="Normal 3 2 5 3" xfId="5645"/>
    <cellStyle name="Normal 3 2 50" xfId="5646"/>
    <cellStyle name="Normal 3 2 50 2" xfId="5647"/>
    <cellStyle name="Normal 3 2 50 2 2" xfId="5648"/>
    <cellStyle name="Normal 3 2 50 3" xfId="5649"/>
    <cellStyle name="Normal 3 2 51" xfId="5650"/>
    <cellStyle name="Normal 3 2 51 2" xfId="5651"/>
    <cellStyle name="Normal 3 2 51 2 2" xfId="5652"/>
    <cellStyle name="Normal 3 2 51 3" xfId="5653"/>
    <cellStyle name="Normal 3 2 52" xfId="5654"/>
    <cellStyle name="Normal 3 2 52 2" xfId="5655"/>
    <cellStyle name="Normal 3 2 52 2 2" xfId="5656"/>
    <cellStyle name="Normal 3 2 52 3" xfId="5657"/>
    <cellStyle name="Normal 3 2 53" xfId="5658"/>
    <cellStyle name="Normal 3 2 53 2" xfId="5659"/>
    <cellStyle name="Normal 3 2 53 2 2" xfId="5660"/>
    <cellStyle name="Normal 3 2 53 3" xfId="5661"/>
    <cellStyle name="Normal 3 2 54" xfId="5662"/>
    <cellStyle name="Normal 3 2 54 2" xfId="5663"/>
    <cellStyle name="Normal 3 2 54 2 2" xfId="5664"/>
    <cellStyle name="Normal 3 2 54 3" xfId="5665"/>
    <cellStyle name="Normal 3 2 55" xfId="5666"/>
    <cellStyle name="Normal 3 2 55 2" xfId="5667"/>
    <cellStyle name="Normal 3 2 55 2 2" xfId="5668"/>
    <cellStyle name="Normal 3 2 55 3" xfId="5669"/>
    <cellStyle name="Normal 3 2 56" xfId="5670"/>
    <cellStyle name="Normal 3 2 57" xfId="5671"/>
    <cellStyle name="Normal 3 2 57 2" xfId="5672"/>
    <cellStyle name="Normal 3 2 58" xfId="5673"/>
    <cellStyle name="Normal 3 2 59" xfId="5674"/>
    <cellStyle name="Normal 3 2 6" xfId="5675"/>
    <cellStyle name="Normal 3 2 6 2" xfId="5676"/>
    <cellStyle name="Normal 3 2 6 2 2" xfId="5677"/>
    <cellStyle name="Normal 3 2 6 3" xfId="5678"/>
    <cellStyle name="Normal 3 2 60" xfId="5679"/>
    <cellStyle name="Normal 3 2 7" xfId="5680"/>
    <cellStyle name="Normal 3 2 7 2" xfId="5681"/>
    <cellStyle name="Normal 3 2 7 2 2" xfId="5682"/>
    <cellStyle name="Normal 3 2 7 3" xfId="5683"/>
    <cellStyle name="Normal 3 2 8" xfId="5684"/>
    <cellStyle name="Normal 3 2 8 2" xfId="5685"/>
    <cellStyle name="Normal 3 2 8 2 2" xfId="5686"/>
    <cellStyle name="Normal 3 2 8 3" xfId="5687"/>
    <cellStyle name="Normal 3 2 9" xfId="5688"/>
    <cellStyle name="Normal 3 2 9 2" xfId="5689"/>
    <cellStyle name="Normal 3 2 9 2 2" xfId="5690"/>
    <cellStyle name="Normal 3 2 9 3" xfId="5691"/>
    <cellStyle name="Normal 3 20" xfId="5692"/>
    <cellStyle name="Normal 3 20 10" xfId="5693"/>
    <cellStyle name="Normal 3 20 10 2" xfId="5694"/>
    <cellStyle name="Normal 3 20 10 2 2" xfId="5695"/>
    <cellStyle name="Normal 3 20 10 3" xfId="5696"/>
    <cellStyle name="Normal 3 20 11" xfId="5697"/>
    <cellStyle name="Normal 3 20 11 2" xfId="5698"/>
    <cellStyle name="Normal 3 20 11 2 2" xfId="5699"/>
    <cellStyle name="Normal 3 20 11 3" xfId="5700"/>
    <cellStyle name="Normal 3 20 12" xfId="5701"/>
    <cellStyle name="Normal 3 20 12 2" xfId="5702"/>
    <cellStyle name="Normal 3 20 12 2 2" xfId="5703"/>
    <cellStyle name="Normal 3 20 12 3" xfId="5704"/>
    <cellStyle name="Normal 3 20 13" xfId="5705"/>
    <cellStyle name="Normal 3 20 13 2" xfId="5706"/>
    <cellStyle name="Normal 3 20 13 2 2" xfId="5707"/>
    <cellStyle name="Normal 3 20 13 3" xfId="5708"/>
    <cellStyle name="Normal 3 20 14" xfId="5709"/>
    <cellStyle name="Normal 3 20 14 2" xfId="5710"/>
    <cellStyle name="Normal 3 20 14 2 2" xfId="5711"/>
    <cellStyle name="Normal 3 20 14 3" xfId="5712"/>
    <cellStyle name="Normal 3 20 15" xfId="5713"/>
    <cellStyle name="Normal 3 20 15 2" xfId="5714"/>
    <cellStyle name="Normal 3 20 15 2 2" xfId="5715"/>
    <cellStyle name="Normal 3 20 15 3" xfId="5716"/>
    <cellStyle name="Normal 3 20 16" xfId="5717"/>
    <cellStyle name="Normal 3 20 16 2" xfId="5718"/>
    <cellStyle name="Normal 3 20 16 2 2" xfId="5719"/>
    <cellStyle name="Normal 3 20 16 3" xfId="5720"/>
    <cellStyle name="Normal 3 20 17" xfId="5721"/>
    <cellStyle name="Normal 3 20 17 2" xfId="5722"/>
    <cellStyle name="Normal 3 20 17 2 2" xfId="5723"/>
    <cellStyle name="Normal 3 20 17 3" xfId="5724"/>
    <cellStyle name="Normal 3 20 18" xfId="5725"/>
    <cellStyle name="Normal 3 20 18 2" xfId="5726"/>
    <cellStyle name="Normal 3 20 18 2 2" xfId="5727"/>
    <cellStyle name="Normal 3 20 18 3" xfId="5728"/>
    <cellStyle name="Normal 3 20 19" xfId="5729"/>
    <cellStyle name="Normal 3 20 19 2" xfId="5730"/>
    <cellStyle name="Normal 3 20 19 2 2" xfId="5731"/>
    <cellStyle name="Normal 3 20 19 3" xfId="5732"/>
    <cellStyle name="Normal 3 20 2" xfId="5733"/>
    <cellStyle name="Normal 3 20 2 2" xfId="5734"/>
    <cellStyle name="Normal 3 20 2 2 2" xfId="5735"/>
    <cellStyle name="Normal 3 20 2 3" xfId="5736"/>
    <cellStyle name="Normal 3 20 20" xfId="5737"/>
    <cellStyle name="Normal 3 20 20 2" xfId="5738"/>
    <cellStyle name="Normal 3 20 20 2 2" xfId="5739"/>
    <cellStyle name="Normal 3 20 20 3" xfId="5740"/>
    <cellStyle name="Normal 3 20 21" xfId="5741"/>
    <cellStyle name="Normal 3 20 21 2" xfId="5742"/>
    <cellStyle name="Normal 3 20 21 2 2" xfId="5743"/>
    <cellStyle name="Normal 3 20 21 3" xfId="5744"/>
    <cellStyle name="Normal 3 20 22" xfId="5745"/>
    <cellStyle name="Normal 3 20 22 2" xfId="5746"/>
    <cellStyle name="Normal 3 20 22 2 2" xfId="5747"/>
    <cellStyle name="Normal 3 20 22 3" xfId="5748"/>
    <cellStyle name="Normal 3 20 23" xfId="5749"/>
    <cellStyle name="Normal 3 20 23 2" xfId="5750"/>
    <cellStyle name="Normal 3 20 23 2 2" xfId="5751"/>
    <cellStyle name="Normal 3 20 23 3" xfId="5752"/>
    <cellStyle name="Normal 3 20 24" xfId="5753"/>
    <cellStyle name="Normal 3 20 24 2" xfId="5754"/>
    <cellStyle name="Normal 3 20 25" xfId="5755"/>
    <cellStyle name="Normal 3 20 3" xfId="5756"/>
    <cellStyle name="Normal 3 20 3 2" xfId="5757"/>
    <cellStyle name="Normal 3 20 3 2 2" xfId="5758"/>
    <cellStyle name="Normal 3 20 3 3" xfId="5759"/>
    <cellStyle name="Normal 3 20 4" xfId="5760"/>
    <cellStyle name="Normal 3 20 4 2" xfId="5761"/>
    <cellStyle name="Normal 3 20 4 2 2" xfId="5762"/>
    <cellStyle name="Normal 3 20 4 3" xfId="5763"/>
    <cellStyle name="Normal 3 20 5" xfId="5764"/>
    <cellStyle name="Normal 3 20 5 2" xfId="5765"/>
    <cellStyle name="Normal 3 20 5 2 2" xfId="5766"/>
    <cellStyle name="Normal 3 20 5 3" xfId="5767"/>
    <cellStyle name="Normal 3 20 6" xfId="5768"/>
    <cellStyle name="Normal 3 20 6 2" xfId="5769"/>
    <cellStyle name="Normal 3 20 6 2 2" xfId="5770"/>
    <cellStyle name="Normal 3 20 6 3" xfId="5771"/>
    <cellStyle name="Normal 3 20 7" xfId="5772"/>
    <cellStyle name="Normal 3 20 7 2" xfId="5773"/>
    <cellStyle name="Normal 3 20 7 2 2" xfId="5774"/>
    <cellStyle name="Normal 3 20 7 3" xfId="5775"/>
    <cellStyle name="Normal 3 20 8" xfId="5776"/>
    <cellStyle name="Normal 3 20 8 2" xfId="5777"/>
    <cellStyle name="Normal 3 20 8 2 2" xfId="5778"/>
    <cellStyle name="Normal 3 20 8 3" xfId="5779"/>
    <cellStyle name="Normal 3 20 9" xfId="5780"/>
    <cellStyle name="Normal 3 20 9 2" xfId="5781"/>
    <cellStyle name="Normal 3 20 9 2 2" xfId="5782"/>
    <cellStyle name="Normal 3 20 9 3" xfId="5783"/>
    <cellStyle name="Normal 3 21" xfId="5784"/>
    <cellStyle name="Normal 3 21 10" xfId="5785"/>
    <cellStyle name="Normal 3 21 10 2" xfId="5786"/>
    <cellStyle name="Normal 3 21 10 2 2" xfId="5787"/>
    <cellStyle name="Normal 3 21 10 3" xfId="5788"/>
    <cellStyle name="Normal 3 21 11" xfId="5789"/>
    <cellStyle name="Normal 3 21 11 2" xfId="5790"/>
    <cellStyle name="Normal 3 21 11 2 2" xfId="5791"/>
    <cellStyle name="Normal 3 21 11 3" xfId="5792"/>
    <cellStyle name="Normal 3 21 12" xfId="5793"/>
    <cellStyle name="Normal 3 21 12 2" xfId="5794"/>
    <cellStyle name="Normal 3 21 12 2 2" xfId="5795"/>
    <cellStyle name="Normal 3 21 12 3" xfId="5796"/>
    <cellStyle name="Normal 3 21 13" xfId="5797"/>
    <cellStyle name="Normal 3 21 13 2" xfId="5798"/>
    <cellStyle name="Normal 3 21 13 2 2" xfId="5799"/>
    <cellStyle name="Normal 3 21 13 3" xfId="5800"/>
    <cellStyle name="Normal 3 21 14" xfId="5801"/>
    <cellStyle name="Normal 3 21 14 2" xfId="5802"/>
    <cellStyle name="Normal 3 21 14 2 2" xfId="5803"/>
    <cellStyle name="Normal 3 21 14 3" xfId="5804"/>
    <cellStyle name="Normal 3 21 15" xfId="5805"/>
    <cellStyle name="Normal 3 21 15 2" xfId="5806"/>
    <cellStyle name="Normal 3 21 15 2 2" xfId="5807"/>
    <cellStyle name="Normal 3 21 15 3" xfId="5808"/>
    <cellStyle name="Normal 3 21 16" xfId="5809"/>
    <cellStyle name="Normal 3 21 16 2" xfId="5810"/>
    <cellStyle name="Normal 3 21 16 2 2" xfId="5811"/>
    <cellStyle name="Normal 3 21 16 3" xfId="5812"/>
    <cellStyle name="Normal 3 21 17" xfId="5813"/>
    <cellStyle name="Normal 3 21 17 2" xfId="5814"/>
    <cellStyle name="Normal 3 21 17 2 2" xfId="5815"/>
    <cellStyle name="Normal 3 21 17 3" xfId="5816"/>
    <cellStyle name="Normal 3 21 18" xfId="5817"/>
    <cellStyle name="Normal 3 21 18 2" xfId="5818"/>
    <cellStyle name="Normal 3 21 18 2 2" xfId="5819"/>
    <cellStyle name="Normal 3 21 18 3" xfId="5820"/>
    <cellStyle name="Normal 3 21 19" xfId="5821"/>
    <cellStyle name="Normal 3 21 19 2" xfId="5822"/>
    <cellStyle name="Normal 3 21 19 2 2" xfId="5823"/>
    <cellStyle name="Normal 3 21 19 3" xfId="5824"/>
    <cellStyle name="Normal 3 21 2" xfId="5825"/>
    <cellStyle name="Normal 3 21 2 2" xfId="5826"/>
    <cellStyle name="Normal 3 21 2 2 2" xfId="5827"/>
    <cellStyle name="Normal 3 21 2 3" xfId="5828"/>
    <cellStyle name="Normal 3 21 20" xfId="5829"/>
    <cellStyle name="Normal 3 21 20 2" xfId="5830"/>
    <cellStyle name="Normal 3 21 20 2 2" xfId="5831"/>
    <cellStyle name="Normal 3 21 20 3" xfId="5832"/>
    <cellStyle name="Normal 3 21 21" xfId="5833"/>
    <cellStyle name="Normal 3 21 21 2" xfId="5834"/>
    <cellStyle name="Normal 3 21 21 2 2" xfId="5835"/>
    <cellStyle name="Normal 3 21 21 3" xfId="5836"/>
    <cellStyle name="Normal 3 21 22" xfId="5837"/>
    <cellStyle name="Normal 3 21 22 2" xfId="5838"/>
    <cellStyle name="Normal 3 21 22 2 2" xfId="5839"/>
    <cellStyle name="Normal 3 21 22 3" xfId="5840"/>
    <cellStyle name="Normal 3 21 23" xfId="5841"/>
    <cellStyle name="Normal 3 21 23 2" xfId="5842"/>
    <cellStyle name="Normal 3 21 23 2 2" xfId="5843"/>
    <cellStyle name="Normal 3 21 23 3" xfId="5844"/>
    <cellStyle name="Normal 3 21 24" xfId="5845"/>
    <cellStyle name="Normal 3 21 24 2" xfId="5846"/>
    <cellStyle name="Normal 3 21 25" xfId="5847"/>
    <cellStyle name="Normal 3 21 3" xfId="5848"/>
    <cellStyle name="Normal 3 21 3 2" xfId="5849"/>
    <cellStyle name="Normal 3 21 3 2 2" xfId="5850"/>
    <cellStyle name="Normal 3 21 3 3" xfId="5851"/>
    <cellStyle name="Normal 3 21 4" xfId="5852"/>
    <cellStyle name="Normal 3 21 4 2" xfId="5853"/>
    <cellStyle name="Normal 3 21 4 2 2" xfId="5854"/>
    <cellStyle name="Normal 3 21 4 3" xfId="5855"/>
    <cellStyle name="Normal 3 21 5" xfId="5856"/>
    <cellStyle name="Normal 3 21 5 2" xfId="5857"/>
    <cellStyle name="Normal 3 21 5 2 2" xfId="5858"/>
    <cellStyle name="Normal 3 21 5 3" xfId="5859"/>
    <cellStyle name="Normal 3 21 6" xfId="5860"/>
    <cellStyle name="Normal 3 21 6 2" xfId="5861"/>
    <cellStyle name="Normal 3 21 6 2 2" xfId="5862"/>
    <cellStyle name="Normal 3 21 6 3" xfId="5863"/>
    <cellStyle name="Normal 3 21 7" xfId="5864"/>
    <cellStyle name="Normal 3 21 7 2" xfId="5865"/>
    <cellStyle name="Normal 3 21 7 2 2" xfId="5866"/>
    <cellStyle name="Normal 3 21 7 3" xfId="5867"/>
    <cellStyle name="Normal 3 21 8" xfId="5868"/>
    <cellStyle name="Normal 3 21 8 2" xfId="5869"/>
    <cellStyle name="Normal 3 21 8 2 2" xfId="5870"/>
    <cellStyle name="Normal 3 21 8 3" xfId="5871"/>
    <cellStyle name="Normal 3 21 9" xfId="5872"/>
    <cellStyle name="Normal 3 21 9 2" xfId="5873"/>
    <cellStyle name="Normal 3 21 9 2 2" xfId="5874"/>
    <cellStyle name="Normal 3 21 9 3" xfId="5875"/>
    <cellStyle name="Normal 3 22" xfId="5876"/>
    <cellStyle name="Normal 3 22 10" xfId="5877"/>
    <cellStyle name="Normal 3 22 10 2" xfId="5878"/>
    <cellStyle name="Normal 3 22 10 2 2" xfId="5879"/>
    <cellStyle name="Normal 3 22 10 3" xfId="5880"/>
    <cellStyle name="Normal 3 22 11" xfId="5881"/>
    <cellStyle name="Normal 3 22 11 2" xfId="5882"/>
    <cellStyle name="Normal 3 22 11 2 2" xfId="5883"/>
    <cellStyle name="Normal 3 22 11 3" xfId="5884"/>
    <cellStyle name="Normal 3 22 12" xfId="5885"/>
    <cellStyle name="Normal 3 22 12 2" xfId="5886"/>
    <cellStyle name="Normal 3 22 12 2 2" xfId="5887"/>
    <cellStyle name="Normal 3 22 12 3" xfId="5888"/>
    <cellStyle name="Normal 3 22 13" xfId="5889"/>
    <cellStyle name="Normal 3 22 13 2" xfId="5890"/>
    <cellStyle name="Normal 3 22 13 2 2" xfId="5891"/>
    <cellStyle name="Normal 3 22 13 3" xfId="5892"/>
    <cellStyle name="Normal 3 22 14" xfId="5893"/>
    <cellStyle name="Normal 3 22 14 2" xfId="5894"/>
    <cellStyle name="Normal 3 22 14 2 2" xfId="5895"/>
    <cellStyle name="Normal 3 22 14 3" xfId="5896"/>
    <cellStyle name="Normal 3 22 15" xfId="5897"/>
    <cellStyle name="Normal 3 22 15 2" xfId="5898"/>
    <cellStyle name="Normal 3 22 15 2 2" xfId="5899"/>
    <cellStyle name="Normal 3 22 15 3" xfId="5900"/>
    <cellStyle name="Normal 3 22 16" xfId="5901"/>
    <cellStyle name="Normal 3 22 16 2" xfId="5902"/>
    <cellStyle name="Normal 3 22 16 2 2" xfId="5903"/>
    <cellStyle name="Normal 3 22 16 3" xfId="5904"/>
    <cellStyle name="Normal 3 22 17" xfId="5905"/>
    <cellStyle name="Normal 3 22 17 2" xfId="5906"/>
    <cellStyle name="Normal 3 22 17 2 2" xfId="5907"/>
    <cellStyle name="Normal 3 22 17 3" xfId="5908"/>
    <cellStyle name="Normal 3 22 18" xfId="5909"/>
    <cellStyle name="Normal 3 22 18 2" xfId="5910"/>
    <cellStyle name="Normal 3 22 18 2 2" xfId="5911"/>
    <cellStyle name="Normal 3 22 18 3" xfId="5912"/>
    <cellStyle name="Normal 3 22 19" xfId="5913"/>
    <cellStyle name="Normal 3 22 19 2" xfId="5914"/>
    <cellStyle name="Normal 3 22 19 2 2" xfId="5915"/>
    <cellStyle name="Normal 3 22 19 3" xfId="5916"/>
    <cellStyle name="Normal 3 22 2" xfId="5917"/>
    <cellStyle name="Normal 3 22 2 2" xfId="5918"/>
    <cellStyle name="Normal 3 22 2 2 2" xfId="5919"/>
    <cellStyle name="Normal 3 22 2 3" xfId="5920"/>
    <cellStyle name="Normal 3 22 20" xfId="5921"/>
    <cellStyle name="Normal 3 22 20 2" xfId="5922"/>
    <cellStyle name="Normal 3 22 20 2 2" xfId="5923"/>
    <cellStyle name="Normal 3 22 20 3" xfId="5924"/>
    <cellStyle name="Normal 3 22 21" xfId="5925"/>
    <cellStyle name="Normal 3 22 21 2" xfId="5926"/>
    <cellStyle name="Normal 3 22 21 2 2" xfId="5927"/>
    <cellStyle name="Normal 3 22 21 3" xfId="5928"/>
    <cellStyle name="Normal 3 22 22" xfId="5929"/>
    <cellStyle name="Normal 3 22 22 2" xfId="5930"/>
    <cellStyle name="Normal 3 22 22 2 2" xfId="5931"/>
    <cellStyle name="Normal 3 22 22 3" xfId="5932"/>
    <cellStyle name="Normal 3 22 23" xfId="5933"/>
    <cellStyle name="Normal 3 22 23 2" xfId="5934"/>
    <cellStyle name="Normal 3 22 23 2 2" xfId="5935"/>
    <cellStyle name="Normal 3 22 23 3" xfId="5936"/>
    <cellStyle name="Normal 3 22 24" xfId="5937"/>
    <cellStyle name="Normal 3 22 24 2" xfId="5938"/>
    <cellStyle name="Normal 3 22 25" xfId="5939"/>
    <cellStyle name="Normal 3 22 3" xfId="5940"/>
    <cellStyle name="Normal 3 22 3 2" xfId="5941"/>
    <cellStyle name="Normal 3 22 3 2 2" xfId="5942"/>
    <cellStyle name="Normal 3 22 3 3" xfId="5943"/>
    <cellStyle name="Normal 3 22 4" xfId="5944"/>
    <cellStyle name="Normal 3 22 4 2" xfId="5945"/>
    <cellStyle name="Normal 3 22 4 2 2" xfId="5946"/>
    <cellStyle name="Normal 3 22 4 3" xfId="5947"/>
    <cellStyle name="Normal 3 22 5" xfId="5948"/>
    <cellStyle name="Normal 3 22 5 2" xfId="5949"/>
    <cellStyle name="Normal 3 22 5 2 2" xfId="5950"/>
    <cellStyle name="Normal 3 22 5 3" xfId="5951"/>
    <cellStyle name="Normal 3 22 6" xfId="5952"/>
    <cellStyle name="Normal 3 22 6 2" xfId="5953"/>
    <cellStyle name="Normal 3 22 6 2 2" xfId="5954"/>
    <cellStyle name="Normal 3 22 6 3" xfId="5955"/>
    <cellStyle name="Normal 3 22 7" xfId="5956"/>
    <cellStyle name="Normal 3 22 7 2" xfId="5957"/>
    <cellStyle name="Normal 3 22 7 2 2" xfId="5958"/>
    <cellStyle name="Normal 3 22 7 3" xfId="5959"/>
    <cellStyle name="Normal 3 22 8" xfId="5960"/>
    <cellStyle name="Normal 3 22 8 2" xfId="5961"/>
    <cellStyle name="Normal 3 22 8 2 2" xfId="5962"/>
    <cellStyle name="Normal 3 22 8 3" xfId="5963"/>
    <cellStyle name="Normal 3 22 9" xfId="5964"/>
    <cellStyle name="Normal 3 22 9 2" xfId="5965"/>
    <cellStyle name="Normal 3 22 9 2 2" xfId="5966"/>
    <cellStyle name="Normal 3 22 9 3" xfId="5967"/>
    <cellStyle name="Normal 3 23" xfId="5968"/>
    <cellStyle name="Normal 3 23 10" xfId="5969"/>
    <cellStyle name="Normal 3 23 10 2" xfId="5970"/>
    <cellStyle name="Normal 3 23 10 2 2" xfId="5971"/>
    <cellStyle name="Normal 3 23 10 3" xfId="5972"/>
    <cellStyle name="Normal 3 23 11" xfId="5973"/>
    <cellStyle name="Normal 3 23 11 2" xfId="5974"/>
    <cellStyle name="Normal 3 23 11 2 2" xfId="5975"/>
    <cellStyle name="Normal 3 23 11 3" xfId="5976"/>
    <cellStyle name="Normal 3 23 12" xfId="5977"/>
    <cellStyle name="Normal 3 23 12 2" xfId="5978"/>
    <cellStyle name="Normal 3 23 12 2 2" xfId="5979"/>
    <cellStyle name="Normal 3 23 12 3" xfId="5980"/>
    <cellStyle name="Normal 3 23 13" xfId="5981"/>
    <cellStyle name="Normal 3 23 13 2" xfId="5982"/>
    <cellStyle name="Normal 3 23 13 2 2" xfId="5983"/>
    <cellStyle name="Normal 3 23 13 3" xfId="5984"/>
    <cellStyle name="Normal 3 23 14" xfId="5985"/>
    <cellStyle name="Normal 3 23 14 2" xfId="5986"/>
    <cellStyle name="Normal 3 23 14 2 2" xfId="5987"/>
    <cellStyle name="Normal 3 23 14 3" xfId="5988"/>
    <cellStyle name="Normal 3 23 15" xfId="5989"/>
    <cellStyle name="Normal 3 23 15 2" xfId="5990"/>
    <cellStyle name="Normal 3 23 15 2 2" xfId="5991"/>
    <cellStyle name="Normal 3 23 15 3" xfId="5992"/>
    <cellStyle name="Normal 3 23 16" xfId="5993"/>
    <cellStyle name="Normal 3 23 16 2" xfId="5994"/>
    <cellStyle name="Normal 3 23 16 2 2" xfId="5995"/>
    <cellStyle name="Normal 3 23 16 3" xfId="5996"/>
    <cellStyle name="Normal 3 23 17" xfId="5997"/>
    <cellStyle name="Normal 3 23 17 2" xfId="5998"/>
    <cellStyle name="Normal 3 23 17 2 2" xfId="5999"/>
    <cellStyle name="Normal 3 23 17 3" xfId="6000"/>
    <cellStyle name="Normal 3 23 18" xfId="6001"/>
    <cellStyle name="Normal 3 23 18 2" xfId="6002"/>
    <cellStyle name="Normal 3 23 18 2 2" xfId="6003"/>
    <cellStyle name="Normal 3 23 18 3" xfId="6004"/>
    <cellStyle name="Normal 3 23 19" xfId="6005"/>
    <cellStyle name="Normal 3 23 19 2" xfId="6006"/>
    <cellStyle name="Normal 3 23 19 2 2" xfId="6007"/>
    <cellStyle name="Normal 3 23 19 3" xfId="6008"/>
    <cellStyle name="Normal 3 23 2" xfId="6009"/>
    <cellStyle name="Normal 3 23 2 2" xfId="6010"/>
    <cellStyle name="Normal 3 23 2 2 2" xfId="6011"/>
    <cellStyle name="Normal 3 23 2 3" xfId="6012"/>
    <cellStyle name="Normal 3 23 20" xfId="6013"/>
    <cellStyle name="Normal 3 23 20 2" xfId="6014"/>
    <cellStyle name="Normal 3 23 20 2 2" xfId="6015"/>
    <cellStyle name="Normal 3 23 20 3" xfId="6016"/>
    <cellStyle name="Normal 3 23 21" xfId="6017"/>
    <cellStyle name="Normal 3 23 21 2" xfId="6018"/>
    <cellStyle name="Normal 3 23 21 2 2" xfId="6019"/>
    <cellStyle name="Normal 3 23 21 3" xfId="6020"/>
    <cellStyle name="Normal 3 23 22" xfId="6021"/>
    <cellStyle name="Normal 3 23 22 2" xfId="6022"/>
    <cellStyle name="Normal 3 23 22 2 2" xfId="6023"/>
    <cellStyle name="Normal 3 23 22 3" xfId="6024"/>
    <cellStyle name="Normal 3 23 23" xfId="6025"/>
    <cellStyle name="Normal 3 23 23 2" xfId="6026"/>
    <cellStyle name="Normal 3 23 23 2 2" xfId="6027"/>
    <cellStyle name="Normal 3 23 23 3" xfId="6028"/>
    <cellStyle name="Normal 3 23 24" xfId="6029"/>
    <cellStyle name="Normal 3 23 24 2" xfId="6030"/>
    <cellStyle name="Normal 3 23 25" xfId="6031"/>
    <cellStyle name="Normal 3 23 3" xfId="6032"/>
    <cellStyle name="Normal 3 23 3 2" xfId="6033"/>
    <cellStyle name="Normal 3 23 3 2 2" xfId="6034"/>
    <cellStyle name="Normal 3 23 3 3" xfId="6035"/>
    <cellStyle name="Normal 3 23 4" xfId="6036"/>
    <cellStyle name="Normal 3 23 4 2" xfId="6037"/>
    <cellStyle name="Normal 3 23 4 2 2" xfId="6038"/>
    <cellStyle name="Normal 3 23 4 3" xfId="6039"/>
    <cellStyle name="Normal 3 23 5" xfId="6040"/>
    <cellStyle name="Normal 3 23 5 2" xfId="6041"/>
    <cellStyle name="Normal 3 23 5 2 2" xfId="6042"/>
    <cellStyle name="Normal 3 23 5 3" xfId="6043"/>
    <cellStyle name="Normal 3 23 6" xfId="6044"/>
    <cellStyle name="Normal 3 23 6 2" xfId="6045"/>
    <cellStyle name="Normal 3 23 6 2 2" xfId="6046"/>
    <cellStyle name="Normal 3 23 6 3" xfId="6047"/>
    <cellStyle name="Normal 3 23 7" xfId="6048"/>
    <cellStyle name="Normal 3 23 7 2" xfId="6049"/>
    <cellStyle name="Normal 3 23 7 2 2" xfId="6050"/>
    <cellStyle name="Normal 3 23 7 3" xfId="6051"/>
    <cellStyle name="Normal 3 23 8" xfId="6052"/>
    <cellStyle name="Normal 3 23 8 2" xfId="6053"/>
    <cellStyle name="Normal 3 23 8 2 2" xfId="6054"/>
    <cellStyle name="Normal 3 23 8 3" xfId="6055"/>
    <cellStyle name="Normal 3 23 9" xfId="6056"/>
    <cellStyle name="Normal 3 23 9 2" xfId="6057"/>
    <cellStyle name="Normal 3 23 9 2 2" xfId="6058"/>
    <cellStyle name="Normal 3 23 9 3" xfId="6059"/>
    <cellStyle name="Normal 3 24" xfId="6060"/>
    <cellStyle name="Normal 3 24 10" xfId="6061"/>
    <cellStyle name="Normal 3 24 10 2" xfId="6062"/>
    <cellStyle name="Normal 3 24 10 2 2" xfId="6063"/>
    <cellStyle name="Normal 3 24 10 3" xfId="6064"/>
    <cellStyle name="Normal 3 24 11" xfId="6065"/>
    <cellStyle name="Normal 3 24 11 2" xfId="6066"/>
    <cellStyle name="Normal 3 24 11 2 2" xfId="6067"/>
    <cellStyle name="Normal 3 24 11 3" xfId="6068"/>
    <cellStyle name="Normal 3 24 12" xfId="6069"/>
    <cellStyle name="Normal 3 24 12 2" xfId="6070"/>
    <cellStyle name="Normal 3 24 12 2 2" xfId="6071"/>
    <cellStyle name="Normal 3 24 12 3" xfId="6072"/>
    <cellStyle name="Normal 3 24 13" xfId="6073"/>
    <cellStyle name="Normal 3 24 13 2" xfId="6074"/>
    <cellStyle name="Normal 3 24 13 2 2" xfId="6075"/>
    <cellStyle name="Normal 3 24 13 3" xfId="6076"/>
    <cellStyle name="Normal 3 24 14" xfId="6077"/>
    <cellStyle name="Normal 3 24 14 2" xfId="6078"/>
    <cellStyle name="Normal 3 24 14 2 2" xfId="6079"/>
    <cellStyle name="Normal 3 24 14 3" xfId="6080"/>
    <cellStyle name="Normal 3 24 15" xfId="6081"/>
    <cellStyle name="Normal 3 24 15 2" xfId="6082"/>
    <cellStyle name="Normal 3 24 15 2 2" xfId="6083"/>
    <cellStyle name="Normal 3 24 15 3" xfId="6084"/>
    <cellStyle name="Normal 3 24 16" xfId="6085"/>
    <cellStyle name="Normal 3 24 16 2" xfId="6086"/>
    <cellStyle name="Normal 3 24 16 2 2" xfId="6087"/>
    <cellStyle name="Normal 3 24 16 3" xfId="6088"/>
    <cellStyle name="Normal 3 24 17" xfId="6089"/>
    <cellStyle name="Normal 3 24 17 2" xfId="6090"/>
    <cellStyle name="Normal 3 24 17 2 2" xfId="6091"/>
    <cellStyle name="Normal 3 24 17 3" xfId="6092"/>
    <cellStyle name="Normal 3 24 18" xfId="6093"/>
    <cellStyle name="Normal 3 24 18 2" xfId="6094"/>
    <cellStyle name="Normal 3 24 18 2 2" xfId="6095"/>
    <cellStyle name="Normal 3 24 18 3" xfId="6096"/>
    <cellStyle name="Normal 3 24 19" xfId="6097"/>
    <cellStyle name="Normal 3 24 19 2" xfId="6098"/>
    <cellStyle name="Normal 3 24 19 2 2" xfId="6099"/>
    <cellStyle name="Normal 3 24 19 3" xfId="6100"/>
    <cellStyle name="Normal 3 24 2" xfId="6101"/>
    <cellStyle name="Normal 3 24 2 2" xfId="6102"/>
    <cellStyle name="Normal 3 24 2 2 2" xfId="6103"/>
    <cellStyle name="Normal 3 24 2 3" xfId="6104"/>
    <cellStyle name="Normal 3 24 20" xfId="6105"/>
    <cellStyle name="Normal 3 24 20 2" xfId="6106"/>
    <cellStyle name="Normal 3 24 20 2 2" xfId="6107"/>
    <cellStyle name="Normal 3 24 20 3" xfId="6108"/>
    <cellStyle name="Normal 3 24 21" xfId="6109"/>
    <cellStyle name="Normal 3 24 21 2" xfId="6110"/>
    <cellStyle name="Normal 3 24 21 2 2" xfId="6111"/>
    <cellStyle name="Normal 3 24 21 3" xfId="6112"/>
    <cellStyle name="Normal 3 24 22" xfId="6113"/>
    <cellStyle name="Normal 3 24 22 2" xfId="6114"/>
    <cellStyle name="Normal 3 24 22 2 2" xfId="6115"/>
    <cellStyle name="Normal 3 24 22 3" xfId="6116"/>
    <cellStyle name="Normal 3 24 23" xfId="6117"/>
    <cellStyle name="Normal 3 24 23 2" xfId="6118"/>
    <cellStyle name="Normal 3 24 23 2 2" xfId="6119"/>
    <cellStyle name="Normal 3 24 23 3" xfId="6120"/>
    <cellStyle name="Normal 3 24 24" xfId="6121"/>
    <cellStyle name="Normal 3 24 24 2" xfId="6122"/>
    <cellStyle name="Normal 3 24 25" xfId="6123"/>
    <cellStyle name="Normal 3 24 3" xfId="6124"/>
    <cellStyle name="Normal 3 24 3 2" xfId="6125"/>
    <cellStyle name="Normal 3 24 3 2 2" xfId="6126"/>
    <cellStyle name="Normal 3 24 3 3" xfId="6127"/>
    <cellStyle name="Normal 3 24 4" xfId="6128"/>
    <cellStyle name="Normal 3 24 4 2" xfId="6129"/>
    <cellStyle name="Normal 3 24 4 2 2" xfId="6130"/>
    <cellStyle name="Normal 3 24 4 3" xfId="6131"/>
    <cellStyle name="Normal 3 24 5" xfId="6132"/>
    <cellStyle name="Normal 3 24 5 2" xfId="6133"/>
    <cellStyle name="Normal 3 24 5 2 2" xfId="6134"/>
    <cellStyle name="Normal 3 24 5 3" xfId="6135"/>
    <cellStyle name="Normal 3 24 6" xfId="6136"/>
    <cellStyle name="Normal 3 24 6 2" xfId="6137"/>
    <cellStyle name="Normal 3 24 6 2 2" xfId="6138"/>
    <cellStyle name="Normal 3 24 6 3" xfId="6139"/>
    <cellStyle name="Normal 3 24 7" xfId="6140"/>
    <cellStyle name="Normal 3 24 7 2" xfId="6141"/>
    <cellStyle name="Normal 3 24 7 2 2" xfId="6142"/>
    <cellStyle name="Normal 3 24 7 3" xfId="6143"/>
    <cellStyle name="Normal 3 24 8" xfId="6144"/>
    <cellStyle name="Normal 3 24 8 2" xfId="6145"/>
    <cellStyle name="Normal 3 24 8 2 2" xfId="6146"/>
    <cellStyle name="Normal 3 24 8 3" xfId="6147"/>
    <cellStyle name="Normal 3 24 9" xfId="6148"/>
    <cellStyle name="Normal 3 24 9 2" xfId="6149"/>
    <cellStyle name="Normal 3 24 9 2 2" xfId="6150"/>
    <cellStyle name="Normal 3 24 9 3" xfId="6151"/>
    <cellStyle name="Normal 3 25" xfId="6152"/>
    <cellStyle name="Normal 3 25 10" xfId="6153"/>
    <cellStyle name="Normal 3 25 10 2" xfId="6154"/>
    <cellStyle name="Normal 3 25 10 2 2" xfId="6155"/>
    <cellStyle name="Normal 3 25 10 3" xfId="6156"/>
    <cellStyle name="Normal 3 25 11" xfId="6157"/>
    <cellStyle name="Normal 3 25 11 2" xfId="6158"/>
    <cellStyle name="Normal 3 25 11 2 2" xfId="6159"/>
    <cellStyle name="Normal 3 25 11 3" xfId="6160"/>
    <cellStyle name="Normal 3 25 12" xfId="6161"/>
    <cellStyle name="Normal 3 25 12 2" xfId="6162"/>
    <cellStyle name="Normal 3 25 12 2 2" xfId="6163"/>
    <cellStyle name="Normal 3 25 12 3" xfId="6164"/>
    <cellStyle name="Normal 3 25 13" xfId="6165"/>
    <cellStyle name="Normal 3 25 13 2" xfId="6166"/>
    <cellStyle name="Normal 3 25 13 2 2" xfId="6167"/>
    <cellStyle name="Normal 3 25 13 3" xfId="6168"/>
    <cellStyle name="Normal 3 25 14" xfId="6169"/>
    <cellStyle name="Normal 3 25 14 2" xfId="6170"/>
    <cellStyle name="Normal 3 25 14 2 2" xfId="6171"/>
    <cellStyle name="Normal 3 25 14 3" xfId="6172"/>
    <cellStyle name="Normal 3 25 15" xfId="6173"/>
    <cellStyle name="Normal 3 25 15 2" xfId="6174"/>
    <cellStyle name="Normal 3 25 15 2 2" xfId="6175"/>
    <cellStyle name="Normal 3 25 15 3" xfId="6176"/>
    <cellStyle name="Normal 3 25 16" xfId="6177"/>
    <cellStyle name="Normal 3 25 16 2" xfId="6178"/>
    <cellStyle name="Normal 3 25 16 2 2" xfId="6179"/>
    <cellStyle name="Normal 3 25 16 3" xfId="6180"/>
    <cellStyle name="Normal 3 25 17" xfId="6181"/>
    <cellStyle name="Normal 3 25 17 2" xfId="6182"/>
    <cellStyle name="Normal 3 25 17 2 2" xfId="6183"/>
    <cellStyle name="Normal 3 25 17 3" xfId="6184"/>
    <cellStyle name="Normal 3 25 18" xfId="6185"/>
    <cellStyle name="Normal 3 25 18 2" xfId="6186"/>
    <cellStyle name="Normal 3 25 18 2 2" xfId="6187"/>
    <cellStyle name="Normal 3 25 18 3" xfId="6188"/>
    <cellStyle name="Normal 3 25 19" xfId="6189"/>
    <cellStyle name="Normal 3 25 19 2" xfId="6190"/>
    <cellStyle name="Normal 3 25 19 2 2" xfId="6191"/>
    <cellStyle name="Normal 3 25 19 3" xfId="6192"/>
    <cellStyle name="Normal 3 25 2" xfId="6193"/>
    <cellStyle name="Normal 3 25 2 2" xfId="6194"/>
    <cellStyle name="Normal 3 25 2 2 2" xfId="6195"/>
    <cellStyle name="Normal 3 25 2 3" xfId="6196"/>
    <cellStyle name="Normal 3 25 20" xfId="6197"/>
    <cellStyle name="Normal 3 25 20 2" xfId="6198"/>
    <cellStyle name="Normal 3 25 20 2 2" xfId="6199"/>
    <cellStyle name="Normal 3 25 20 3" xfId="6200"/>
    <cellStyle name="Normal 3 25 21" xfId="6201"/>
    <cellStyle name="Normal 3 25 21 2" xfId="6202"/>
    <cellStyle name="Normal 3 25 21 2 2" xfId="6203"/>
    <cellStyle name="Normal 3 25 21 3" xfId="6204"/>
    <cellStyle name="Normal 3 25 22" xfId="6205"/>
    <cellStyle name="Normal 3 25 22 2" xfId="6206"/>
    <cellStyle name="Normal 3 25 22 2 2" xfId="6207"/>
    <cellStyle name="Normal 3 25 22 3" xfId="6208"/>
    <cellStyle name="Normal 3 25 23" xfId="6209"/>
    <cellStyle name="Normal 3 25 23 2" xfId="6210"/>
    <cellStyle name="Normal 3 25 23 2 2" xfId="6211"/>
    <cellStyle name="Normal 3 25 23 3" xfId="6212"/>
    <cellStyle name="Normal 3 25 24" xfId="6213"/>
    <cellStyle name="Normal 3 25 24 2" xfId="6214"/>
    <cellStyle name="Normal 3 25 25" xfId="6215"/>
    <cellStyle name="Normal 3 25 3" xfId="6216"/>
    <cellStyle name="Normal 3 25 3 2" xfId="6217"/>
    <cellStyle name="Normal 3 25 3 2 2" xfId="6218"/>
    <cellStyle name="Normal 3 25 3 3" xfId="6219"/>
    <cellStyle name="Normal 3 25 4" xfId="6220"/>
    <cellStyle name="Normal 3 25 4 2" xfId="6221"/>
    <cellStyle name="Normal 3 25 4 2 2" xfId="6222"/>
    <cellStyle name="Normal 3 25 4 3" xfId="6223"/>
    <cellStyle name="Normal 3 25 5" xfId="6224"/>
    <cellStyle name="Normal 3 25 5 2" xfId="6225"/>
    <cellStyle name="Normal 3 25 5 2 2" xfId="6226"/>
    <cellStyle name="Normal 3 25 5 3" xfId="6227"/>
    <cellStyle name="Normal 3 25 6" xfId="6228"/>
    <cellStyle name="Normal 3 25 6 2" xfId="6229"/>
    <cellStyle name="Normal 3 25 6 2 2" xfId="6230"/>
    <cellStyle name="Normal 3 25 6 3" xfId="6231"/>
    <cellStyle name="Normal 3 25 7" xfId="6232"/>
    <cellStyle name="Normal 3 25 7 2" xfId="6233"/>
    <cellStyle name="Normal 3 25 7 2 2" xfId="6234"/>
    <cellStyle name="Normal 3 25 7 3" xfId="6235"/>
    <cellStyle name="Normal 3 25 8" xfId="6236"/>
    <cellStyle name="Normal 3 25 8 2" xfId="6237"/>
    <cellStyle name="Normal 3 25 8 2 2" xfId="6238"/>
    <cellStyle name="Normal 3 25 8 3" xfId="6239"/>
    <cellStyle name="Normal 3 25 9" xfId="6240"/>
    <cellStyle name="Normal 3 25 9 2" xfId="6241"/>
    <cellStyle name="Normal 3 25 9 2 2" xfId="6242"/>
    <cellStyle name="Normal 3 25 9 3" xfId="6243"/>
    <cellStyle name="Normal 3 26" xfId="6244"/>
    <cellStyle name="Normal 3 26 10" xfId="6245"/>
    <cellStyle name="Normal 3 26 10 2" xfId="6246"/>
    <cellStyle name="Normal 3 26 10 2 2" xfId="6247"/>
    <cellStyle name="Normal 3 26 10 3" xfId="6248"/>
    <cellStyle name="Normal 3 26 11" xfId="6249"/>
    <cellStyle name="Normal 3 26 11 2" xfId="6250"/>
    <cellStyle name="Normal 3 26 11 2 2" xfId="6251"/>
    <cellStyle name="Normal 3 26 11 3" xfId="6252"/>
    <cellStyle name="Normal 3 26 12" xfId="6253"/>
    <cellStyle name="Normal 3 26 12 2" xfId="6254"/>
    <cellStyle name="Normal 3 26 12 2 2" xfId="6255"/>
    <cellStyle name="Normal 3 26 12 3" xfId="6256"/>
    <cellStyle name="Normal 3 26 13" xfId="6257"/>
    <cellStyle name="Normal 3 26 13 2" xfId="6258"/>
    <cellStyle name="Normal 3 26 13 2 2" xfId="6259"/>
    <cellStyle name="Normal 3 26 13 3" xfId="6260"/>
    <cellStyle name="Normal 3 26 14" xfId="6261"/>
    <cellStyle name="Normal 3 26 14 2" xfId="6262"/>
    <cellStyle name="Normal 3 26 14 2 2" xfId="6263"/>
    <cellStyle name="Normal 3 26 14 3" xfId="6264"/>
    <cellStyle name="Normal 3 26 15" xfId="6265"/>
    <cellStyle name="Normal 3 26 15 2" xfId="6266"/>
    <cellStyle name="Normal 3 26 15 2 2" xfId="6267"/>
    <cellStyle name="Normal 3 26 15 3" xfId="6268"/>
    <cellStyle name="Normal 3 26 16" xfId="6269"/>
    <cellStyle name="Normal 3 26 16 2" xfId="6270"/>
    <cellStyle name="Normal 3 26 16 2 2" xfId="6271"/>
    <cellStyle name="Normal 3 26 16 3" xfId="6272"/>
    <cellStyle name="Normal 3 26 17" xfId="6273"/>
    <cellStyle name="Normal 3 26 17 2" xfId="6274"/>
    <cellStyle name="Normal 3 26 17 2 2" xfId="6275"/>
    <cellStyle name="Normal 3 26 17 3" xfId="6276"/>
    <cellStyle name="Normal 3 26 18" xfId="6277"/>
    <cellStyle name="Normal 3 26 18 2" xfId="6278"/>
    <cellStyle name="Normal 3 26 18 2 2" xfId="6279"/>
    <cellStyle name="Normal 3 26 18 3" xfId="6280"/>
    <cellStyle name="Normal 3 26 19" xfId="6281"/>
    <cellStyle name="Normal 3 26 19 2" xfId="6282"/>
    <cellStyle name="Normal 3 26 19 2 2" xfId="6283"/>
    <cellStyle name="Normal 3 26 19 3" xfId="6284"/>
    <cellStyle name="Normal 3 26 2" xfId="6285"/>
    <cellStyle name="Normal 3 26 2 2" xfId="6286"/>
    <cellStyle name="Normal 3 26 2 2 2" xfId="6287"/>
    <cellStyle name="Normal 3 26 2 3" xfId="6288"/>
    <cellStyle name="Normal 3 26 20" xfId="6289"/>
    <cellStyle name="Normal 3 26 20 2" xfId="6290"/>
    <cellStyle name="Normal 3 26 20 2 2" xfId="6291"/>
    <cellStyle name="Normal 3 26 20 3" xfId="6292"/>
    <cellStyle name="Normal 3 26 21" xfId="6293"/>
    <cellStyle name="Normal 3 26 21 2" xfId="6294"/>
    <cellStyle name="Normal 3 26 21 2 2" xfId="6295"/>
    <cellStyle name="Normal 3 26 21 3" xfId="6296"/>
    <cellStyle name="Normal 3 26 22" xfId="6297"/>
    <cellStyle name="Normal 3 26 22 2" xfId="6298"/>
    <cellStyle name="Normal 3 26 22 2 2" xfId="6299"/>
    <cellStyle name="Normal 3 26 22 3" xfId="6300"/>
    <cellStyle name="Normal 3 26 23" xfId="6301"/>
    <cellStyle name="Normal 3 26 23 2" xfId="6302"/>
    <cellStyle name="Normal 3 26 23 2 2" xfId="6303"/>
    <cellStyle name="Normal 3 26 23 3" xfId="6304"/>
    <cellStyle name="Normal 3 26 24" xfId="6305"/>
    <cellStyle name="Normal 3 26 24 2" xfId="6306"/>
    <cellStyle name="Normal 3 26 25" xfId="6307"/>
    <cellStyle name="Normal 3 26 3" xfId="6308"/>
    <cellStyle name="Normal 3 26 3 2" xfId="6309"/>
    <cellStyle name="Normal 3 26 3 2 2" xfId="6310"/>
    <cellStyle name="Normal 3 26 3 3" xfId="6311"/>
    <cellStyle name="Normal 3 26 4" xfId="6312"/>
    <cellStyle name="Normal 3 26 4 2" xfId="6313"/>
    <cellStyle name="Normal 3 26 4 2 2" xfId="6314"/>
    <cellStyle name="Normal 3 26 4 3" xfId="6315"/>
    <cellStyle name="Normal 3 26 5" xfId="6316"/>
    <cellStyle name="Normal 3 26 5 2" xfId="6317"/>
    <cellStyle name="Normal 3 26 5 2 2" xfId="6318"/>
    <cellStyle name="Normal 3 26 5 3" xfId="6319"/>
    <cellStyle name="Normal 3 26 6" xfId="6320"/>
    <cellStyle name="Normal 3 26 6 2" xfId="6321"/>
    <cellStyle name="Normal 3 26 6 2 2" xfId="6322"/>
    <cellStyle name="Normal 3 26 6 3" xfId="6323"/>
    <cellStyle name="Normal 3 26 7" xfId="6324"/>
    <cellStyle name="Normal 3 26 7 2" xfId="6325"/>
    <cellStyle name="Normal 3 26 7 2 2" xfId="6326"/>
    <cellStyle name="Normal 3 26 7 3" xfId="6327"/>
    <cellStyle name="Normal 3 26 8" xfId="6328"/>
    <cellStyle name="Normal 3 26 8 2" xfId="6329"/>
    <cellStyle name="Normal 3 26 8 2 2" xfId="6330"/>
    <cellStyle name="Normal 3 26 8 3" xfId="6331"/>
    <cellStyle name="Normal 3 26 9" xfId="6332"/>
    <cellStyle name="Normal 3 26 9 2" xfId="6333"/>
    <cellStyle name="Normal 3 26 9 2 2" xfId="6334"/>
    <cellStyle name="Normal 3 26 9 3" xfId="6335"/>
    <cellStyle name="Normal 3 27" xfId="6336"/>
    <cellStyle name="Normal 3 27 10" xfId="6337"/>
    <cellStyle name="Normal 3 27 10 2" xfId="6338"/>
    <cellStyle name="Normal 3 27 10 2 2" xfId="6339"/>
    <cellStyle name="Normal 3 27 10 3" xfId="6340"/>
    <cellStyle name="Normal 3 27 11" xfId="6341"/>
    <cellStyle name="Normal 3 27 11 2" xfId="6342"/>
    <cellStyle name="Normal 3 27 11 2 2" xfId="6343"/>
    <cellStyle name="Normal 3 27 11 3" xfId="6344"/>
    <cellStyle name="Normal 3 27 12" xfId="6345"/>
    <cellStyle name="Normal 3 27 12 2" xfId="6346"/>
    <cellStyle name="Normal 3 27 12 2 2" xfId="6347"/>
    <cellStyle name="Normal 3 27 12 3" xfId="6348"/>
    <cellStyle name="Normal 3 27 13" xfId="6349"/>
    <cellStyle name="Normal 3 27 13 2" xfId="6350"/>
    <cellStyle name="Normal 3 27 13 2 2" xfId="6351"/>
    <cellStyle name="Normal 3 27 13 3" xfId="6352"/>
    <cellStyle name="Normal 3 27 14" xfId="6353"/>
    <cellStyle name="Normal 3 27 14 2" xfId="6354"/>
    <cellStyle name="Normal 3 27 14 2 2" xfId="6355"/>
    <cellStyle name="Normal 3 27 14 3" xfId="6356"/>
    <cellStyle name="Normal 3 27 15" xfId="6357"/>
    <cellStyle name="Normal 3 27 15 2" xfId="6358"/>
    <cellStyle name="Normal 3 27 15 2 2" xfId="6359"/>
    <cellStyle name="Normal 3 27 15 3" xfId="6360"/>
    <cellStyle name="Normal 3 27 16" xfId="6361"/>
    <cellStyle name="Normal 3 27 16 2" xfId="6362"/>
    <cellStyle name="Normal 3 27 16 2 2" xfId="6363"/>
    <cellStyle name="Normal 3 27 16 3" xfId="6364"/>
    <cellStyle name="Normal 3 27 17" xfId="6365"/>
    <cellStyle name="Normal 3 27 17 2" xfId="6366"/>
    <cellStyle name="Normal 3 27 17 2 2" xfId="6367"/>
    <cellStyle name="Normal 3 27 17 3" xfId="6368"/>
    <cellStyle name="Normal 3 27 18" xfId="6369"/>
    <cellStyle name="Normal 3 27 18 2" xfId="6370"/>
    <cellStyle name="Normal 3 27 18 2 2" xfId="6371"/>
    <cellStyle name="Normal 3 27 18 3" xfId="6372"/>
    <cellStyle name="Normal 3 27 19" xfId="6373"/>
    <cellStyle name="Normal 3 27 19 2" xfId="6374"/>
    <cellStyle name="Normal 3 27 19 2 2" xfId="6375"/>
    <cellStyle name="Normal 3 27 19 3" xfId="6376"/>
    <cellStyle name="Normal 3 27 2" xfId="6377"/>
    <cellStyle name="Normal 3 27 2 2" xfId="6378"/>
    <cellStyle name="Normal 3 27 2 2 2" xfId="6379"/>
    <cellStyle name="Normal 3 27 2 3" xfId="6380"/>
    <cellStyle name="Normal 3 27 20" xfId="6381"/>
    <cellStyle name="Normal 3 27 20 2" xfId="6382"/>
    <cellStyle name="Normal 3 27 20 2 2" xfId="6383"/>
    <cellStyle name="Normal 3 27 20 3" xfId="6384"/>
    <cellStyle name="Normal 3 27 21" xfId="6385"/>
    <cellStyle name="Normal 3 27 21 2" xfId="6386"/>
    <cellStyle name="Normal 3 27 21 2 2" xfId="6387"/>
    <cellStyle name="Normal 3 27 21 3" xfId="6388"/>
    <cellStyle name="Normal 3 27 22" xfId="6389"/>
    <cellStyle name="Normal 3 27 22 2" xfId="6390"/>
    <cellStyle name="Normal 3 27 22 2 2" xfId="6391"/>
    <cellStyle name="Normal 3 27 22 3" xfId="6392"/>
    <cellStyle name="Normal 3 27 23" xfId="6393"/>
    <cellStyle name="Normal 3 27 23 2" xfId="6394"/>
    <cellStyle name="Normal 3 27 23 2 2" xfId="6395"/>
    <cellStyle name="Normal 3 27 23 3" xfId="6396"/>
    <cellStyle name="Normal 3 27 24" xfId="6397"/>
    <cellStyle name="Normal 3 27 24 2" xfId="6398"/>
    <cellStyle name="Normal 3 27 25" xfId="6399"/>
    <cellStyle name="Normal 3 27 3" xfId="6400"/>
    <cellStyle name="Normal 3 27 3 2" xfId="6401"/>
    <cellStyle name="Normal 3 27 3 2 2" xfId="6402"/>
    <cellStyle name="Normal 3 27 3 3" xfId="6403"/>
    <cellStyle name="Normal 3 27 4" xfId="6404"/>
    <cellStyle name="Normal 3 27 4 2" xfId="6405"/>
    <cellStyle name="Normal 3 27 4 2 2" xfId="6406"/>
    <cellStyle name="Normal 3 27 4 3" xfId="6407"/>
    <cellStyle name="Normal 3 27 5" xfId="6408"/>
    <cellStyle name="Normal 3 27 5 2" xfId="6409"/>
    <cellStyle name="Normal 3 27 5 2 2" xfId="6410"/>
    <cellStyle name="Normal 3 27 5 3" xfId="6411"/>
    <cellStyle name="Normal 3 27 6" xfId="6412"/>
    <cellStyle name="Normal 3 27 6 2" xfId="6413"/>
    <cellStyle name="Normal 3 27 6 2 2" xfId="6414"/>
    <cellStyle name="Normal 3 27 6 3" xfId="6415"/>
    <cellStyle name="Normal 3 27 7" xfId="6416"/>
    <cellStyle name="Normal 3 27 7 2" xfId="6417"/>
    <cellStyle name="Normal 3 27 7 2 2" xfId="6418"/>
    <cellStyle name="Normal 3 27 7 3" xfId="6419"/>
    <cellStyle name="Normal 3 27 8" xfId="6420"/>
    <cellStyle name="Normal 3 27 8 2" xfId="6421"/>
    <cellStyle name="Normal 3 27 8 2 2" xfId="6422"/>
    <cellStyle name="Normal 3 27 8 3" xfId="6423"/>
    <cellStyle name="Normal 3 27 9" xfId="6424"/>
    <cellStyle name="Normal 3 27 9 2" xfId="6425"/>
    <cellStyle name="Normal 3 27 9 2 2" xfId="6426"/>
    <cellStyle name="Normal 3 27 9 3" xfId="6427"/>
    <cellStyle name="Normal 3 28" xfId="6428"/>
    <cellStyle name="Normal 3 28 10" xfId="6429"/>
    <cellStyle name="Normal 3 28 10 2" xfId="6430"/>
    <cellStyle name="Normal 3 28 10 2 2" xfId="6431"/>
    <cellStyle name="Normal 3 28 10 3" xfId="6432"/>
    <cellStyle name="Normal 3 28 11" xfId="6433"/>
    <cellStyle name="Normal 3 28 11 2" xfId="6434"/>
    <cellStyle name="Normal 3 28 11 2 2" xfId="6435"/>
    <cellStyle name="Normal 3 28 11 3" xfId="6436"/>
    <cellStyle name="Normal 3 28 12" xfId="6437"/>
    <cellStyle name="Normal 3 28 12 2" xfId="6438"/>
    <cellStyle name="Normal 3 28 12 2 2" xfId="6439"/>
    <cellStyle name="Normal 3 28 12 3" xfId="6440"/>
    <cellStyle name="Normal 3 28 13" xfId="6441"/>
    <cellStyle name="Normal 3 28 13 2" xfId="6442"/>
    <cellStyle name="Normal 3 28 13 2 2" xfId="6443"/>
    <cellStyle name="Normal 3 28 13 3" xfId="6444"/>
    <cellStyle name="Normal 3 28 14" xfId="6445"/>
    <cellStyle name="Normal 3 28 14 2" xfId="6446"/>
    <cellStyle name="Normal 3 28 14 2 2" xfId="6447"/>
    <cellStyle name="Normal 3 28 14 3" xfId="6448"/>
    <cellStyle name="Normal 3 28 15" xfId="6449"/>
    <cellStyle name="Normal 3 28 15 2" xfId="6450"/>
    <cellStyle name="Normal 3 28 15 2 2" xfId="6451"/>
    <cellStyle name="Normal 3 28 15 3" xfId="6452"/>
    <cellStyle name="Normal 3 28 16" xfId="6453"/>
    <cellStyle name="Normal 3 28 16 2" xfId="6454"/>
    <cellStyle name="Normal 3 28 16 2 2" xfId="6455"/>
    <cellStyle name="Normal 3 28 16 3" xfId="6456"/>
    <cellStyle name="Normal 3 28 17" xfId="6457"/>
    <cellStyle name="Normal 3 28 17 2" xfId="6458"/>
    <cellStyle name="Normal 3 28 17 2 2" xfId="6459"/>
    <cellStyle name="Normal 3 28 17 3" xfId="6460"/>
    <cellStyle name="Normal 3 28 18" xfId="6461"/>
    <cellStyle name="Normal 3 28 18 2" xfId="6462"/>
    <cellStyle name="Normal 3 28 18 2 2" xfId="6463"/>
    <cellStyle name="Normal 3 28 18 3" xfId="6464"/>
    <cellStyle name="Normal 3 28 19" xfId="6465"/>
    <cellStyle name="Normal 3 28 19 2" xfId="6466"/>
    <cellStyle name="Normal 3 28 19 2 2" xfId="6467"/>
    <cellStyle name="Normal 3 28 19 3" xfId="6468"/>
    <cellStyle name="Normal 3 28 2" xfId="6469"/>
    <cellStyle name="Normal 3 28 2 2" xfId="6470"/>
    <cellStyle name="Normal 3 28 2 2 2" xfId="6471"/>
    <cellStyle name="Normal 3 28 2 3" xfId="6472"/>
    <cellStyle name="Normal 3 28 20" xfId="6473"/>
    <cellStyle name="Normal 3 28 20 2" xfId="6474"/>
    <cellStyle name="Normal 3 28 20 2 2" xfId="6475"/>
    <cellStyle name="Normal 3 28 20 3" xfId="6476"/>
    <cellStyle name="Normal 3 28 21" xfId="6477"/>
    <cellStyle name="Normal 3 28 21 2" xfId="6478"/>
    <cellStyle name="Normal 3 28 21 2 2" xfId="6479"/>
    <cellStyle name="Normal 3 28 21 3" xfId="6480"/>
    <cellStyle name="Normal 3 28 22" xfId="6481"/>
    <cellStyle name="Normal 3 28 22 2" xfId="6482"/>
    <cellStyle name="Normal 3 28 22 2 2" xfId="6483"/>
    <cellStyle name="Normal 3 28 22 3" xfId="6484"/>
    <cellStyle name="Normal 3 28 23" xfId="6485"/>
    <cellStyle name="Normal 3 28 23 2" xfId="6486"/>
    <cellStyle name="Normal 3 28 23 2 2" xfId="6487"/>
    <cellStyle name="Normal 3 28 23 3" xfId="6488"/>
    <cellStyle name="Normal 3 28 24" xfId="6489"/>
    <cellStyle name="Normal 3 28 24 2" xfId="6490"/>
    <cellStyle name="Normal 3 28 25" xfId="6491"/>
    <cellStyle name="Normal 3 28 3" xfId="6492"/>
    <cellStyle name="Normal 3 28 3 2" xfId="6493"/>
    <cellStyle name="Normal 3 28 3 2 2" xfId="6494"/>
    <cellStyle name="Normal 3 28 3 3" xfId="6495"/>
    <cellStyle name="Normal 3 28 4" xfId="6496"/>
    <cellStyle name="Normal 3 28 4 2" xfId="6497"/>
    <cellStyle name="Normal 3 28 4 2 2" xfId="6498"/>
    <cellStyle name="Normal 3 28 4 3" xfId="6499"/>
    <cellStyle name="Normal 3 28 5" xfId="6500"/>
    <cellStyle name="Normal 3 28 5 2" xfId="6501"/>
    <cellStyle name="Normal 3 28 5 2 2" xfId="6502"/>
    <cellStyle name="Normal 3 28 5 3" xfId="6503"/>
    <cellStyle name="Normal 3 28 6" xfId="6504"/>
    <cellStyle name="Normal 3 28 6 2" xfId="6505"/>
    <cellStyle name="Normal 3 28 6 2 2" xfId="6506"/>
    <cellStyle name="Normal 3 28 6 3" xfId="6507"/>
    <cellStyle name="Normal 3 28 7" xfId="6508"/>
    <cellStyle name="Normal 3 28 7 2" xfId="6509"/>
    <cellStyle name="Normal 3 28 7 2 2" xfId="6510"/>
    <cellStyle name="Normal 3 28 7 3" xfId="6511"/>
    <cellStyle name="Normal 3 28 8" xfId="6512"/>
    <cellStyle name="Normal 3 28 8 2" xfId="6513"/>
    <cellStyle name="Normal 3 28 8 2 2" xfId="6514"/>
    <cellStyle name="Normal 3 28 8 3" xfId="6515"/>
    <cellStyle name="Normal 3 28 9" xfId="6516"/>
    <cellStyle name="Normal 3 28 9 2" xfId="6517"/>
    <cellStyle name="Normal 3 28 9 2 2" xfId="6518"/>
    <cellStyle name="Normal 3 28 9 3" xfId="6519"/>
    <cellStyle name="Normal 3 29" xfId="6520"/>
    <cellStyle name="Normal 3 29 10" xfId="6521"/>
    <cellStyle name="Normal 3 29 10 2" xfId="6522"/>
    <cellStyle name="Normal 3 29 10 2 2" xfId="6523"/>
    <cellStyle name="Normal 3 29 10 3" xfId="6524"/>
    <cellStyle name="Normal 3 29 11" xfId="6525"/>
    <cellStyle name="Normal 3 29 11 2" xfId="6526"/>
    <cellStyle name="Normal 3 29 11 2 2" xfId="6527"/>
    <cellStyle name="Normal 3 29 11 3" xfId="6528"/>
    <cellStyle name="Normal 3 29 12" xfId="6529"/>
    <cellStyle name="Normal 3 29 12 2" xfId="6530"/>
    <cellStyle name="Normal 3 29 12 2 2" xfId="6531"/>
    <cellStyle name="Normal 3 29 12 3" xfId="6532"/>
    <cellStyle name="Normal 3 29 13" xfId="6533"/>
    <cellStyle name="Normal 3 29 13 2" xfId="6534"/>
    <cellStyle name="Normal 3 29 13 2 2" xfId="6535"/>
    <cellStyle name="Normal 3 29 13 3" xfId="6536"/>
    <cellStyle name="Normal 3 29 14" xfId="6537"/>
    <cellStyle name="Normal 3 29 14 2" xfId="6538"/>
    <cellStyle name="Normal 3 29 14 2 2" xfId="6539"/>
    <cellStyle name="Normal 3 29 14 3" xfId="6540"/>
    <cellStyle name="Normal 3 29 15" xfId="6541"/>
    <cellStyle name="Normal 3 29 15 2" xfId="6542"/>
    <cellStyle name="Normal 3 29 15 2 2" xfId="6543"/>
    <cellStyle name="Normal 3 29 15 3" xfId="6544"/>
    <cellStyle name="Normal 3 29 16" xfId="6545"/>
    <cellStyle name="Normal 3 29 16 2" xfId="6546"/>
    <cellStyle name="Normal 3 29 16 2 2" xfId="6547"/>
    <cellStyle name="Normal 3 29 16 3" xfId="6548"/>
    <cellStyle name="Normal 3 29 17" xfId="6549"/>
    <cellStyle name="Normal 3 29 17 2" xfId="6550"/>
    <cellStyle name="Normal 3 29 17 2 2" xfId="6551"/>
    <cellStyle name="Normal 3 29 17 3" xfId="6552"/>
    <cellStyle name="Normal 3 29 18" xfId="6553"/>
    <cellStyle name="Normal 3 29 18 2" xfId="6554"/>
    <cellStyle name="Normal 3 29 18 2 2" xfId="6555"/>
    <cellStyle name="Normal 3 29 18 3" xfId="6556"/>
    <cellStyle name="Normal 3 29 19" xfId="6557"/>
    <cellStyle name="Normal 3 29 19 2" xfId="6558"/>
    <cellStyle name="Normal 3 29 19 2 2" xfId="6559"/>
    <cellStyle name="Normal 3 29 19 3" xfId="6560"/>
    <cellStyle name="Normal 3 29 2" xfId="6561"/>
    <cellStyle name="Normal 3 29 2 2" xfId="6562"/>
    <cellStyle name="Normal 3 29 2 2 2" xfId="6563"/>
    <cellStyle name="Normal 3 29 2 3" xfId="6564"/>
    <cellStyle name="Normal 3 29 20" xfId="6565"/>
    <cellStyle name="Normal 3 29 20 2" xfId="6566"/>
    <cellStyle name="Normal 3 29 20 2 2" xfId="6567"/>
    <cellStyle name="Normal 3 29 20 3" xfId="6568"/>
    <cellStyle name="Normal 3 29 21" xfId="6569"/>
    <cellStyle name="Normal 3 29 21 2" xfId="6570"/>
    <cellStyle name="Normal 3 29 21 2 2" xfId="6571"/>
    <cellStyle name="Normal 3 29 21 3" xfId="6572"/>
    <cellStyle name="Normal 3 29 22" xfId="6573"/>
    <cellStyle name="Normal 3 29 22 2" xfId="6574"/>
    <cellStyle name="Normal 3 29 22 2 2" xfId="6575"/>
    <cellStyle name="Normal 3 29 22 3" xfId="6576"/>
    <cellStyle name="Normal 3 29 23" xfId="6577"/>
    <cellStyle name="Normal 3 29 23 2" xfId="6578"/>
    <cellStyle name="Normal 3 29 23 2 2" xfId="6579"/>
    <cellStyle name="Normal 3 29 23 3" xfId="6580"/>
    <cellStyle name="Normal 3 29 24" xfId="6581"/>
    <cellStyle name="Normal 3 29 24 2" xfId="6582"/>
    <cellStyle name="Normal 3 29 25" xfId="6583"/>
    <cellStyle name="Normal 3 29 3" xfId="6584"/>
    <cellStyle name="Normal 3 29 3 2" xfId="6585"/>
    <cellStyle name="Normal 3 29 3 2 2" xfId="6586"/>
    <cellStyle name="Normal 3 29 3 3" xfId="6587"/>
    <cellStyle name="Normal 3 29 4" xfId="6588"/>
    <cellStyle name="Normal 3 29 4 2" xfId="6589"/>
    <cellStyle name="Normal 3 29 4 2 2" xfId="6590"/>
    <cellStyle name="Normal 3 29 4 3" xfId="6591"/>
    <cellStyle name="Normal 3 29 5" xfId="6592"/>
    <cellStyle name="Normal 3 29 5 2" xfId="6593"/>
    <cellStyle name="Normal 3 29 5 2 2" xfId="6594"/>
    <cellStyle name="Normal 3 29 5 3" xfId="6595"/>
    <cellStyle name="Normal 3 29 6" xfId="6596"/>
    <cellStyle name="Normal 3 29 6 2" xfId="6597"/>
    <cellStyle name="Normal 3 29 6 2 2" xfId="6598"/>
    <cellStyle name="Normal 3 29 6 3" xfId="6599"/>
    <cellStyle name="Normal 3 29 7" xfId="6600"/>
    <cellStyle name="Normal 3 29 7 2" xfId="6601"/>
    <cellStyle name="Normal 3 29 7 2 2" xfId="6602"/>
    <cellStyle name="Normal 3 29 7 3" xfId="6603"/>
    <cellStyle name="Normal 3 29 8" xfId="6604"/>
    <cellStyle name="Normal 3 29 8 2" xfId="6605"/>
    <cellStyle name="Normal 3 29 8 2 2" xfId="6606"/>
    <cellStyle name="Normal 3 29 8 3" xfId="6607"/>
    <cellStyle name="Normal 3 29 9" xfId="6608"/>
    <cellStyle name="Normal 3 29 9 2" xfId="6609"/>
    <cellStyle name="Normal 3 29 9 2 2" xfId="6610"/>
    <cellStyle name="Normal 3 29 9 3" xfId="6611"/>
    <cellStyle name="Normal 3 3" xfId="270"/>
    <cellStyle name="Normal 3 3 10" xfId="6612"/>
    <cellStyle name="Normal 3 3 10 2" xfId="6613"/>
    <cellStyle name="Normal 3 3 10 2 2" xfId="6614"/>
    <cellStyle name="Normal 3 3 10 3" xfId="6615"/>
    <cellStyle name="Normal 3 3 11" xfId="6616"/>
    <cellStyle name="Normal 3 3 11 2" xfId="6617"/>
    <cellStyle name="Normal 3 3 11 2 2" xfId="6618"/>
    <cellStyle name="Normal 3 3 11 3" xfId="6619"/>
    <cellStyle name="Normal 3 3 12" xfId="6620"/>
    <cellStyle name="Normal 3 3 12 2" xfId="6621"/>
    <cellStyle name="Normal 3 3 12 2 2" xfId="6622"/>
    <cellStyle name="Normal 3 3 12 3" xfId="6623"/>
    <cellStyle name="Normal 3 3 13" xfId="6624"/>
    <cellStyle name="Normal 3 3 13 2" xfId="6625"/>
    <cellStyle name="Normal 3 3 13 2 2" xfId="6626"/>
    <cellStyle name="Normal 3 3 13 3" xfId="6627"/>
    <cellStyle name="Normal 3 3 14" xfId="6628"/>
    <cellStyle name="Normal 3 3 14 2" xfId="6629"/>
    <cellStyle name="Normal 3 3 14 2 2" xfId="6630"/>
    <cellStyle name="Normal 3 3 14 3" xfId="6631"/>
    <cellStyle name="Normal 3 3 15" xfId="6632"/>
    <cellStyle name="Normal 3 3 15 2" xfId="6633"/>
    <cellStyle name="Normal 3 3 15 2 2" xfId="6634"/>
    <cellStyle name="Normal 3 3 15 3" xfId="6635"/>
    <cellStyle name="Normal 3 3 16" xfId="6636"/>
    <cellStyle name="Normal 3 3 16 2" xfId="6637"/>
    <cellStyle name="Normal 3 3 16 2 2" xfId="6638"/>
    <cellStyle name="Normal 3 3 16 3" xfId="6639"/>
    <cellStyle name="Normal 3 3 17" xfId="6640"/>
    <cellStyle name="Normal 3 3 17 2" xfId="6641"/>
    <cellStyle name="Normal 3 3 17 2 2" xfId="6642"/>
    <cellStyle name="Normal 3 3 17 3" xfId="6643"/>
    <cellStyle name="Normal 3 3 18" xfId="6644"/>
    <cellStyle name="Normal 3 3 18 2" xfId="6645"/>
    <cellStyle name="Normal 3 3 18 2 2" xfId="6646"/>
    <cellStyle name="Normal 3 3 18 3" xfId="6647"/>
    <cellStyle name="Normal 3 3 19" xfId="6648"/>
    <cellStyle name="Normal 3 3 19 2" xfId="6649"/>
    <cellStyle name="Normal 3 3 19 2 2" xfId="6650"/>
    <cellStyle name="Normal 3 3 19 3" xfId="6651"/>
    <cellStyle name="Normal 3 3 2" xfId="271"/>
    <cellStyle name="Normal 3 3 2 2" xfId="272"/>
    <cellStyle name="Normal 3 3 2 2 2" xfId="6652"/>
    <cellStyle name="Normal 3 3 2 3" xfId="6653"/>
    <cellStyle name="Normal 3 3 20" xfId="6654"/>
    <cellStyle name="Normal 3 3 20 2" xfId="6655"/>
    <cellStyle name="Normal 3 3 20 2 2" xfId="6656"/>
    <cellStyle name="Normal 3 3 20 3" xfId="6657"/>
    <cellStyle name="Normal 3 3 21" xfId="6658"/>
    <cellStyle name="Normal 3 3 21 2" xfId="6659"/>
    <cellStyle name="Normal 3 3 21 2 2" xfId="6660"/>
    <cellStyle name="Normal 3 3 21 3" xfId="6661"/>
    <cellStyle name="Normal 3 3 22" xfId="6662"/>
    <cellStyle name="Normal 3 3 22 2" xfId="6663"/>
    <cellStyle name="Normal 3 3 22 2 2" xfId="6664"/>
    <cellStyle name="Normal 3 3 22 3" xfId="6665"/>
    <cellStyle name="Normal 3 3 23" xfId="6666"/>
    <cellStyle name="Normal 3 3 23 2" xfId="6667"/>
    <cellStyle name="Normal 3 3 23 2 2" xfId="6668"/>
    <cellStyle name="Normal 3 3 23 3" xfId="6669"/>
    <cellStyle name="Normal 3 3 24" xfId="6670"/>
    <cellStyle name="Normal 3 3 24 2" xfId="6671"/>
    <cellStyle name="Normal 3 3 25" xfId="6672"/>
    <cellStyle name="Normal 3 3 3" xfId="6673"/>
    <cellStyle name="Normal 3 3 3 2" xfId="6674"/>
    <cellStyle name="Normal 3 3 3 2 2" xfId="6675"/>
    <cellStyle name="Normal 3 3 3 3" xfId="6676"/>
    <cellStyle name="Normal 3 3 4" xfId="6677"/>
    <cellStyle name="Normal 3 3 4 2" xfId="6678"/>
    <cellStyle name="Normal 3 3 4 2 2" xfId="6679"/>
    <cellStyle name="Normal 3 3 4 3" xfId="6680"/>
    <cellStyle name="Normal 3 3 5" xfId="6681"/>
    <cellStyle name="Normal 3 3 5 2" xfId="6682"/>
    <cellStyle name="Normal 3 3 5 2 2" xfId="6683"/>
    <cellStyle name="Normal 3 3 5 3" xfId="6684"/>
    <cellStyle name="Normal 3 3 6" xfId="6685"/>
    <cellStyle name="Normal 3 3 6 2" xfId="6686"/>
    <cellStyle name="Normal 3 3 6 2 2" xfId="6687"/>
    <cellStyle name="Normal 3 3 6 3" xfId="6688"/>
    <cellStyle name="Normal 3 3 7" xfId="6689"/>
    <cellStyle name="Normal 3 3 7 2" xfId="6690"/>
    <cellStyle name="Normal 3 3 7 2 2" xfId="6691"/>
    <cellStyle name="Normal 3 3 7 3" xfId="6692"/>
    <cellStyle name="Normal 3 3 8" xfId="6693"/>
    <cellStyle name="Normal 3 3 8 2" xfId="6694"/>
    <cellStyle name="Normal 3 3 8 2 2" xfId="6695"/>
    <cellStyle name="Normal 3 3 8 3" xfId="6696"/>
    <cellStyle name="Normal 3 3 9" xfId="6697"/>
    <cellStyle name="Normal 3 3 9 2" xfId="6698"/>
    <cellStyle name="Normal 3 3 9 2 2" xfId="6699"/>
    <cellStyle name="Normal 3 3 9 3" xfId="6700"/>
    <cellStyle name="Normal 3 30" xfId="6701"/>
    <cellStyle name="Normal 3 30 10" xfId="6702"/>
    <cellStyle name="Normal 3 30 10 2" xfId="6703"/>
    <cellStyle name="Normal 3 30 10 2 2" xfId="6704"/>
    <cellStyle name="Normal 3 30 10 3" xfId="6705"/>
    <cellStyle name="Normal 3 30 11" xfId="6706"/>
    <cellStyle name="Normal 3 30 11 2" xfId="6707"/>
    <cellStyle name="Normal 3 30 11 2 2" xfId="6708"/>
    <cellStyle name="Normal 3 30 11 3" xfId="6709"/>
    <cellStyle name="Normal 3 30 12" xfId="6710"/>
    <cellStyle name="Normal 3 30 12 2" xfId="6711"/>
    <cellStyle name="Normal 3 30 12 2 2" xfId="6712"/>
    <cellStyle name="Normal 3 30 12 3" xfId="6713"/>
    <cellStyle name="Normal 3 30 13" xfId="6714"/>
    <cellStyle name="Normal 3 30 13 2" xfId="6715"/>
    <cellStyle name="Normal 3 30 13 2 2" xfId="6716"/>
    <cellStyle name="Normal 3 30 13 3" xfId="6717"/>
    <cellStyle name="Normal 3 30 14" xfId="6718"/>
    <cellStyle name="Normal 3 30 14 2" xfId="6719"/>
    <cellStyle name="Normal 3 30 14 2 2" xfId="6720"/>
    <cellStyle name="Normal 3 30 14 3" xfId="6721"/>
    <cellStyle name="Normal 3 30 15" xfId="6722"/>
    <cellStyle name="Normal 3 30 15 2" xfId="6723"/>
    <cellStyle name="Normal 3 30 15 2 2" xfId="6724"/>
    <cellStyle name="Normal 3 30 15 3" xfId="6725"/>
    <cellStyle name="Normal 3 30 16" xfId="6726"/>
    <cellStyle name="Normal 3 30 16 2" xfId="6727"/>
    <cellStyle name="Normal 3 30 16 2 2" xfId="6728"/>
    <cellStyle name="Normal 3 30 16 3" xfId="6729"/>
    <cellStyle name="Normal 3 30 17" xfId="6730"/>
    <cellStyle name="Normal 3 30 17 2" xfId="6731"/>
    <cellStyle name="Normal 3 30 17 2 2" xfId="6732"/>
    <cellStyle name="Normal 3 30 17 3" xfId="6733"/>
    <cellStyle name="Normal 3 30 18" xfId="6734"/>
    <cellStyle name="Normal 3 30 18 2" xfId="6735"/>
    <cellStyle name="Normal 3 30 18 2 2" xfId="6736"/>
    <cellStyle name="Normal 3 30 18 3" xfId="6737"/>
    <cellStyle name="Normal 3 30 19" xfId="6738"/>
    <cellStyle name="Normal 3 30 19 2" xfId="6739"/>
    <cellStyle name="Normal 3 30 19 2 2" xfId="6740"/>
    <cellStyle name="Normal 3 30 19 3" xfId="6741"/>
    <cellStyle name="Normal 3 30 2" xfId="6742"/>
    <cellStyle name="Normal 3 30 2 2" xfId="6743"/>
    <cellStyle name="Normal 3 30 2 2 2" xfId="6744"/>
    <cellStyle name="Normal 3 30 2 3" xfId="6745"/>
    <cellStyle name="Normal 3 30 20" xfId="6746"/>
    <cellStyle name="Normal 3 30 20 2" xfId="6747"/>
    <cellStyle name="Normal 3 30 20 2 2" xfId="6748"/>
    <cellStyle name="Normal 3 30 20 3" xfId="6749"/>
    <cellStyle name="Normal 3 30 21" xfId="6750"/>
    <cellStyle name="Normal 3 30 21 2" xfId="6751"/>
    <cellStyle name="Normal 3 30 21 2 2" xfId="6752"/>
    <cellStyle name="Normal 3 30 21 3" xfId="6753"/>
    <cellStyle name="Normal 3 30 22" xfId="6754"/>
    <cellStyle name="Normal 3 30 22 2" xfId="6755"/>
    <cellStyle name="Normal 3 30 22 2 2" xfId="6756"/>
    <cellStyle name="Normal 3 30 22 3" xfId="6757"/>
    <cellStyle name="Normal 3 30 23" xfId="6758"/>
    <cellStyle name="Normal 3 30 23 2" xfId="6759"/>
    <cellStyle name="Normal 3 30 23 2 2" xfId="6760"/>
    <cellStyle name="Normal 3 30 23 3" xfId="6761"/>
    <cellStyle name="Normal 3 30 24" xfId="6762"/>
    <cellStyle name="Normal 3 30 24 2" xfId="6763"/>
    <cellStyle name="Normal 3 30 25" xfId="6764"/>
    <cellStyle name="Normal 3 30 3" xfId="6765"/>
    <cellStyle name="Normal 3 30 3 2" xfId="6766"/>
    <cellStyle name="Normal 3 30 3 2 2" xfId="6767"/>
    <cellStyle name="Normal 3 30 3 3" xfId="6768"/>
    <cellStyle name="Normal 3 30 4" xfId="6769"/>
    <cellStyle name="Normal 3 30 4 2" xfId="6770"/>
    <cellStyle name="Normal 3 30 4 2 2" xfId="6771"/>
    <cellStyle name="Normal 3 30 4 3" xfId="6772"/>
    <cellStyle name="Normal 3 30 5" xfId="6773"/>
    <cellStyle name="Normal 3 30 5 2" xfId="6774"/>
    <cellStyle name="Normal 3 30 5 2 2" xfId="6775"/>
    <cellStyle name="Normal 3 30 5 3" xfId="6776"/>
    <cellStyle name="Normal 3 30 6" xfId="6777"/>
    <cellStyle name="Normal 3 30 6 2" xfId="6778"/>
    <cellStyle name="Normal 3 30 6 2 2" xfId="6779"/>
    <cellStyle name="Normal 3 30 6 3" xfId="6780"/>
    <cellStyle name="Normal 3 30 7" xfId="6781"/>
    <cellStyle name="Normal 3 30 7 2" xfId="6782"/>
    <cellStyle name="Normal 3 30 7 2 2" xfId="6783"/>
    <cellStyle name="Normal 3 30 7 3" xfId="6784"/>
    <cellStyle name="Normal 3 30 8" xfId="6785"/>
    <cellStyle name="Normal 3 30 8 2" xfId="6786"/>
    <cellStyle name="Normal 3 30 8 2 2" xfId="6787"/>
    <cellStyle name="Normal 3 30 8 3" xfId="6788"/>
    <cellStyle name="Normal 3 30 9" xfId="6789"/>
    <cellStyle name="Normal 3 30 9 2" xfId="6790"/>
    <cellStyle name="Normal 3 30 9 2 2" xfId="6791"/>
    <cellStyle name="Normal 3 30 9 3" xfId="6792"/>
    <cellStyle name="Normal 3 31" xfId="6793"/>
    <cellStyle name="Normal 3 31 10" xfId="6794"/>
    <cellStyle name="Normal 3 31 10 2" xfId="6795"/>
    <cellStyle name="Normal 3 31 10 2 2" xfId="6796"/>
    <cellStyle name="Normal 3 31 10 3" xfId="6797"/>
    <cellStyle name="Normal 3 31 11" xfId="6798"/>
    <cellStyle name="Normal 3 31 11 2" xfId="6799"/>
    <cellStyle name="Normal 3 31 11 2 2" xfId="6800"/>
    <cellStyle name="Normal 3 31 11 3" xfId="6801"/>
    <cellStyle name="Normal 3 31 12" xfId="6802"/>
    <cellStyle name="Normal 3 31 12 2" xfId="6803"/>
    <cellStyle name="Normal 3 31 12 2 2" xfId="6804"/>
    <cellStyle name="Normal 3 31 12 3" xfId="6805"/>
    <cellStyle name="Normal 3 31 13" xfId="6806"/>
    <cellStyle name="Normal 3 31 13 2" xfId="6807"/>
    <cellStyle name="Normal 3 31 13 2 2" xfId="6808"/>
    <cellStyle name="Normal 3 31 13 3" xfId="6809"/>
    <cellStyle name="Normal 3 31 14" xfId="6810"/>
    <cellStyle name="Normal 3 31 14 2" xfId="6811"/>
    <cellStyle name="Normal 3 31 14 2 2" xfId="6812"/>
    <cellStyle name="Normal 3 31 14 3" xfId="6813"/>
    <cellStyle name="Normal 3 31 15" xfId="6814"/>
    <cellStyle name="Normal 3 31 15 2" xfId="6815"/>
    <cellStyle name="Normal 3 31 15 2 2" xfId="6816"/>
    <cellStyle name="Normal 3 31 15 3" xfId="6817"/>
    <cellStyle name="Normal 3 31 16" xfId="6818"/>
    <cellStyle name="Normal 3 31 16 2" xfId="6819"/>
    <cellStyle name="Normal 3 31 16 2 2" xfId="6820"/>
    <cellStyle name="Normal 3 31 16 3" xfId="6821"/>
    <cellStyle name="Normal 3 31 17" xfId="6822"/>
    <cellStyle name="Normal 3 31 17 2" xfId="6823"/>
    <cellStyle name="Normal 3 31 17 2 2" xfId="6824"/>
    <cellStyle name="Normal 3 31 17 3" xfId="6825"/>
    <cellStyle name="Normal 3 31 18" xfId="6826"/>
    <cellStyle name="Normal 3 31 18 2" xfId="6827"/>
    <cellStyle name="Normal 3 31 18 2 2" xfId="6828"/>
    <cellStyle name="Normal 3 31 18 3" xfId="6829"/>
    <cellStyle name="Normal 3 31 19" xfId="6830"/>
    <cellStyle name="Normal 3 31 19 2" xfId="6831"/>
    <cellStyle name="Normal 3 31 19 2 2" xfId="6832"/>
    <cellStyle name="Normal 3 31 19 3" xfId="6833"/>
    <cellStyle name="Normal 3 31 2" xfId="6834"/>
    <cellStyle name="Normal 3 31 2 2" xfId="6835"/>
    <cellStyle name="Normal 3 31 2 2 2" xfId="6836"/>
    <cellStyle name="Normal 3 31 2 3" xfId="6837"/>
    <cellStyle name="Normal 3 31 20" xfId="6838"/>
    <cellStyle name="Normal 3 31 20 2" xfId="6839"/>
    <cellStyle name="Normal 3 31 20 2 2" xfId="6840"/>
    <cellStyle name="Normal 3 31 20 3" xfId="6841"/>
    <cellStyle name="Normal 3 31 21" xfId="6842"/>
    <cellStyle name="Normal 3 31 21 2" xfId="6843"/>
    <cellStyle name="Normal 3 31 21 2 2" xfId="6844"/>
    <cellStyle name="Normal 3 31 21 3" xfId="6845"/>
    <cellStyle name="Normal 3 31 22" xfId="6846"/>
    <cellStyle name="Normal 3 31 22 2" xfId="6847"/>
    <cellStyle name="Normal 3 31 22 2 2" xfId="6848"/>
    <cellStyle name="Normal 3 31 22 3" xfId="6849"/>
    <cellStyle name="Normal 3 31 23" xfId="6850"/>
    <cellStyle name="Normal 3 31 23 2" xfId="6851"/>
    <cellStyle name="Normal 3 31 23 2 2" xfId="6852"/>
    <cellStyle name="Normal 3 31 23 3" xfId="6853"/>
    <cellStyle name="Normal 3 31 24" xfId="6854"/>
    <cellStyle name="Normal 3 31 24 2" xfId="6855"/>
    <cellStyle name="Normal 3 31 25" xfId="6856"/>
    <cellStyle name="Normal 3 31 3" xfId="6857"/>
    <cellStyle name="Normal 3 31 3 2" xfId="6858"/>
    <cellStyle name="Normal 3 31 3 2 2" xfId="6859"/>
    <cellStyle name="Normal 3 31 3 3" xfId="6860"/>
    <cellStyle name="Normal 3 31 4" xfId="6861"/>
    <cellStyle name="Normal 3 31 4 2" xfId="6862"/>
    <cellStyle name="Normal 3 31 4 2 2" xfId="6863"/>
    <cellStyle name="Normal 3 31 4 3" xfId="6864"/>
    <cellStyle name="Normal 3 31 5" xfId="6865"/>
    <cellStyle name="Normal 3 31 5 2" xfId="6866"/>
    <cellStyle name="Normal 3 31 5 2 2" xfId="6867"/>
    <cellStyle name="Normal 3 31 5 3" xfId="6868"/>
    <cellStyle name="Normal 3 31 6" xfId="6869"/>
    <cellStyle name="Normal 3 31 6 2" xfId="6870"/>
    <cellStyle name="Normal 3 31 6 2 2" xfId="6871"/>
    <cellStyle name="Normal 3 31 6 3" xfId="6872"/>
    <cellStyle name="Normal 3 31 7" xfId="6873"/>
    <cellStyle name="Normal 3 31 7 2" xfId="6874"/>
    <cellStyle name="Normal 3 31 7 2 2" xfId="6875"/>
    <cellStyle name="Normal 3 31 7 3" xfId="6876"/>
    <cellStyle name="Normal 3 31 8" xfId="6877"/>
    <cellStyle name="Normal 3 31 8 2" xfId="6878"/>
    <cellStyle name="Normal 3 31 8 2 2" xfId="6879"/>
    <cellStyle name="Normal 3 31 8 3" xfId="6880"/>
    <cellStyle name="Normal 3 31 9" xfId="6881"/>
    <cellStyle name="Normal 3 31 9 2" xfId="6882"/>
    <cellStyle name="Normal 3 31 9 2 2" xfId="6883"/>
    <cellStyle name="Normal 3 31 9 3" xfId="6884"/>
    <cellStyle name="Normal 3 32" xfId="6885"/>
    <cellStyle name="Normal 3 32 10" xfId="6886"/>
    <cellStyle name="Normal 3 32 10 2" xfId="6887"/>
    <cellStyle name="Normal 3 32 10 2 2" xfId="6888"/>
    <cellStyle name="Normal 3 32 10 3" xfId="6889"/>
    <cellStyle name="Normal 3 32 11" xfId="6890"/>
    <cellStyle name="Normal 3 32 11 2" xfId="6891"/>
    <cellStyle name="Normal 3 32 11 2 2" xfId="6892"/>
    <cellStyle name="Normal 3 32 11 3" xfId="6893"/>
    <cellStyle name="Normal 3 32 12" xfId="6894"/>
    <cellStyle name="Normal 3 32 12 2" xfId="6895"/>
    <cellStyle name="Normal 3 32 12 2 2" xfId="6896"/>
    <cellStyle name="Normal 3 32 12 3" xfId="6897"/>
    <cellStyle name="Normal 3 32 13" xfId="6898"/>
    <cellStyle name="Normal 3 32 13 2" xfId="6899"/>
    <cellStyle name="Normal 3 32 13 2 2" xfId="6900"/>
    <cellStyle name="Normal 3 32 13 3" xfId="6901"/>
    <cellStyle name="Normal 3 32 14" xfId="6902"/>
    <cellStyle name="Normal 3 32 14 2" xfId="6903"/>
    <cellStyle name="Normal 3 32 14 2 2" xfId="6904"/>
    <cellStyle name="Normal 3 32 14 3" xfId="6905"/>
    <cellStyle name="Normal 3 32 15" xfId="6906"/>
    <cellStyle name="Normal 3 32 15 2" xfId="6907"/>
    <cellStyle name="Normal 3 32 15 2 2" xfId="6908"/>
    <cellStyle name="Normal 3 32 15 3" xfId="6909"/>
    <cellStyle name="Normal 3 32 16" xfId="6910"/>
    <cellStyle name="Normal 3 32 16 2" xfId="6911"/>
    <cellStyle name="Normal 3 32 16 2 2" xfId="6912"/>
    <cellStyle name="Normal 3 32 16 3" xfId="6913"/>
    <cellStyle name="Normal 3 32 17" xfId="6914"/>
    <cellStyle name="Normal 3 32 17 2" xfId="6915"/>
    <cellStyle name="Normal 3 32 17 2 2" xfId="6916"/>
    <cellStyle name="Normal 3 32 17 3" xfId="6917"/>
    <cellStyle name="Normal 3 32 18" xfId="6918"/>
    <cellStyle name="Normal 3 32 18 2" xfId="6919"/>
    <cellStyle name="Normal 3 32 18 2 2" xfId="6920"/>
    <cellStyle name="Normal 3 32 18 3" xfId="6921"/>
    <cellStyle name="Normal 3 32 19" xfId="6922"/>
    <cellStyle name="Normal 3 32 19 2" xfId="6923"/>
    <cellStyle name="Normal 3 32 19 2 2" xfId="6924"/>
    <cellStyle name="Normal 3 32 19 3" xfId="6925"/>
    <cellStyle name="Normal 3 32 2" xfId="6926"/>
    <cellStyle name="Normal 3 32 2 2" xfId="6927"/>
    <cellStyle name="Normal 3 32 2 2 2" xfId="6928"/>
    <cellStyle name="Normal 3 32 2 3" xfId="6929"/>
    <cellStyle name="Normal 3 32 20" xfId="6930"/>
    <cellStyle name="Normal 3 32 20 2" xfId="6931"/>
    <cellStyle name="Normal 3 32 20 2 2" xfId="6932"/>
    <cellStyle name="Normal 3 32 20 3" xfId="6933"/>
    <cellStyle name="Normal 3 32 21" xfId="6934"/>
    <cellStyle name="Normal 3 32 21 2" xfId="6935"/>
    <cellStyle name="Normal 3 32 21 2 2" xfId="6936"/>
    <cellStyle name="Normal 3 32 21 3" xfId="6937"/>
    <cellStyle name="Normal 3 32 22" xfId="6938"/>
    <cellStyle name="Normal 3 32 22 2" xfId="6939"/>
    <cellStyle name="Normal 3 32 22 2 2" xfId="6940"/>
    <cellStyle name="Normal 3 32 22 3" xfId="6941"/>
    <cellStyle name="Normal 3 32 23" xfId="6942"/>
    <cellStyle name="Normal 3 32 23 2" xfId="6943"/>
    <cellStyle name="Normal 3 32 23 2 2" xfId="6944"/>
    <cellStyle name="Normal 3 32 23 3" xfId="6945"/>
    <cellStyle name="Normal 3 32 24" xfId="6946"/>
    <cellStyle name="Normal 3 32 24 2" xfId="6947"/>
    <cellStyle name="Normal 3 32 25" xfId="6948"/>
    <cellStyle name="Normal 3 32 3" xfId="6949"/>
    <cellStyle name="Normal 3 32 3 2" xfId="6950"/>
    <cellStyle name="Normal 3 32 3 2 2" xfId="6951"/>
    <cellStyle name="Normal 3 32 3 3" xfId="6952"/>
    <cellStyle name="Normal 3 32 4" xfId="6953"/>
    <cellStyle name="Normal 3 32 4 2" xfId="6954"/>
    <cellStyle name="Normal 3 32 4 2 2" xfId="6955"/>
    <cellStyle name="Normal 3 32 4 3" xfId="6956"/>
    <cellStyle name="Normal 3 32 5" xfId="6957"/>
    <cellStyle name="Normal 3 32 5 2" xfId="6958"/>
    <cellStyle name="Normal 3 32 5 2 2" xfId="6959"/>
    <cellStyle name="Normal 3 32 5 3" xfId="6960"/>
    <cellStyle name="Normal 3 32 6" xfId="6961"/>
    <cellStyle name="Normal 3 32 6 2" xfId="6962"/>
    <cellStyle name="Normal 3 32 6 2 2" xfId="6963"/>
    <cellStyle name="Normal 3 32 6 3" xfId="6964"/>
    <cellStyle name="Normal 3 32 7" xfId="6965"/>
    <cellStyle name="Normal 3 32 7 2" xfId="6966"/>
    <cellStyle name="Normal 3 32 7 2 2" xfId="6967"/>
    <cellStyle name="Normal 3 32 7 3" xfId="6968"/>
    <cellStyle name="Normal 3 32 8" xfId="6969"/>
    <cellStyle name="Normal 3 32 8 2" xfId="6970"/>
    <cellStyle name="Normal 3 32 8 2 2" xfId="6971"/>
    <cellStyle name="Normal 3 32 8 3" xfId="6972"/>
    <cellStyle name="Normal 3 32 9" xfId="6973"/>
    <cellStyle name="Normal 3 32 9 2" xfId="6974"/>
    <cellStyle name="Normal 3 32 9 2 2" xfId="6975"/>
    <cellStyle name="Normal 3 32 9 3" xfId="6976"/>
    <cellStyle name="Normal 3 33" xfId="6977"/>
    <cellStyle name="Normal 3 33 10" xfId="6978"/>
    <cellStyle name="Normal 3 33 10 2" xfId="6979"/>
    <cellStyle name="Normal 3 33 10 2 2" xfId="6980"/>
    <cellStyle name="Normal 3 33 10 3" xfId="6981"/>
    <cellStyle name="Normal 3 33 11" xfId="6982"/>
    <cellStyle name="Normal 3 33 11 2" xfId="6983"/>
    <cellStyle name="Normal 3 33 11 2 2" xfId="6984"/>
    <cellStyle name="Normal 3 33 11 3" xfId="6985"/>
    <cellStyle name="Normal 3 33 12" xfId="6986"/>
    <cellStyle name="Normal 3 33 12 2" xfId="6987"/>
    <cellStyle name="Normal 3 33 12 2 2" xfId="6988"/>
    <cellStyle name="Normal 3 33 12 3" xfId="6989"/>
    <cellStyle name="Normal 3 33 13" xfId="6990"/>
    <cellStyle name="Normal 3 33 13 2" xfId="6991"/>
    <cellStyle name="Normal 3 33 13 2 2" xfId="6992"/>
    <cellStyle name="Normal 3 33 13 3" xfId="6993"/>
    <cellStyle name="Normal 3 33 14" xfId="6994"/>
    <cellStyle name="Normal 3 33 14 2" xfId="6995"/>
    <cellStyle name="Normal 3 33 14 2 2" xfId="6996"/>
    <cellStyle name="Normal 3 33 14 3" xfId="6997"/>
    <cellStyle name="Normal 3 33 15" xfId="6998"/>
    <cellStyle name="Normal 3 33 15 2" xfId="6999"/>
    <cellStyle name="Normal 3 33 15 2 2" xfId="7000"/>
    <cellStyle name="Normal 3 33 15 3" xfId="7001"/>
    <cellStyle name="Normal 3 33 16" xfId="7002"/>
    <cellStyle name="Normal 3 33 16 2" xfId="7003"/>
    <cellStyle name="Normal 3 33 16 2 2" xfId="7004"/>
    <cellStyle name="Normal 3 33 16 3" xfId="7005"/>
    <cellStyle name="Normal 3 33 17" xfId="7006"/>
    <cellStyle name="Normal 3 33 17 2" xfId="7007"/>
    <cellStyle name="Normal 3 33 17 2 2" xfId="7008"/>
    <cellStyle name="Normal 3 33 17 3" xfId="7009"/>
    <cellStyle name="Normal 3 33 18" xfId="7010"/>
    <cellStyle name="Normal 3 33 18 2" xfId="7011"/>
    <cellStyle name="Normal 3 33 18 2 2" xfId="7012"/>
    <cellStyle name="Normal 3 33 18 3" xfId="7013"/>
    <cellStyle name="Normal 3 33 19" xfId="7014"/>
    <cellStyle name="Normal 3 33 19 2" xfId="7015"/>
    <cellStyle name="Normal 3 33 19 2 2" xfId="7016"/>
    <cellStyle name="Normal 3 33 19 3" xfId="7017"/>
    <cellStyle name="Normal 3 33 2" xfId="7018"/>
    <cellStyle name="Normal 3 33 2 2" xfId="7019"/>
    <cellStyle name="Normal 3 33 2 2 2" xfId="7020"/>
    <cellStyle name="Normal 3 33 2 3" xfId="7021"/>
    <cellStyle name="Normal 3 33 20" xfId="7022"/>
    <cellStyle name="Normal 3 33 20 2" xfId="7023"/>
    <cellStyle name="Normal 3 33 20 2 2" xfId="7024"/>
    <cellStyle name="Normal 3 33 20 3" xfId="7025"/>
    <cellStyle name="Normal 3 33 21" xfId="7026"/>
    <cellStyle name="Normal 3 33 21 2" xfId="7027"/>
    <cellStyle name="Normal 3 33 21 2 2" xfId="7028"/>
    <cellStyle name="Normal 3 33 21 3" xfId="7029"/>
    <cellStyle name="Normal 3 33 22" xfId="7030"/>
    <cellStyle name="Normal 3 33 22 2" xfId="7031"/>
    <cellStyle name="Normal 3 33 22 2 2" xfId="7032"/>
    <cellStyle name="Normal 3 33 22 3" xfId="7033"/>
    <cellStyle name="Normal 3 33 23" xfId="7034"/>
    <cellStyle name="Normal 3 33 23 2" xfId="7035"/>
    <cellStyle name="Normal 3 33 23 2 2" xfId="7036"/>
    <cellStyle name="Normal 3 33 23 3" xfId="7037"/>
    <cellStyle name="Normal 3 33 24" xfId="7038"/>
    <cellStyle name="Normal 3 33 24 2" xfId="7039"/>
    <cellStyle name="Normal 3 33 25" xfId="7040"/>
    <cellStyle name="Normal 3 33 3" xfId="7041"/>
    <cellStyle name="Normal 3 33 3 2" xfId="7042"/>
    <cellStyle name="Normal 3 33 3 2 2" xfId="7043"/>
    <cellStyle name="Normal 3 33 3 3" xfId="7044"/>
    <cellStyle name="Normal 3 33 4" xfId="7045"/>
    <cellStyle name="Normal 3 33 4 2" xfId="7046"/>
    <cellStyle name="Normal 3 33 4 2 2" xfId="7047"/>
    <cellStyle name="Normal 3 33 4 3" xfId="7048"/>
    <cellStyle name="Normal 3 33 5" xfId="7049"/>
    <cellStyle name="Normal 3 33 5 2" xfId="7050"/>
    <cellStyle name="Normal 3 33 5 2 2" xfId="7051"/>
    <cellStyle name="Normal 3 33 5 3" xfId="7052"/>
    <cellStyle name="Normal 3 33 6" xfId="7053"/>
    <cellStyle name="Normal 3 33 6 2" xfId="7054"/>
    <cellStyle name="Normal 3 33 6 2 2" xfId="7055"/>
    <cellStyle name="Normal 3 33 6 3" xfId="7056"/>
    <cellStyle name="Normal 3 33 7" xfId="7057"/>
    <cellStyle name="Normal 3 33 7 2" xfId="7058"/>
    <cellStyle name="Normal 3 33 7 2 2" xfId="7059"/>
    <cellStyle name="Normal 3 33 7 3" xfId="7060"/>
    <cellStyle name="Normal 3 33 8" xfId="7061"/>
    <cellStyle name="Normal 3 33 8 2" xfId="7062"/>
    <cellStyle name="Normal 3 33 8 2 2" xfId="7063"/>
    <cellStyle name="Normal 3 33 8 3" xfId="7064"/>
    <cellStyle name="Normal 3 33 9" xfId="7065"/>
    <cellStyle name="Normal 3 33 9 2" xfId="7066"/>
    <cellStyle name="Normal 3 33 9 2 2" xfId="7067"/>
    <cellStyle name="Normal 3 33 9 3" xfId="7068"/>
    <cellStyle name="Normal 3 34" xfId="7069"/>
    <cellStyle name="Normal 3 34 2" xfId="7070"/>
    <cellStyle name="Normal 3 34 2 2" xfId="7071"/>
    <cellStyle name="Normal 3 34 3" xfId="7072"/>
    <cellStyle name="Normal 3 35" xfId="7073"/>
    <cellStyle name="Normal 3 35 2" xfId="7074"/>
    <cellStyle name="Normal 3 35 2 2" xfId="7075"/>
    <cellStyle name="Normal 3 35 3" xfId="7076"/>
    <cellStyle name="Normal 3 36" xfId="7077"/>
    <cellStyle name="Normal 3 36 2" xfId="7078"/>
    <cellStyle name="Normal 3 36 2 2" xfId="7079"/>
    <cellStyle name="Normal 3 36 3" xfId="7080"/>
    <cellStyle name="Normal 3 37" xfId="7081"/>
    <cellStyle name="Normal 3 37 2" xfId="7082"/>
    <cellStyle name="Normal 3 37 2 2" xfId="7083"/>
    <cellStyle name="Normal 3 37 3" xfId="7084"/>
    <cellStyle name="Normal 3 38" xfId="7085"/>
    <cellStyle name="Normal 3 38 2" xfId="7086"/>
    <cellStyle name="Normal 3 38 2 2" xfId="7087"/>
    <cellStyle name="Normal 3 38 3" xfId="7088"/>
    <cellStyle name="Normal 3 39" xfId="7089"/>
    <cellStyle name="Normal 3 39 2" xfId="7090"/>
    <cellStyle name="Normal 3 39 2 2" xfId="7091"/>
    <cellStyle name="Normal 3 39 3" xfId="7092"/>
    <cellStyle name="Normal 3 4" xfId="273"/>
    <cellStyle name="Normal 3 4 10" xfId="7093"/>
    <cellStyle name="Normal 3 4 10 2" xfId="7094"/>
    <cellStyle name="Normal 3 4 10 2 2" xfId="7095"/>
    <cellStyle name="Normal 3 4 10 3" xfId="7096"/>
    <cellStyle name="Normal 3 4 11" xfId="7097"/>
    <cellStyle name="Normal 3 4 11 2" xfId="7098"/>
    <cellStyle name="Normal 3 4 11 2 2" xfId="7099"/>
    <cellStyle name="Normal 3 4 11 3" xfId="7100"/>
    <cellStyle name="Normal 3 4 12" xfId="7101"/>
    <cellStyle name="Normal 3 4 12 2" xfId="7102"/>
    <cellStyle name="Normal 3 4 12 2 2" xfId="7103"/>
    <cellStyle name="Normal 3 4 12 3" xfId="7104"/>
    <cellStyle name="Normal 3 4 13" xfId="7105"/>
    <cellStyle name="Normal 3 4 13 2" xfId="7106"/>
    <cellStyle name="Normal 3 4 13 2 2" xfId="7107"/>
    <cellStyle name="Normal 3 4 13 3" xfId="7108"/>
    <cellStyle name="Normal 3 4 14" xfId="7109"/>
    <cellStyle name="Normal 3 4 14 2" xfId="7110"/>
    <cellStyle name="Normal 3 4 14 2 2" xfId="7111"/>
    <cellStyle name="Normal 3 4 14 3" xfId="7112"/>
    <cellStyle name="Normal 3 4 15" xfId="7113"/>
    <cellStyle name="Normal 3 4 15 2" xfId="7114"/>
    <cellStyle name="Normal 3 4 15 2 2" xfId="7115"/>
    <cellStyle name="Normal 3 4 15 3" xfId="7116"/>
    <cellStyle name="Normal 3 4 16" xfId="7117"/>
    <cellStyle name="Normal 3 4 16 2" xfId="7118"/>
    <cellStyle name="Normal 3 4 16 2 2" xfId="7119"/>
    <cellStyle name="Normal 3 4 16 3" xfId="7120"/>
    <cellStyle name="Normal 3 4 17" xfId="7121"/>
    <cellStyle name="Normal 3 4 17 2" xfId="7122"/>
    <cellStyle name="Normal 3 4 17 2 2" xfId="7123"/>
    <cellStyle name="Normal 3 4 17 3" xfId="7124"/>
    <cellStyle name="Normal 3 4 18" xfId="7125"/>
    <cellStyle name="Normal 3 4 18 2" xfId="7126"/>
    <cellStyle name="Normal 3 4 18 2 2" xfId="7127"/>
    <cellStyle name="Normal 3 4 18 3" xfId="7128"/>
    <cellStyle name="Normal 3 4 19" xfId="7129"/>
    <cellStyle name="Normal 3 4 19 2" xfId="7130"/>
    <cellStyle name="Normal 3 4 19 2 2" xfId="7131"/>
    <cellStyle name="Normal 3 4 19 3" xfId="7132"/>
    <cellStyle name="Normal 3 4 2" xfId="453"/>
    <cellStyle name="Normal 3 4 2 2" xfId="7133"/>
    <cellStyle name="Normal 3 4 2 2 2" xfId="7134"/>
    <cellStyle name="Normal 3 4 2 3" xfId="7135"/>
    <cellStyle name="Normal 3 4 20" xfId="7136"/>
    <cellStyle name="Normal 3 4 20 2" xfId="7137"/>
    <cellStyle name="Normal 3 4 20 2 2" xfId="7138"/>
    <cellStyle name="Normal 3 4 20 3" xfId="7139"/>
    <cellStyle name="Normal 3 4 21" xfId="7140"/>
    <cellStyle name="Normal 3 4 21 2" xfId="7141"/>
    <cellStyle name="Normal 3 4 21 2 2" xfId="7142"/>
    <cellStyle name="Normal 3 4 21 3" xfId="7143"/>
    <cellStyle name="Normal 3 4 22" xfId="7144"/>
    <cellStyle name="Normal 3 4 22 2" xfId="7145"/>
    <cellStyle name="Normal 3 4 22 2 2" xfId="7146"/>
    <cellStyle name="Normal 3 4 22 3" xfId="7147"/>
    <cellStyle name="Normal 3 4 23" xfId="7148"/>
    <cellStyle name="Normal 3 4 23 2" xfId="7149"/>
    <cellStyle name="Normal 3 4 23 2 2" xfId="7150"/>
    <cellStyle name="Normal 3 4 23 3" xfId="7151"/>
    <cellStyle name="Normal 3 4 24" xfId="7152"/>
    <cellStyle name="Normal 3 4 24 2" xfId="7153"/>
    <cellStyle name="Normal 3 4 25" xfId="7154"/>
    <cellStyle name="Normal 3 4 3" xfId="7155"/>
    <cellStyle name="Normal 3 4 3 2" xfId="7156"/>
    <cellStyle name="Normal 3 4 3 2 2" xfId="7157"/>
    <cellStyle name="Normal 3 4 3 3" xfId="7158"/>
    <cellStyle name="Normal 3 4 4" xfId="7159"/>
    <cellStyle name="Normal 3 4 4 2" xfId="7160"/>
    <cellStyle name="Normal 3 4 4 2 2" xfId="7161"/>
    <cellStyle name="Normal 3 4 4 3" xfId="7162"/>
    <cellStyle name="Normal 3 4 5" xfId="7163"/>
    <cellStyle name="Normal 3 4 5 2" xfId="7164"/>
    <cellStyle name="Normal 3 4 5 2 2" xfId="7165"/>
    <cellStyle name="Normal 3 4 5 3" xfId="7166"/>
    <cellStyle name="Normal 3 4 6" xfId="7167"/>
    <cellStyle name="Normal 3 4 6 2" xfId="7168"/>
    <cellStyle name="Normal 3 4 6 2 2" xfId="7169"/>
    <cellStyle name="Normal 3 4 6 3" xfId="7170"/>
    <cellStyle name="Normal 3 4 7" xfId="7171"/>
    <cellStyle name="Normal 3 4 7 2" xfId="7172"/>
    <cellStyle name="Normal 3 4 7 2 2" xfId="7173"/>
    <cellStyle name="Normal 3 4 7 3" xfId="7174"/>
    <cellStyle name="Normal 3 4 8" xfId="7175"/>
    <cellStyle name="Normal 3 4 8 2" xfId="7176"/>
    <cellStyle name="Normal 3 4 8 2 2" xfId="7177"/>
    <cellStyle name="Normal 3 4 8 3" xfId="7178"/>
    <cellStyle name="Normal 3 4 9" xfId="7179"/>
    <cellStyle name="Normal 3 4 9 2" xfId="7180"/>
    <cellStyle name="Normal 3 4 9 2 2" xfId="7181"/>
    <cellStyle name="Normal 3 4 9 3" xfId="7182"/>
    <cellStyle name="Normal 3 40" xfId="7183"/>
    <cellStyle name="Normal 3 40 2" xfId="7184"/>
    <cellStyle name="Normal 3 40 2 2" xfId="7185"/>
    <cellStyle name="Normal 3 40 3" xfId="7186"/>
    <cellStyle name="Normal 3 41" xfId="7187"/>
    <cellStyle name="Normal 3 41 2" xfId="7188"/>
    <cellStyle name="Normal 3 41 2 2" xfId="7189"/>
    <cellStyle name="Normal 3 41 3" xfId="7190"/>
    <cellStyle name="Normal 3 42" xfId="7191"/>
    <cellStyle name="Normal 3 42 2" xfId="7192"/>
    <cellStyle name="Normal 3 42 2 2" xfId="7193"/>
    <cellStyle name="Normal 3 42 3" xfId="7194"/>
    <cellStyle name="Normal 3 43" xfId="7195"/>
    <cellStyle name="Normal 3 43 2" xfId="7196"/>
    <cellStyle name="Normal 3 43 2 2" xfId="7197"/>
    <cellStyle name="Normal 3 43 3" xfId="7198"/>
    <cellStyle name="Normal 3 44" xfId="7199"/>
    <cellStyle name="Normal 3 44 2" xfId="7200"/>
    <cellStyle name="Normal 3 44 2 2" xfId="7201"/>
    <cellStyle name="Normal 3 44 3" xfId="7202"/>
    <cellStyle name="Normal 3 45" xfId="7203"/>
    <cellStyle name="Normal 3 45 2" xfId="7204"/>
    <cellStyle name="Normal 3 45 2 2" xfId="7205"/>
    <cellStyle name="Normal 3 45 3" xfId="7206"/>
    <cellStyle name="Normal 3 46" xfId="7207"/>
    <cellStyle name="Normal 3 46 2" xfId="7208"/>
    <cellStyle name="Normal 3 46 2 2" xfId="7209"/>
    <cellStyle name="Normal 3 46 3" xfId="7210"/>
    <cellStyle name="Normal 3 47" xfId="7211"/>
    <cellStyle name="Normal 3 47 2" xfId="7212"/>
    <cellStyle name="Normal 3 47 2 2" xfId="7213"/>
    <cellStyle name="Normal 3 47 3" xfId="7214"/>
    <cellStyle name="Normal 3 48" xfId="7215"/>
    <cellStyle name="Normal 3 48 2" xfId="7216"/>
    <cellStyle name="Normal 3 48 2 2" xfId="7217"/>
    <cellStyle name="Normal 3 48 3" xfId="7218"/>
    <cellStyle name="Normal 3 49" xfId="7219"/>
    <cellStyle name="Normal 3 49 2" xfId="7220"/>
    <cellStyle name="Normal 3 49 2 2" xfId="7221"/>
    <cellStyle name="Normal 3 49 3" xfId="7222"/>
    <cellStyle name="Normal 3 5" xfId="454"/>
    <cellStyle name="Normal 3 5 10" xfId="7223"/>
    <cellStyle name="Normal 3 5 10 2" xfId="7224"/>
    <cellStyle name="Normal 3 5 10 2 2" xfId="7225"/>
    <cellStyle name="Normal 3 5 10 3" xfId="7226"/>
    <cellStyle name="Normal 3 5 11" xfId="7227"/>
    <cellStyle name="Normal 3 5 11 2" xfId="7228"/>
    <cellStyle name="Normal 3 5 11 2 2" xfId="7229"/>
    <cellStyle name="Normal 3 5 11 3" xfId="7230"/>
    <cellStyle name="Normal 3 5 12" xfId="7231"/>
    <cellStyle name="Normal 3 5 12 2" xfId="7232"/>
    <cellStyle name="Normal 3 5 12 2 2" xfId="7233"/>
    <cellStyle name="Normal 3 5 12 3" xfId="7234"/>
    <cellStyle name="Normal 3 5 13" xfId="7235"/>
    <cellStyle name="Normal 3 5 13 2" xfId="7236"/>
    <cellStyle name="Normal 3 5 13 2 2" xfId="7237"/>
    <cellStyle name="Normal 3 5 13 3" xfId="7238"/>
    <cellStyle name="Normal 3 5 14" xfId="7239"/>
    <cellStyle name="Normal 3 5 14 2" xfId="7240"/>
    <cellStyle name="Normal 3 5 14 2 2" xfId="7241"/>
    <cellStyle name="Normal 3 5 14 3" xfId="7242"/>
    <cellStyle name="Normal 3 5 15" xfId="7243"/>
    <cellStyle name="Normal 3 5 15 2" xfId="7244"/>
    <cellStyle name="Normal 3 5 15 2 2" xfId="7245"/>
    <cellStyle name="Normal 3 5 15 3" xfId="7246"/>
    <cellStyle name="Normal 3 5 16" xfId="7247"/>
    <cellStyle name="Normal 3 5 16 2" xfId="7248"/>
    <cellStyle name="Normal 3 5 16 2 2" xfId="7249"/>
    <cellStyle name="Normal 3 5 16 3" xfId="7250"/>
    <cellStyle name="Normal 3 5 17" xfId="7251"/>
    <cellStyle name="Normal 3 5 17 2" xfId="7252"/>
    <cellStyle name="Normal 3 5 17 2 2" xfId="7253"/>
    <cellStyle name="Normal 3 5 17 3" xfId="7254"/>
    <cellStyle name="Normal 3 5 18" xfId="7255"/>
    <cellStyle name="Normal 3 5 18 2" xfId="7256"/>
    <cellStyle name="Normal 3 5 18 2 2" xfId="7257"/>
    <cellStyle name="Normal 3 5 18 3" xfId="7258"/>
    <cellStyle name="Normal 3 5 19" xfId="7259"/>
    <cellStyle name="Normal 3 5 19 2" xfId="7260"/>
    <cellStyle name="Normal 3 5 19 2 2" xfId="7261"/>
    <cellStyle name="Normal 3 5 19 3" xfId="7262"/>
    <cellStyle name="Normal 3 5 2" xfId="7263"/>
    <cellStyle name="Normal 3 5 2 2" xfId="7264"/>
    <cellStyle name="Normal 3 5 2 2 2" xfId="7265"/>
    <cellStyle name="Normal 3 5 2 3" xfId="7266"/>
    <cellStyle name="Normal 3 5 20" xfId="7267"/>
    <cellStyle name="Normal 3 5 20 2" xfId="7268"/>
    <cellStyle name="Normal 3 5 20 2 2" xfId="7269"/>
    <cellStyle name="Normal 3 5 20 3" xfId="7270"/>
    <cellStyle name="Normal 3 5 21" xfId="7271"/>
    <cellStyle name="Normal 3 5 21 2" xfId="7272"/>
    <cellStyle name="Normal 3 5 21 2 2" xfId="7273"/>
    <cellStyle name="Normal 3 5 21 3" xfId="7274"/>
    <cellStyle name="Normal 3 5 22" xfId="7275"/>
    <cellStyle name="Normal 3 5 22 2" xfId="7276"/>
    <cellStyle name="Normal 3 5 22 2 2" xfId="7277"/>
    <cellStyle name="Normal 3 5 22 3" xfId="7278"/>
    <cellStyle name="Normal 3 5 23" xfId="7279"/>
    <cellStyle name="Normal 3 5 23 2" xfId="7280"/>
    <cellStyle name="Normal 3 5 23 2 2" xfId="7281"/>
    <cellStyle name="Normal 3 5 23 3" xfId="7282"/>
    <cellStyle name="Normal 3 5 24" xfId="7283"/>
    <cellStyle name="Normal 3 5 24 2" xfId="7284"/>
    <cellStyle name="Normal 3 5 25" xfId="7285"/>
    <cellStyle name="Normal 3 5 3" xfId="7286"/>
    <cellStyle name="Normal 3 5 3 2" xfId="7287"/>
    <cellStyle name="Normal 3 5 3 2 2" xfId="7288"/>
    <cellStyle name="Normal 3 5 3 3" xfId="7289"/>
    <cellStyle name="Normal 3 5 4" xfId="7290"/>
    <cellStyle name="Normal 3 5 4 2" xfId="7291"/>
    <cellStyle name="Normal 3 5 4 2 2" xfId="7292"/>
    <cellStyle name="Normal 3 5 4 3" xfId="7293"/>
    <cellStyle name="Normal 3 5 5" xfId="7294"/>
    <cellStyle name="Normal 3 5 5 2" xfId="7295"/>
    <cellStyle name="Normal 3 5 5 2 2" xfId="7296"/>
    <cellStyle name="Normal 3 5 5 3" xfId="7297"/>
    <cellStyle name="Normal 3 5 6" xfId="7298"/>
    <cellStyle name="Normal 3 5 6 2" xfId="7299"/>
    <cellStyle name="Normal 3 5 6 2 2" xfId="7300"/>
    <cellStyle name="Normal 3 5 6 3" xfId="7301"/>
    <cellStyle name="Normal 3 5 7" xfId="7302"/>
    <cellStyle name="Normal 3 5 7 2" xfId="7303"/>
    <cellStyle name="Normal 3 5 7 2 2" xfId="7304"/>
    <cellStyle name="Normal 3 5 7 3" xfId="7305"/>
    <cellStyle name="Normal 3 5 8" xfId="7306"/>
    <cellStyle name="Normal 3 5 8 2" xfId="7307"/>
    <cellStyle name="Normal 3 5 8 2 2" xfId="7308"/>
    <cellStyle name="Normal 3 5 8 3" xfId="7309"/>
    <cellStyle name="Normal 3 5 9" xfId="7310"/>
    <cellStyle name="Normal 3 5 9 2" xfId="7311"/>
    <cellStyle name="Normal 3 5 9 2 2" xfId="7312"/>
    <cellStyle name="Normal 3 5 9 3" xfId="7313"/>
    <cellStyle name="Normal 3 50" xfId="7314"/>
    <cellStyle name="Normal 3 50 2" xfId="7315"/>
    <cellStyle name="Normal 3 50 2 2" xfId="7316"/>
    <cellStyle name="Normal 3 50 3" xfId="7317"/>
    <cellStyle name="Normal 3 51" xfId="7318"/>
    <cellStyle name="Normal 3 51 2" xfId="7319"/>
    <cellStyle name="Normal 3 51 2 2" xfId="7320"/>
    <cellStyle name="Normal 3 51 3" xfId="7321"/>
    <cellStyle name="Normal 3 52" xfId="7322"/>
    <cellStyle name="Normal 3 52 2" xfId="7323"/>
    <cellStyle name="Normal 3 52 2 2" xfId="7324"/>
    <cellStyle name="Normal 3 52 3" xfId="7325"/>
    <cellStyle name="Normal 3 53" xfId="7326"/>
    <cellStyle name="Normal 3 53 2" xfId="7327"/>
    <cellStyle name="Normal 3 53 2 2" xfId="7328"/>
    <cellStyle name="Normal 3 53 3" xfId="7329"/>
    <cellStyle name="Normal 3 54" xfId="7330"/>
    <cellStyle name="Normal 3 54 2" xfId="7331"/>
    <cellStyle name="Normal 3 54 2 2" xfId="7332"/>
    <cellStyle name="Normal 3 54 3" xfId="7333"/>
    <cellStyle name="Normal 3 55" xfId="7334"/>
    <cellStyle name="Normal 3 55 2" xfId="7335"/>
    <cellStyle name="Normal 3 55 2 2" xfId="7336"/>
    <cellStyle name="Normal 3 55 3" xfId="7337"/>
    <cellStyle name="Normal 3 56" xfId="7338"/>
    <cellStyle name="Normal 3 56 2" xfId="7339"/>
    <cellStyle name="Normal 3 56 2 2" xfId="7340"/>
    <cellStyle name="Normal 3 56 3" xfId="7341"/>
    <cellStyle name="Normal 3 57" xfId="7342"/>
    <cellStyle name="Normal 3 57 2" xfId="7343"/>
    <cellStyle name="Normal 3 57 2 2" xfId="7344"/>
    <cellStyle name="Normal 3 57 3" xfId="7345"/>
    <cellStyle name="Normal 3 58" xfId="7346"/>
    <cellStyle name="Normal 3 58 2" xfId="7347"/>
    <cellStyle name="Normal 3 58 2 2" xfId="7348"/>
    <cellStyle name="Normal 3 58 3" xfId="7349"/>
    <cellStyle name="Normal 3 59" xfId="7350"/>
    <cellStyle name="Normal 3 59 2" xfId="7351"/>
    <cellStyle name="Normal 3 59 2 2" xfId="7352"/>
    <cellStyle name="Normal 3 59 3" xfId="7353"/>
    <cellStyle name="Normal 3 6" xfId="7354"/>
    <cellStyle name="Normal 3 6 10" xfId="7355"/>
    <cellStyle name="Normal 3 6 10 2" xfId="7356"/>
    <cellStyle name="Normal 3 6 10 2 2" xfId="7357"/>
    <cellStyle name="Normal 3 6 10 3" xfId="7358"/>
    <cellStyle name="Normal 3 6 11" xfId="7359"/>
    <cellStyle name="Normal 3 6 11 2" xfId="7360"/>
    <cellStyle name="Normal 3 6 11 2 2" xfId="7361"/>
    <cellStyle name="Normal 3 6 11 3" xfId="7362"/>
    <cellStyle name="Normal 3 6 12" xfId="7363"/>
    <cellStyle name="Normal 3 6 12 2" xfId="7364"/>
    <cellStyle name="Normal 3 6 12 2 2" xfId="7365"/>
    <cellStyle name="Normal 3 6 12 3" xfId="7366"/>
    <cellStyle name="Normal 3 6 13" xfId="7367"/>
    <cellStyle name="Normal 3 6 13 2" xfId="7368"/>
    <cellStyle name="Normal 3 6 13 2 2" xfId="7369"/>
    <cellStyle name="Normal 3 6 13 3" xfId="7370"/>
    <cellStyle name="Normal 3 6 14" xfId="7371"/>
    <cellStyle name="Normal 3 6 14 2" xfId="7372"/>
    <cellStyle name="Normal 3 6 14 2 2" xfId="7373"/>
    <cellStyle name="Normal 3 6 14 3" xfId="7374"/>
    <cellStyle name="Normal 3 6 15" xfId="7375"/>
    <cellStyle name="Normal 3 6 15 2" xfId="7376"/>
    <cellStyle name="Normal 3 6 15 2 2" xfId="7377"/>
    <cellStyle name="Normal 3 6 15 3" xfId="7378"/>
    <cellStyle name="Normal 3 6 16" xfId="7379"/>
    <cellStyle name="Normal 3 6 16 2" xfId="7380"/>
    <cellStyle name="Normal 3 6 16 2 2" xfId="7381"/>
    <cellStyle name="Normal 3 6 16 3" xfId="7382"/>
    <cellStyle name="Normal 3 6 17" xfId="7383"/>
    <cellStyle name="Normal 3 6 17 2" xfId="7384"/>
    <cellStyle name="Normal 3 6 17 2 2" xfId="7385"/>
    <cellStyle name="Normal 3 6 17 3" xfId="7386"/>
    <cellStyle name="Normal 3 6 18" xfId="7387"/>
    <cellStyle name="Normal 3 6 18 2" xfId="7388"/>
    <cellStyle name="Normal 3 6 18 2 2" xfId="7389"/>
    <cellStyle name="Normal 3 6 18 3" xfId="7390"/>
    <cellStyle name="Normal 3 6 19" xfId="7391"/>
    <cellStyle name="Normal 3 6 19 2" xfId="7392"/>
    <cellStyle name="Normal 3 6 19 2 2" xfId="7393"/>
    <cellStyle name="Normal 3 6 19 3" xfId="7394"/>
    <cellStyle name="Normal 3 6 2" xfId="7395"/>
    <cellStyle name="Normal 3 6 2 2" xfId="7396"/>
    <cellStyle name="Normal 3 6 2 2 2" xfId="7397"/>
    <cellStyle name="Normal 3 6 2 3" xfId="7398"/>
    <cellStyle name="Normal 3 6 20" xfId="7399"/>
    <cellStyle name="Normal 3 6 20 2" xfId="7400"/>
    <cellStyle name="Normal 3 6 20 2 2" xfId="7401"/>
    <cellStyle name="Normal 3 6 20 3" xfId="7402"/>
    <cellStyle name="Normal 3 6 21" xfId="7403"/>
    <cellStyle name="Normal 3 6 21 2" xfId="7404"/>
    <cellStyle name="Normal 3 6 21 2 2" xfId="7405"/>
    <cellStyle name="Normal 3 6 21 3" xfId="7406"/>
    <cellStyle name="Normal 3 6 22" xfId="7407"/>
    <cellStyle name="Normal 3 6 22 2" xfId="7408"/>
    <cellStyle name="Normal 3 6 22 2 2" xfId="7409"/>
    <cellStyle name="Normal 3 6 22 3" xfId="7410"/>
    <cellStyle name="Normal 3 6 23" xfId="7411"/>
    <cellStyle name="Normal 3 6 23 2" xfId="7412"/>
    <cellStyle name="Normal 3 6 23 2 2" xfId="7413"/>
    <cellStyle name="Normal 3 6 23 3" xfId="7414"/>
    <cellStyle name="Normal 3 6 24" xfId="7415"/>
    <cellStyle name="Normal 3 6 24 2" xfId="7416"/>
    <cellStyle name="Normal 3 6 25" xfId="7417"/>
    <cellStyle name="Normal 3 6 3" xfId="7418"/>
    <cellStyle name="Normal 3 6 3 2" xfId="7419"/>
    <cellStyle name="Normal 3 6 3 2 2" xfId="7420"/>
    <cellStyle name="Normal 3 6 3 3" xfId="7421"/>
    <cellStyle name="Normal 3 6 4" xfId="7422"/>
    <cellStyle name="Normal 3 6 4 2" xfId="7423"/>
    <cellStyle name="Normal 3 6 4 2 2" xfId="7424"/>
    <cellStyle name="Normal 3 6 4 3" xfId="7425"/>
    <cellStyle name="Normal 3 6 5" xfId="7426"/>
    <cellStyle name="Normal 3 6 5 2" xfId="7427"/>
    <cellStyle name="Normal 3 6 5 2 2" xfId="7428"/>
    <cellStyle name="Normal 3 6 5 3" xfId="7429"/>
    <cellStyle name="Normal 3 6 6" xfId="7430"/>
    <cellStyle name="Normal 3 6 6 2" xfId="7431"/>
    <cellStyle name="Normal 3 6 6 2 2" xfId="7432"/>
    <cellStyle name="Normal 3 6 6 3" xfId="7433"/>
    <cellStyle name="Normal 3 6 7" xfId="7434"/>
    <cellStyle name="Normal 3 6 7 2" xfId="7435"/>
    <cellStyle name="Normal 3 6 7 2 2" xfId="7436"/>
    <cellStyle name="Normal 3 6 7 3" xfId="7437"/>
    <cellStyle name="Normal 3 6 8" xfId="7438"/>
    <cellStyle name="Normal 3 6 8 2" xfId="7439"/>
    <cellStyle name="Normal 3 6 8 2 2" xfId="7440"/>
    <cellStyle name="Normal 3 6 8 3" xfId="7441"/>
    <cellStyle name="Normal 3 6 9" xfId="7442"/>
    <cellStyle name="Normal 3 6 9 2" xfId="7443"/>
    <cellStyle name="Normal 3 6 9 2 2" xfId="7444"/>
    <cellStyle name="Normal 3 6 9 3" xfId="7445"/>
    <cellStyle name="Normal 3 60" xfId="7446"/>
    <cellStyle name="Normal 3 60 2" xfId="7447"/>
    <cellStyle name="Normal 3 60 2 2" xfId="7448"/>
    <cellStyle name="Normal 3 60 3" xfId="7449"/>
    <cellStyle name="Normal 3 61" xfId="7450"/>
    <cellStyle name="Normal 3 61 2" xfId="7451"/>
    <cellStyle name="Normal 3 61 2 2" xfId="7452"/>
    <cellStyle name="Normal 3 61 3" xfId="7453"/>
    <cellStyle name="Normal 3 62" xfId="7454"/>
    <cellStyle name="Normal 3 62 2" xfId="7455"/>
    <cellStyle name="Normal 3 62 2 2" xfId="7456"/>
    <cellStyle name="Normal 3 62 3" xfId="7457"/>
    <cellStyle name="Normal 3 63" xfId="7458"/>
    <cellStyle name="Normal 3 63 2" xfId="7459"/>
    <cellStyle name="Normal 3 63 2 2" xfId="7460"/>
    <cellStyle name="Normal 3 63 3" xfId="7461"/>
    <cellStyle name="Normal 3 64" xfId="7462"/>
    <cellStyle name="Normal 3 64 2" xfId="7463"/>
    <cellStyle name="Normal 3 64 2 2" xfId="7464"/>
    <cellStyle name="Normal 3 64 3" xfId="7465"/>
    <cellStyle name="Normal 3 65" xfId="7466"/>
    <cellStyle name="Normal 3 65 2" xfId="7467"/>
    <cellStyle name="Normal 3 65 2 2" xfId="7468"/>
    <cellStyle name="Normal 3 65 3" xfId="7469"/>
    <cellStyle name="Normal 3 66" xfId="274"/>
    <cellStyle name="Normal 3 67" xfId="7470"/>
    <cellStyle name="Normal 3 68" xfId="7471"/>
    <cellStyle name="Normal 3 7" xfId="7472"/>
    <cellStyle name="Normal 3 7 10" xfId="7473"/>
    <cellStyle name="Normal 3 7 10 2" xfId="7474"/>
    <cellStyle name="Normal 3 7 10 2 2" xfId="7475"/>
    <cellStyle name="Normal 3 7 10 3" xfId="7476"/>
    <cellStyle name="Normal 3 7 11" xfId="7477"/>
    <cellStyle name="Normal 3 7 11 2" xfId="7478"/>
    <cellStyle name="Normal 3 7 11 2 2" xfId="7479"/>
    <cellStyle name="Normal 3 7 11 3" xfId="7480"/>
    <cellStyle name="Normal 3 7 12" xfId="7481"/>
    <cellStyle name="Normal 3 7 12 2" xfId="7482"/>
    <cellStyle name="Normal 3 7 12 2 2" xfId="7483"/>
    <cellStyle name="Normal 3 7 12 3" xfId="7484"/>
    <cellStyle name="Normal 3 7 13" xfId="7485"/>
    <cellStyle name="Normal 3 7 13 2" xfId="7486"/>
    <cellStyle name="Normal 3 7 13 2 2" xfId="7487"/>
    <cellStyle name="Normal 3 7 13 3" xfId="7488"/>
    <cellStyle name="Normal 3 7 14" xfId="7489"/>
    <cellStyle name="Normal 3 7 14 2" xfId="7490"/>
    <cellStyle name="Normal 3 7 14 2 2" xfId="7491"/>
    <cellStyle name="Normal 3 7 14 3" xfId="7492"/>
    <cellStyle name="Normal 3 7 15" xfId="7493"/>
    <cellStyle name="Normal 3 7 15 2" xfId="7494"/>
    <cellStyle name="Normal 3 7 15 2 2" xfId="7495"/>
    <cellStyle name="Normal 3 7 15 3" xfId="7496"/>
    <cellStyle name="Normal 3 7 16" xfId="7497"/>
    <cellStyle name="Normal 3 7 16 2" xfId="7498"/>
    <cellStyle name="Normal 3 7 16 2 2" xfId="7499"/>
    <cellStyle name="Normal 3 7 16 3" xfId="7500"/>
    <cellStyle name="Normal 3 7 17" xfId="7501"/>
    <cellStyle name="Normal 3 7 17 2" xfId="7502"/>
    <cellStyle name="Normal 3 7 17 2 2" xfId="7503"/>
    <cellStyle name="Normal 3 7 17 3" xfId="7504"/>
    <cellStyle name="Normal 3 7 18" xfId="7505"/>
    <cellStyle name="Normal 3 7 18 2" xfId="7506"/>
    <cellStyle name="Normal 3 7 18 2 2" xfId="7507"/>
    <cellStyle name="Normal 3 7 18 3" xfId="7508"/>
    <cellStyle name="Normal 3 7 19" xfId="7509"/>
    <cellStyle name="Normal 3 7 19 2" xfId="7510"/>
    <cellStyle name="Normal 3 7 19 2 2" xfId="7511"/>
    <cellStyle name="Normal 3 7 19 3" xfId="7512"/>
    <cellStyle name="Normal 3 7 2" xfId="7513"/>
    <cellStyle name="Normal 3 7 2 2" xfId="7514"/>
    <cellStyle name="Normal 3 7 2 2 2" xfId="7515"/>
    <cellStyle name="Normal 3 7 2 3" xfId="7516"/>
    <cellStyle name="Normal 3 7 20" xfId="7517"/>
    <cellStyle name="Normal 3 7 20 2" xfId="7518"/>
    <cellStyle name="Normal 3 7 20 2 2" xfId="7519"/>
    <cellStyle name="Normal 3 7 20 3" xfId="7520"/>
    <cellStyle name="Normal 3 7 21" xfId="7521"/>
    <cellStyle name="Normal 3 7 21 2" xfId="7522"/>
    <cellStyle name="Normal 3 7 21 2 2" xfId="7523"/>
    <cellStyle name="Normal 3 7 21 3" xfId="7524"/>
    <cellStyle name="Normal 3 7 22" xfId="7525"/>
    <cellStyle name="Normal 3 7 22 2" xfId="7526"/>
    <cellStyle name="Normal 3 7 22 2 2" xfId="7527"/>
    <cellStyle name="Normal 3 7 22 3" xfId="7528"/>
    <cellStyle name="Normal 3 7 23" xfId="7529"/>
    <cellStyle name="Normal 3 7 23 2" xfId="7530"/>
    <cellStyle name="Normal 3 7 23 2 2" xfId="7531"/>
    <cellStyle name="Normal 3 7 23 3" xfId="7532"/>
    <cellStyle name="Normal 3 7 24" xfId="7533"/>
    <cellStyle name="Normal 3 7 24 2" xfId="7534"/>
    <cellStyle name="Normal 3 7 25" xfId="7535"/>
    <cellStyle name="Normal 3 7 3" xfId="7536"/>
    <cellStyle name="Normal 3 7 3 2" xfId="7537"/>
    <cellStyle name="Normal 3 7 3 2 2" xfId="7538"/>
    <cellStyle name="Normal 3 7 3 3" xfId="7539"/>
    <cellStyle name="Normal 3 7 4" xfId="7540"/>
    <cellStyle name="Normal 3 7 4 2" xfId="7541"/>
    <cellStyle name="Normal 3 7 4 2 2" xfId="7542"/>
    <cellStyle name="Normal 3 7 4 3" xfId="7543"/>
    <cellStyle name="Normal 3 7 5" xfId="7544"/>
    <cellStyle name="Normal 3 7 5 2" xfId="7545"/>
    <cellStyle name="Normal 3 7 5 2 2" xfId="7546"/>
    <cellStyle name="Normal 3 7 5 3" xfId="7547"/>
    <cellStyle name="Normal 3 7 6" xfId="7548"/>
    <cellStyle name="Normal 3 7 6 2" xfId="7549"/>
    <cellStyle name="Normal 3 7 6 2 2" xfId="7550"/>
    <cellStyle name="Normal 3 7 6 3" xfId="7551"/>
    <cellStyle name="Normal 3 7 7" xfId="7552"/>
    <cellStyle name="Normal 3 7 7 2" xfId="7553"/>
    <cellStyle name="Normal 3 7 7 2 2" xfId="7554"/>
    <cellStyle name="Normal 3 7 7 3" xfId="7555"/>
    <cellStyle name="Normal 3 7 8" xfId="7556"/>
    <cellStyle name="Normal 3 7 8 2" xfId="7557"/>
    <cellStyle name="Normal 3 7 8 2 2" xfId="7558"/>
    <cellStyle name="Normal 3 7 8 3" xfId="7559"/>
    <cellStyle name="Normal 3 7 9" xfId="7560"/>
    <cellStyle name="Normal 3 7 9 2" xfId="7561"/>
    <cellStyle name="Normal 3 7 9 2 2" xfId="7562"/>
    <cellStyle name="Normal 3 7 9 3" xfId="7563"/>
    <cellStyle name="Normal 3 8" xfId="7564"/>
    <cellStyle name="Normal 3 8 10" xfId="7565"/>
    <cellStyle name="Normal 3 8 10 2" xfId="7566"/>
    <cellStyle name="Normal 3 8 10 2 2" xfId="7567"/>
    <cellStyle name="Normal 3 8 10 3" xfId="7568"/>
    <cellStyle name="Normal 3 8 11" xfId="7569"/>
    <cellStyle name="Normal 3 8 11 2" xfId="7570"/>
    <cellStyle name="Normal 3 8 11 2 2" xfId="7571"/>
    <cellStyle name="Normal 3 8 11 3" xfId="7572"/>
    <cellStyle name="Normal 3 8 12" xfId="7573"/>
    <cellStyle name="Normal 3 8 12 2" xfId="7574"/>
    <cellStyle name="Normal 3 8 12 2 2" xfId="7575"/>
    <cellStyle name="Normal 3 8 12 3" xfId="7576"/>
    <cellStyle name="Normal 3 8 13" xfId="7577"/>
    <cellStyle name="Normal 3 8 13 2" xfId="7578"/>
    <cellStyle name="Normal 3 8 13 2 2" xfId="7579"/>
    <cellStyle name="Normal 3 8 13 3" xfId="7580"/>
    <cellStyle name="Normal 3 8 14" xfId="7581"/>
    <cellStyle name="Normal 3 8 14 2" xfId="7582"/>
    <cellStyle name="Normal 3 8 14 2 2" xfId="7583"/>
    <cellStyle name="Normal 3 8 14 3" xfId="7584"/>
    <cellStyle name="Normal 3 8 15" xfId="7585"/>
    <cellStyle name="Normal 3 8 15 2" xfId="7586"/>
    <cellStyle name="Normal 3 8 15 2 2" xfId="7587"/>
    <cellStyle name="Normal 3 8 15 3" xfId="7588"/>
    <cellStyle name="Normal 3 8 16" xfId="7589"/>
    <cellStyle name="Normal 3 8 16 2" xfId="7590"/>
    <cellStyle name="Normal 3 8 16 2 2" xfId="7591"/>
    <cellStyle name="Normal 3 8 16 3" xfId="7592"/>
    <cellStyle name="Normal 3 8 17" xfId="7593"/>
    <cellStyle name="Normal 3 8 17 2" xfId="7594"/>
    <cellStyle name="Normal 3 8 17 2 2" xfId="7595"/>
    <cellStyle name="Normal 3 8 17 3" xfId="7596"/>
    <cellStyle name="Normal 3 8 18" xfId="7597"/>
    <cellStyle name="Normal 3 8 18 2" xfId="7598"/>
    <cellStyle name="Normal 3 8 18 2 2" xfId="7599"/>
    <cellStyle name="Normal 3 8 18 3" xfId="7600"/>
    <cellStyle name="Normal 3 8 19" xfId="7601"/>
    <cellStyle name="Normal 3 8 19 2" xfId="7602"/>
    <cellStyle name="Normal 3 8 19 2 2" xfId="7603"/>
    <cellStyle name="Normal 3 8 19 3" xfId="7604"/>
    <cellStyle name="Normal 3 8 2" xfId="7605"/>
    <cellStyle name="Normal 3 8 2 2" xfId="7606"/>
    <cellStyle name="Normal 3 8 2 2 2" xfId="7607"/>
    <cellStyle name="Normal 3 8 2 3" xfId="7608"/>
    <cellStyle name="Normal 3 8 20" xfId="7609"/>
    <cellStyle name="Normal 3 8 20 2" xfId="7610"/>
    <cellStyle name="Normal 3 8 20 2 2" xfId="7611"/>
    <cellStyle name="Normal 3 8 20 3" xfId="7612"/>
    <cellStyle name="Normal 3 8 21" xfId="7613"/>
    <cellStyle name="Normal 3 8 21 2" xfId="7614"/>
    <cellStyle name="Normal 3 8 21 2 2" xfId="7615"/>
    <cellStyle name="Normal 3 8 21 3" xfId="7616"/>
    <cellStyle name="Normal 3 8 22" xfId="7617"/>
    <cellStyle name="Normal 3 8 22 2" xfId="7618"/>
    <cellStyle name="Normal 3 8 22 2 2" xfId="7619"/>
    <cellStyle name="Normal 3 8 22 3" xfId="7620"/>
    <cellStyle name="Normal 3 8 23" xfId="7621"/>
    <cellStyle name="Normal 3 8 23 2" xfId="7622"/>
    <cellStyle name="Normal 3 8 23 2 2" xfId="7623"/>
    <cellStyle name="Normal 3 8 23 3" xfId="7624"/>
    <cellStyle name="Normal 3 8 24" xfId="7625"/>
    <cellStyle name="Normal 3 8 24 2" xfId="7626"/>
    <cellStyle name="Normal 3 8 25" xfId="7627"/>
    <cellStyle name="Normal 3 8 3" xfId="7628"/>
    <cellStyle name="Normal 3 8 3 2" xfId="7629"/>
    <cellStyle name="Normal 3 8 3 2 2" xfId="7630"/>
    <cellStyle name="Normal 3 8 3 3" xfId="7631"/>
    <cellStyle name="Normal 3 8 4" xfId="7632"/>
    <cellStyle name="Normal 3 8 4 2" xfId="7633"/>
    <cellStyle name="Normal 3 8 4 2 2" xfId="7634"/>
    <cellStyle name="Normal 3 8 4 3" xfId="7635"/>
    <cellStyle name="Normal 3 8 5" xfId="7636"/>
    <cellStyle name="Normal 3 8 5 2" xfId="7637"/>
    <cellStyle name="Normal 3 8 5 2 2" xfId="7638"/>
    <cellStyle name="Normal 3 8 5 3" xfId="7639"/>
    <cellStyle name="Normal 3 8 6" xfId="7640"/>
    <cellStyle name="Normal 3 8 6 2" xfId="7641"/>
    <cellStyle name="Normal 3 8 6 2 2" xfId="7642"/>
    <cellStyle name="Normal 3 8 6 3" xfId="7643"/>
    <cellStyle name="Normal 3 8 7" xfId="7644"/>
    <cellStyle name="Normal 3 8 7 2" xfId="7645"/>
    <cellStyle name="Normal 3 8 7 2 2" xfId="7646"/>
    <cellStyle name="Normal 3 8 7 3" xfId="7647"/>
    <cellStyle name="Normal 3 8 8" xfId="7648"/>
    <cellStyle name="Normal 3 8 8 2" xfId="7649"/>
    <cellStyle name="Normal 3 8 8 2 2" xfId="7650"/>
    <cellStyle name="Normal 3 8 8 3" xfId="7651"/>
    <cellStyle name="Normal 3 8 9" xfId="7652"/>
    <cellStyle name="Normal 3 8 9 2" xfId="7653"/>
    <cellStyle name="Normal 3 8 9 2 2" xfId="7654"/>
    <cellStyle name="Normal 3 8 9 3" xfId="7655"/>
    <cellStyle name="Normal 3 9" xfId="7656"/>
    <cellStyle name="Normal 3 9 10" xfId="7657"/>
    <cellStyle name="Normal 3 9 10 2" xfId="7658"/>
    <cellStyle name="Normal 3 9 10 2 2" xfId="7659"/>
    <cellStyle name="Normal 3 9 10 3" xfId="7660"/>
    <cellStyle name="Normal 3 9 11" xfId="7661"/>
    <cellStyle name="Normal 3 9 11 2" xfId="7662"/>
    <cellStyle name="Normal 3 9 11 2 2" xfId="7663"/>
    <cellStyle name="Normal 3 9 11 3" xfId="7664"/>
    <cellStyle name="Normal 3 9 12" xfId="7665"/>
    <cellStyle name="Normal 3 9 12 2" xfId="7666"/>
    <cellStyle name="Normal 3 9 12 2 2" xfId="7667"/>
    <cellStyle name="Normal 3 9 12 3" xfId="7668"/>
    <cellStyle name="Normal 3 9 13" xfId="7669"/>
    <cellStyle name="Normal 3 9 13 2" xfId="7670"/>
    <cellStyle name="Normal 3 9 13 2 2" xfId="7671"/>
    <cellStyle name="Normal 3 9 13 3" xfId="7672"/>
    <cellStyle name="Normal 3 9 14" xfId="7673"/>
    <cellStyle name="Normal 3 9 14 2" xfId="7674"/>
    <cellStyle name="Normal 3 9 14 2 2" xfId="7675"/>
    <cellStyle name="Normal 3 9 14 3" xfId="7676"/>
    <cellStyle name="Normal 3 9 15" xfId="7677"/>
    <cellStyle name="Normal 3 9 15 2" xfId="7678"/>
    <cellStyle name="Normal 3 9 15 2 2" xfId="7679"/>
    <cellStyle name="Normal 3 9 15 3" xfId="7680"/>
    <cellStyle name="Normal 3 9 16" xfId="7681"/>
    <cellStyle name="Normal 3 9 16 2" xfId="7682"/>
    <cellStyle name="Normal 3 9 16 2 2" xfId="7683"/>
    <cellStyle name="Normal 3 9 16 3" xfId="7684"/>
    <cellStyle name="Normal 3 9 17" xfId="7685"/>
    <cellStyle name="Normal 3 9 17 2" xfId="7686"/>
    <cellStyle name="Normal 3 9 17 2 2" xfId="7687"/>
    <cellStyle name="Normal 3 9 17 3" xfId="7688"/>
    <cellStyle name="Normal 3 9 18" xfId="7689"/>
    <cellStyle name="Normal 3 9 18 2" xfId="7690"/>
    <cellStyle name="Normal 3 9 18 2 2" xfId="7691"/>
    <cellStyle name="Normal 3 9 18 3" xfId="7692"/>
    <cellStyle name="Normal 3 9 19" xfId="7693"/>
    <cellStyle name="Normal 3 9 19 2" xfId="7694"/>
    <cellStyle name="Normal 3 9 19 2 2" xfId="7695"/>
    <cellStyle name="Normal 3 9 19 3" xfId="7696"/>
    <cellStyle name="Normal 3 9 2" xfId="7697"/>
    <cellStyle name="Normal 3 9 2 2" xfId="7698"/>
    <cellStyle name="Normal 3 9 2 2 2" xfId="7699"/>
    <cellStyle name="Normal 3 9 2 3" xfId="7700"/>
    <cellStyle name="Normal 3 9 20" xfId="7701"/>
    <cellStyle name="Normal 3 9 20 2" xfId="7702"/>
    <cellStyle name="Normal 3 9 20 2 2" xfId="7703"/>
    <cellStyle name="Normal 3 9 20 3" xfId="7704"/>
    <cellStyle name="Normal 3 9 21" xfId="7705"/>
    <cellStyle name="Normal 3 9 21 2" xfId="7706"/>
    <cellStyle name="Normal 3 9 21 2 2" xfId="7707"/>
    <cellStyle name="Normal 3 9 21 3" xfId="7708"/>
    <cellStyle name="Normal 3 9 22" xfId="7709"/>
    <cellStyle name="Normal 3 9 22 2" xfId="7710"/>
    <cellStyle name="Normal 3 9 22 2 2" xfId="7711"/>
    <cellStyle name="Normal 3 9 22 3" xfId="7712"/>
    <cellStyle name="Normal 3 9 23" xfId="7713"/>
    <cellStyle name="Normal 3 9 23 2" xfId="7714"/>
    <cellStyle name="Normal 3 9 23 2 2" xfId="7715"/>
    <cellStyle name="Normal 3 9 23 3" xfId="7716"/>
    <cellStyle name="Normal 3 9 24" xfId="7717"/>
    <cellStyle name="Normal 3 9 24 2" xfId="7718"/>
    <cellStyle name="Normal 3 9 25" xfId="7719"/>
    <cellStyle name="Normal 3 9 3" xfId="7720"/>
    <cellStyle name="Normal 3 9 3 2" xfId="7721"/>
    <cellStyle name="Normal 3 9 3 2 2" xfId="7722"/>
    <cellStyle name="Normal 3 9 3 3" xfId="7723"/>
    <cellStyle name="Normal 3 9 4" xfId="7724"/>
    <cellStyle name="Normal 3 9 4 2" xfId="7725"/>
    <cellStyle name="Normal 3 9 4 2 2" xfId="7726"/>
    <cellStyle name="Normal 3 9 4 3" xfId="7727"/>
    <cellStyle name="Normal 3 9 5" xfId="7728"/>
    <cellStyle name="Normal 3 9 5 2" xfId="7729"/>
    <cellStyle name="Normal 3 9 5 2 2" xfId="7730"/>
    <cellStyle name="Normal 3 9 5 3" xfId="7731"/>
    <cellStyle name="Normal 3 9 6" xfId="7732"/>
    <cellStyle name="Normal 3 9 6 2" xfId="7733"/>
    <cellStyle name="Normal 3 9 6 2 2" xfId="7734"/>
    <cellStyle name="Normal 3 9 6 3" xfId="7735"/>
    <cellStyle name="Normal 3 9 7" xfId="7736"/>
    <cellStyle name="Normal 3 9 7 2" xfId="7737"/>
    <cellStyle name="Normal 3 9 7 2 2" xfId="7738"/>
    <cellStyle name="Normal 3 9 7 3" xfId="7739"/>
    <cellStyle name="Normal 3 9 8" xfId="7740"/>
    <cellStyle name="Normal 3 9 8 2" xfId="7741"/>
    <cellStyle name="Normal 3 9 8 2 2" xfId="7742"/>
    <cellStyle name="Normal 3 9 8 3" xfId="7743"/>
    <cellStyle name="Normal 3 9 9" xfId="7744"/>
    <cellStyle name="Normal 3 9 9 2" xfId="7745"/>
    <cellStyle name="Normal 3 9 9 2 2" xfId="7746"/>
    <cellStyle name="Normal 3 9 9 3" xfId="7747"/>
    <cellStyle name="Normal 30" xfId="275"/>
    <cellStyle name="Normal 31" xfId="276"/>
    <cellStyle name="Normal 32" xfId="277"/>
    <cellStyle name="Normal 33" xfId="278"/>
    <cellStyle name="Normal 34" xfId="279"/>
    <cellStyle name="Normal 35" xfId="280"/>
    <cellStyle name="Normal 36" xfId="281"/>
    <cellStyle name="Normal 37" xfId="282"/>
    <cellStyle name="Normal 38" xfId="283"/>
    <cellStyle name="Normal 39" xfId="284"/>
    <cellStyle name="Normal 4" xfId="285"/>
    <cellStyle name="Normal 4 2" xfId="286"/>
    <cellStyle name="Normal 4 2 2" xfId="455"/>
    <cellStyle name="Normal 4 2 3" xfId="7748"/>
    <cellStyle name="Normal 4 2 3 2" xfId="7749"/>
    <cellStyle name="Normal 4 2 4" xfId="7750"/>
    <cellStyle name="Normal 4 3" xfId="287"/>
    <cellStyle name="Normal 4 3 2" xfId="288"/>
    <cellStyle name="Normal 4 3 2 2" xfId="289"/>
    <cellStyle name="Normal 4 3 2 3" xfId="290"/>
    <cellStyle name="Normal 4 3 3" xfId="291"/>
    <cellStyle name="Normal 4 3 4" xfId="8150"/>
    <cellStyle name="Normal 4 4" xfId="292"/>
    <cellStyle name="Normal 4 4 2" xfId="293"/>
    <cellStyle name="Normal 4 4 3" xfId="294"/>
    <cellStyle name="Normal 4 5" xfId="295"/>
    <cellStyle name="Normal 4 5 2" xfId="296"/>
    <cellStyle name="Normal 4 5 3" xfId="297"/>
    <cellStyle name="Normal 4 6" xfId="298"/>
    <cellStyle name="Normal 4 7" xfId="299"/>
    <cellStyle name="Normal 4 8" xfId="7751"/>
    <cellStyle name="Normal 4 9" xfId="7752"/>
    <cellStyle name="Normal 40" xfId="300"/>
    <cellStyle name="Normal 41" xfId="301"/>
    <cellStyle name="Normal 42" xfId="302"/>
    <cellStyle name="Normal 43" xfId="303"/>
    <cellStyle name="Normal 44" xfId="304"/>
    <cellStyle name="Normal 45" xfId="305"/>
    <cellStyle name="Normal 46" xfId="306"/>
    <cellStyle name="Normal 47" xfId="307"/>
    <cellStyle name="Normal 48" xfId="308"/>
    <cellStyle name="Normal 48 2" xfId="309"/>
    <cellStyle name="Normal 49" xfId="310"/>
    <cellStyle name="Normal 5" xfId="311"/>
    <cellStyle name="Normal 5 10" xfId="7753"/>
    <cellStyle name="Normal 5 10 2" xfId="7754"/>
    <cellStyle name="Normal 5 10 2 2" xfId="7755"/>
    <cellStyle name="Normal 5 10 3" xfId="7756"/>
    <cellStyle name="Normal 5 11" xfId="7757"/>
    <cellStyle name="Normal 5 11 2" xfId="7758"/>
    <cellStyle name="Normal 5 11 2 2" xfId="7759"/>
    <cellStyle name="Normal 5 11 3" xfId="7760"/>
    <cellStyle name="Normal 5 12" xfId="7761"/>
    <cellStyle name="Normal 5 12 2" xfId="7762"/>
    <cellStyle name="Normal 5 12 2 2" xfId="7763"/>
    <cellStyle name="Normal 5 12 3" xfId="7764"/>
    <cellStyle name="Normal 5 13" xfId="7765"/>
    <cellStyle name="Normal 5 13 2" xfId="7766"/>
    <cellStyle name="Normal 5 13 2 2" xfId="7767"/>
    <cellStyle name="Normal 5 13 3" xfId="7768"/>
    <cellStyle name="Normal 5 14" xfId="7769"/>
    <cellStyle name="Normal 5 14 2" xfId="7770"/>
    <cellStyle name="Normal 5 14 2 2" xfId="7771"/>
    <cellStyle name="Normal 5 14 3" xfId="7772"/>
    <cellStyle name="Normal 5 15" xfId="7773"/>
    <cellStyle name="Normal 5 15 2" xfId="7774"/>
    <cellStyle name="Normal 5 15 2 2" xfId="7775"/>
    <cellStyle name="Normal 5 15 3" xfId="7776"/>
    <cellStyle name="Normal 5 16" xfId="7777"/>
    <cellStyle name="Normal 5 16 2" xfId="7778"/>
    <cellStyle name="Normal 5 16 2 2" xfId="7779"/>
    <cellStyle name="Normal 5 16 3" xfId="7780"/>
    <cellStyle name="Normal 5 17" xfId="7781"/>
    <cellStyle name="Normal 5 17 2" xfId="7782"/>
    <cellStyle name="Normal 5 17 2 2" xfId="7783"/>
    <cellStyle name="Normal 5 17 3" xfId="7784"/>
    <cellStyle name="Normal 5 18" xfId="7785"/>
    <cellStyle name="Normal 5 18 2" xfId="7786"/>
    <cellStyle name="Normal 5 18 2 2" xfId="7787"/>
    <cellStyle name="Normal 5 18 3" xfId="7788"/>
    <cellStyle name="Normal 5 19" xfId="7789"/>
    <cellStyle name="Normal 5 19 2" xfId="7790"/>
    <cellStyle name="Normal 5 19 2 2" xfId="7791"/>
    <cellStyle name="Normal 5 19 3" xfId="7792"/>
    <cellStyle name="Normal 5 2" xfId="312"/>
    <cellStyle name="Normal 5 2 10" xfId="7793"/>
    <cellStyle name="Normal 5 2 10 2" xfId="7794"/>
    <cellStyle name="Normal 5 2 10 2 2" xfId="7795"/>
    <cellStyle name="Normal 5 2 10 3" xfId="7796"/>
    <cellStyle name="Normal 5 2 11" xfId="7797"/>
    <cellStyle name="Normal 5 2 11 2" xfId="7798"/>
    <cellStyle name="Normal 5 2 11 2 2" xfId="7799"/>
    <cellStyle name="Normal 5 2 11 3" xfId="7800"/>
    <cellStyle name="Normal 5 2 12" xfId="7801"/>
    <cellStyle name="Normal 5 2 12 2" xfId="7802"/>
    <cellStyle name="Normal 5 2 12 2 2" xfId="7803"/>
    <cellStyle name="Normal 5 2 12 3" xfId="7804"/>
    <cellStyle name="Normal 5 2 13" xfId="7805"/>
    <cellStyle name="Normal 5 2 13 2" xfId="7806"/>
    <cellStyle name="Normal 5 2 13 2 2" xfId="7807"/>
    <cellStyle name="Normal 5 2 13 3" xfId="7808"/>
    <cellStyle name="Normal 5 2 14" xfId="7809"/>
    <cellStyle name="Normal 5 2 14 2" xfId="7810"/>
    <cellStyle name="Normal 5 2 14 2 2" xfId="7811"/>
    <cellStyle name="Normal 5 2 14 3" xfId="7812"/>
    <cellStyle name="Normal 5 2 15" xfId="7813"/>
    <cellStyle name="Normal 5 2 15 2" xfId="7814"/>
    <cellStyle name="Normal 5 2 15 2 2" xfId="7815"/>
    <cellStyle name="Normal 5 2 15 3" xfId="7816"/>
    <cellStyle name="Normal 5 2 16" xfId="7817"/>
    <cellStyle name="Normal 5 2 16 2" xfId="7818"/>
    <cellStyle name="Normal 5 2 16 2 2" xfId="7819"/>
    <cellStyle name="Normal 5 2 16 3" xfId="7820"/>
    <cellStyle name="Normal 5 2 17" xfId="7821"/>
    <cellStyle name="Normal 5 2 17 2" xfId="7822"/>
    <cellStyle name="Normal 5 2 17 2 2" xfId="7823"/>
    <cellStyle name="Normal 5 2 17 3" xfId="7824"/>
    <cellStyle name="Normal 5 2 18" xfId="7825"/>
    <cellStyle name="Normal 5 2 18 2" xfId="7826"/>
    <cellStyle name="Normal 5 2 18 2 2" xfId="7827"/>
    <cellStyle name="Normal 5 2 18 3" xfId="7828"/>
    <cellStyle name="Normal 5 2 19" xfId="7829"/>
    <cellStyle name="Normal 5 2 19 2" xfId="7830"/>
    <cellStyle name="Normal 5 2 19 2 2" xfId="7831"/>
    <cellStyle name="Normal 5 2 19 3" xfId="7832"/>
    <cellStyle name="Normal 5 2 2" xfId="456"/>
    <cellStyle name="Normal 5 2 2 2" xfId="7833"/>
    <cellStyle name="Normal 5 2 2 2 2" xfId="7834"/>
    <cellStyle name="Normal 5 2 2 3" xfId="7835"/>
    <cellStyle name="Normal 5 2 20" xfId="7836"/>
    <cellStyle name="Normal 5 2 20 2" xfId="7837"/>
    <cellStyle name="Normal 5 2 20 2 2" xfId="7838"/>
    <cellStyle name="Normal 5 2 20 3" xfId="7839"/>
    <cellStyle name="Normal 5 2 21" xfId="7840"/>
    <cellStyle name="Normal 5 2 21 2" xfId="7841"/>
    <cellStyle name="Normal 5 2 21 2 2" xfId="7842"/>
    <cellStyle name="Normal 5 2 21 3" xfId="7843"/>
    <cellStyle name="Normal 5 2 22" xfId="7844"/>
    <cellStyle name="Normal 5 2 22 2" xfId="7845"/>
    <cellStyle name="Normal 5 2 22 2 2" xfId="7846"/>
    <cellStyle name="Normal 5 2 22 3" xfId="7847"/>
    <cellStyle name="Normal 5 2 23" xfId="7848"/>
    <cellStyle name="Normal 5 2 23 2" xfId="7849"/>
    <cellStyle name="Normal 5 2 23 2 2" xfId="7850"/>
    <cellStyle name="Normal 5 2 23 3" xfId="7851"/>
    <cellStyle name="Normal 5 2 24" xfId="7852"/>
    <cellStyle name="Normal 5 2 25" xfId="7853"/>
    <cellStyle name="Normal 5 2 25 2" xfId="7854"/>
    <cellStyle name="Normal 5 2 26" xfId="7855"/>
    <cellStyle name="Normal 5 2 3" xfId="7856"/>
    <cellStyle name="Normal 5 2 3 2" xfId="7857"/>
    <cellStyle name="Normal 5 2 3 2 2" xfId="7858"/>
    <cellStyle name="Normal 5 2 3 3" xfId="7859"/>
    <cellStyle name="Normal 5 2 4" xfId="7860"/>
    <cellStyle name="Normal 5 2 4 2" xfId="7861"/>
    <cellStyle name="Normal 5 2 4 2 2" xfId="7862"/>
    <cellStyle name="Normal 5 2 4 3" xfId="7863"/>
    <cellStyle name="Normal 5 2 5" xfId="7864"/>
    <cellStyle name="Normal 5 2 5 2" xfId="7865"/>
    <cellStyle name="Normal 5 2 5 2 2" xfId="7866"/>
    <cellStyle name="Normal 5 2 5 3" xfId="7867"/>
    <cellStyle name="Normal 5 2 6" xfId="7868"/>
    <cellStyle name="Normal 5 2 6 2" xfId="7869"/>
    <cellStyle name="Normal 5 2 6 2 2" xfId="7870"/>
    <cellStyle name="Normal 5 2 6 3" xfId="7871"/>
    <cellStyle name="Normal 5 2 7" xfId="7872"/>
    <cellStyle name="Normal 5 2 7 2" xfId="7873"/>
    <cellStyle name="Normal 5 2 7 2 2" xfId="7874"/>
    <cellStyle name="Normal 5 2 7 3" xfId="7875"/>
    <cellStyle name="Normal 5 2 8" xfId="7876"/>
    <cellStyle name="Normal 5 2 8 2" xfId="7877"/>
    <cellStyle name="Normal 5 2 8 2 2" xfId="7878"/>
    <cellStyle name="Normal 5 2 8 3" xfId="7879"/>
    <cellStyle name="Normal 5 2 9" xfId="7880"/>
    <cellStyle name="Normal 5 2 9 2" xfId="7881"/>
    <cellStyle name="Normal 5 2 9 2 2" xfId="7882"/>
    <cellStyle name="Normal 5 2 9 3" xfId="7883"/>
    <cellStyle name="Normal 5 20" xfId="7884"/>
    <cellStyle name="Normal 5 20 2" xfId="7885"/>
    <cellStyle name="Normal 5 20 2 2" xfId="7886"/>
    <cellStyle name="Normal 5 20 3" xfId="7887"/>
    <cellStyle name="Normal 5 21" xfId="7888"/>
    <cellStyle name="Normal 5 21 2" xfId="7889"/>
    <cellStyle name="Normal 5 21 2 2" xfId="7890"/>
    <cellStyle name="Normal 5 21 3" xfId="7891"/>
    <cellStyle name="Normal 5 22" xfId="7892"/>
    <cellStyle name="Normal 5 22 2" xfId="7893"/>
    <cellStyle name="Normal 5 22 2 2" xfId="7894"/>
    <cellStyle name="Normal 5 22 3" xfId="7895"/>
    <cellStyle name="Normal 5 23" xfId="7896"/>
    <cellStyle name="Normal 5 23 2" xfId="7897"/>
    <cellStyle name="Normal 5 23 2 2" xfId="7898"/>
    <cellStyle name="Normal 5 23 3" xfId="7899"/>
    <cellStyle name="Normal 5 24" xfId="7900"/>
    <cellStyle name="Normal 5 24 2" xfId="7901"/>
    <cellStyle name="Normal 5 24 2 2" xfId="7902"/>
    <cellStyle name="Normal 5 24 3" xfId="7903"/>
    <cellStyle name="Normal 5 25" xfId="7904"/>
    <cellStyle name="Normal 5 26" xfId="7905"/>
    <cellStyle name="Normal 5 26 2" xfId="7906"/>
    <cellStyle name="Normal 5 27" xfId="7907"/>
    <cellStyle name="Normal 5 28" xfId="7908"/>
    <cellStyle name="Normal 5 3" xfId="457"/>
    <cellStyle name="Normal 5 3 2" xfId="458"/>
    <cellStyle name="Normal 5 3 2 2" xfId="7909"/>
    <cellStyle name="Normal 5 3 3" xfId="7910"/>
    <cellStyle name="Normal 5 4" xfId="459"/>
    <cellStyle name="Normal 5 4 2" xfId="460"/>
    <cellStyle name="Normal 5 4 2 2" xfId="7911"/>
    <cellStyle name="Normal 5 4 3" xfId="7912"/>
    <cellStyle name="Normal 5 5" xfId="461"/>
    <cellStyle name="Normal 5 5 2" xfId="462"/>
    <cellStyle name="Normal 5 5 2 2" xfId="7913"/>
    <cellStyle name="Normal 5 5 3" xfId="7914"/>
    <cellStyle name="Normal 5 6" xfId="463"/>
    <cellStyle name="Normal 5 6 2" xfId="464"/>
    <cellStyle name="Normal 5 6 2 2" xfId="7915"/>
    <cellStyle name="Normal 5 6 3" xfId="7916"/>
    <cellStyle name="Normal 5 7" xfId="465"/>
    <cellStyle name="Normal 5 7 2" xfId="7917"/>
    <cellStyle name="Normal 5 7 2 2" xfId="7918"/>
    <cellStyle name="Normal 5 7 3" xfId="7919"/>
    <cellStyle name="Normal 5 8" xfId="7920"/>
    <cellStyle name="Normal 5 8 2" xfId="7921"/>
    <cellStyle name="Normal 5 8 2 2" xfId="7922"/>
    <cellStyle name="Normal 5 8 3" xfId="7923"/>
    <cellStyle name="Normal 5 9" xfId="7924"/>
    <cellStyle name="Normal 5 9 2" xfId="7925"/>
    <cellStyle name="Normal 5 9 2 2" xfId="7926"/>
    <cellStyle name="Normal 5 9 3" xfId="7927"/>
    <cellStyle name="Normal 50" xfId="313"/>
    <cellStyle name="Normal 51" xfId="8151"/>
    <cellStyle name="Normal 6" xfId="314"/>
    <cellStyle name="Normal 6 2" xfId="7928"/>
    <cellStyle name="Normal 6 3" xfId="7929"/>
    <cellStyle name="Normal 6 3 2" xfId="7930"/>
    <cellStyle name="Normal 6 4" xfId="7931"/>
    <cellStyle name="Normal 6 5" xfId="8152"/>
    <cellStyle name="Normal 7" xfId="315"/>
    <cellStyle name="Normal 7 10" xfId="7932"/>
    <cellStyle name="Normal 7 10 2" xfId="7933"/>
    <cellStyle name="Normal 7 10 2 2" xfId="7934"/>
    <cellStyle name="Normal 7 10 3" xfId="7935"/>
    <cellStyle name="Normal 7 11" xfId="7936"/>
    <cellStyle name="Normal 7 11 2" xfId="7937"/>
    <cellStyle name="Normal 7 11 2 2" xfId="7938"/>
    <cellStyle name="Normal 7 11 3" xfId="7939"/>
    <cellStyle name="Normal 7 12" xfId="7940"/>
    <cellStyle name="Normal 7 12 2" xfId="7941"/>
    <cellStyle name="Normal 7 12 2 2" xfId="7942"/>
    <cellStyle name="Normal 7 12 3" xfId="7943"/>
    <cellStyle name="Normal 7 13" xfId="7944"/>
    <cellStyle name="Normal 7 13 2" xfId="7945"/>
    <cellStyle name="Normal 7 13 2 2" xfId="7946"/>
    <cellStyle name="Normal 7 13 3" xfId="7947"/>
    <cellStyle name="Normal 7 14" xfId="7948"/>
    <cellStyle name="Normal 7 14 2" xfId="7949"/>
    <cellStyle name="Normal 7 14 2 2" xfId="7950"/>
    <cellStyle name="Normal 7 14 3" xfId="7951"/>
    <cellStyle name="Normal 7 15" xfId="7952"/>
    <cellStyle name="Normal 7 15 2" xfId="7953"/>
    <cellStyle name="Normal 7 15 2 2" xfId="7954"/>
    <cellStyle name="Normal 7 15 3" xfId="7955"/>
    <cellStyle name="Normal 7 16" xfId="7956"/>
    <cellStyle name="Normal 7 16 2" xfId="7957"/>
    <cellStyle name="Normal 7 16 2 2" xfId="7958"/>
    <cellStyle name="Normal 7 16 3" xfId="7959"/>
    <cellStyle name="Normal 7 17" xfId="7960"/>
    <cellStyle name="Normal 7 17 2" xfId="7961"/>
    <cellStyle name="Normal 7 17 2 2" xfId="7962"/>
    <cellStyle name="Normal 7 17 3" xfId="7963"/>
    <cellStyle name="Normal 7 18" xfId="7964"/>
    <cellStyle name="Normal 7 18 2" xfId="7965"/>
    <cellStyle name="Normal 7 18 2 2" xfId="7966"/>
    <cellStyle name="Normal 7 18 3" xfId="7967"/>
    <cellStyle name="Normal 7 19" xfId="7968"/>
    <cellStyle name="Normal 7 19 2" xfId="7969"/>
    <cellStyle name="Normal 7 19 2 2" xfId="7970"/>
    <cellStyle name="Normal 7 19 3" xfId="7971"/>
    <cellStyle name="Normal 7 2" xfId="316"/>
    <cellStyle name="Normal 7 2 10" xfId="7972"/>
    <cellStyle name="Normal 7 2 10 2" xfId="7973"/>
    <cellStyle name="Normal 7 2 10 2 2" xfId="7974"/>
    <cellStyle name="Normal 7 2 10 3" xfId="7975"/>
    <cellStyle name="Normal 7 2 11" xfId="7976"/>
    <cellStyle name="Normal 7 2 11 2" xfId="7977"/>
    <cellStyle name="Normal 7 2 11 2 2" xfId="7978"/>
    <cellStyle name="Normal 7 2 11 3" xfId="7979"/>
    <cellStyle name="Normal 7 2 12" xfId="7980"/>
    <cellStyle name="Normal 7 2 12 2" xfId="7981"/>
    <cellStyle name="Normal 7 2 12 2 2" xfId="7982"/>
    <cellStyle name="Normal 7 2 12 3" xfId="7983"/>
    <cellStyle name="Normal 7 2 13" xfId="7984"/>
    <cellStyle name="Normal 7 2 13 2" xfId="7985"/>
    <cellStyle name="Normal 7 2 13 2 2" xfId="7986"/>
    <cellStyle name="Normal 7 2 13 3" xfId="7987"/>
    <cellStyle name="Normal 7 2 14" xfId="7988"/>
    <cellStyle name="Normal 7 2 14 2" xfId="7989"/>
    <cellStyle name="Normal 7 2 14 2 2" xfId="7990"/>
    <cellStyle name="Normal 7 2 14 3" xfId="7991"/>
    <cellStyle name="Normal 7 2 15" xfId="7992"/>
    <cellStyle name="Normal 7 2 15 2" xfId="7993"/>
    <cellStyle name="Normal 7 2 15 2 2" xfId="7994"/>
    <cellStyle name="Normal 7 2 15 3" xfId="7995"/>
    <cellStyle name="Normal 7 2 16" xfId="7996"/>
    <cellStyle name="Normal 7 2 16 2" xfId="7997"/>
    <cellStyle name="Normal 7 2 16 2 2" xfId="7998"/>
    <cellStyle name="Normal 7 2 16 3" xfId="7999"/>
    <cellStyle name="Normal 7 2 17" xfId="8000"/>
    <cellStyle name="Normal 7 2 17 2" xfId="8001"/>
    <cellStyle name="Normal 7 2 17 2 2" xfId="8002"/>
    <cellStyle name="Normal 7 2 17 3" xfId="8003"/>
    <cellStyle name="Normal 7 2 18" xfId="8004"/>
    <cellStyle name="Normal 7 2 18 2" xfId="8005"/>
    <cellStyle name="Normal 7 2 18 2 2" xfId="8006"/>
    <cellStyle name="Normal 7 2 18 3" xfId="8007"/>
    <cellStyle name="Normal 7 2 19" xfId="8008"/>
    <cellStyle name="Normal 7 2 19 2" xfId="8009"/>
    <cellStyle name="Normal 7 2 19 2 2" xfId="8010"/>
    <cellStyle name="Normal 7 2 19 3" xfId="8011"/>
    <cellStyle name="Normal 7 2 2" xfId="466"/>
    <cellStyle name="Normal 7 2 2 2" xfId="8012"/>
    <cellStyle name="Normal 7 2 2 2 2" xfId="8013"/>
    <cellStyle name="Normal 7 2 2 3" xfId="8014"/>
    <cellStyle name="Normal 7 2 20" xfId="8015"/>
    <cellStyle name="Normal 7 2 20 2" xfId="8016"/>
    <cellStyle name="Normal 7 2 20 2 2" xfId="8017"/>
    <cellStyle name="Normal 7 2 20 3" xfId="8018"/>
    <cellStyle name="Normal 7 2 21" xfId="8019"/>
    <cellStyle name="Normal 7 2 21 2" xfId="8020"/>
    <cellStyle name="Normal 7 2 21 2 2" xfId="8021"/>
    <cellStyle name="Normal 7 2 21 3" xfId="8022"/>
    <cellStyle name="Normal 7 2 22" xfId="8023"/>
    <cellStyle name="Normal 7 2 22 2" xfId="8024"/>
    <cellStyle name="Normal 7 2 22 2 2" xfId="8025"/>
    <cellStyle name="Normal 7 2 22 3" xfId="8026"/>
    <cellStyle name="Normal 7 2 23" xfId="8027"/>
    <cellStyle name="Normal 7 2 23 2" xfId="8028"/>
    <cellStyle name="Normal 7 2 23 2 2" xfId="8029"/>
    <cellStyle name="Normal 7 2 23 3" xfId="8030"/>
    <cellStyle name="Normal 7 2 24" xfId="8031"/>
    <cellStyle name="Normal 7 2 25" xfId="8032"/>
    <cellStyle name="Normal 7 2 25 2" xfId="8033"/>
    <cellStyle name="Normal 7 2 26" xfId="8034"/>
    <cellStyle name="Normal 7 2 3" xfId="8035"/>
    <cellStyle name="Normal 7 2 3 2" xfId="8036"/>
    <cellStyle name="Normal 7 2 3 2 2" xfId="8037"/>
    <cellStyle name="Normal 7 2 3 3" xfId="8038"/>
    <cellStyle name="Normal 7 2 4" xfId="8039"/>
    <cellStyle name="Normal 7 2 4 2" xfId="8040"/>
    <cellStyle name="Normal 7 2 4 2 2" xfId="8041"/>
    <cellStyle name="Normal 7 2 4 3" xfId="8042"/>
    <cellStyle name="Normal 7 2 5" xfId="8043"/>
    <cellStyle name="Normal 7 2 5 2" xfId="8044"/>
    <cellStyle name="Normal 7 2 5 2 2" xfId="8045"/>
    <cellStyle name="Normal 7 2 5 3" xfId="8046"/>
    <cellStyle name="Normal 7 2 6" xfId="8047"/>
    <cellStyle name="Normal 7 2 6 2" xfId="8048"/>
    <cellStyle name="Normal 7 2 6 2 2" xfId="8049"/>
    <cellStyle name="Normal 7 2 6 3" xfId="8050"/>
    <cellStyle name="Normal 7 2 7" xfId="8051"/>
    <cellStyle name="Normal 7 2 7 2" xfId="8052"/>
    <cellStyle name="Normal 7 2 7 2 2" xfId="8053"/>
    <cellStyle name="Normal 7 2 7 3" xfId="8054"/>
    <cellStyle name="Normal 7 2 8" xfId="8055"/>
    <cellStyle name="Normal 7 2 8 2" xfId="8056"/>
    <cellStyle name="Normal 7 2 8 2 2" xfId="8057"/>
    <cellStyle name="Normal 7 2 8 3" xfId="8058"/>
    <cellStyle name="Normal 7 2 9" xfId="8059"/>
    <cellStyle name="Normal 7 2 9 2" xfId="8060"/>
    <cellStyle name="Normal 7 2 9 2 2" xfId="8061"/>
    <cellStyle name="Normal 7 2 9 3" xfId="8062"/>
    <cellStyle name="Normal 7 20" xfId="8063"/>
    <cellStyle name="Normal 7 20 2" xfId="8064"/>
    <cellStyle name="Normal 7 20 2 2" xfId="8065"/>
    <cellStyle name="Normal 7 20 3" xfId="8066"/>
    <cellStyle name="Normal 7 21" xfId="8067"/>
    <cellStyle name="Normal 7 21 2" xfId="8068"/>
    <cellStyle name="Normal 7 21 2 2" xfId="8069"/>
    <cellStyle name="Normal 7 21 3" xfId="8070"/>
    <cellStyle name="Normal 7 22" xfId="8071"/>
    <cellStyle name="Normal 7 22 2" xfId="8072"/>
    <cellStyle name="Normal 7 22 2 2" xfId="8073"/>
    <cellStyle name="Normal 7 22 3" xfId="8074"/>
    <cellStyle name="Normal 7 23" xfId="8075"/>
    <cellStyle name="Normal 7 23 2" xfId="8076"/>
    <cellStyle name="Normal 7 23 2 2" xfId="8077"/>
    <cellStyle name="Normal 7 23 3" xfId="8078"/>
    <cellStyle name="Normal 7 24" xfId="8079"/>
    <cellStyle name="Normal 7 24 2" xfId="8080"/>
    <cellStyle name="Normal 7 24 2 2" xfId="8081"/>
    <cellStyle name="Normal 7 24 3" xfId="8082"/>
    <cellStyle name="Normal 7 25" xfId="8083"/>
    <cellStyle name="Normal 7 26" xfId="8084"/>
    <cellStyle name="Normal 7 26 2" xfId="8085"/>
    <cellStyle name="Normal 7 27" xfId="8086"/>
    <cellStyle name="Normal 7 3" xfId="467"/>
    <cellStyle name="Normal 7 3 2" xfId="8087"/>
    <cellStyle name="Normal 7 3 2 2" xfId="8088"/>
    <cellStyle name="Normal 7 3 3" xfId="8089"/>
    <cellStyle name="Normal 7 4" xfId="8090"/>
    <cellStyle name="Normal 7 4 2" xfId="8091"/>
    <cellStyle name="Normal 7 4 2 2" xfId="8092"/>
    <cellStyle name="Normal 7 4 3" xfId="8093"/>
    <cellStyle name="Normal 7 5" xfId="8094"/>
    <cellStyle name="Normal 7 5 2" xfId="8095"/>
    <cellStyle name="Normal 7 5 2 2" xfId="8096"/>
    <cellStyle name="Normal 7 5 3" xfId="8097"/>
    <cellStyle name="Normal 7 6" xfId="8098"/>
    <cellStyle name="Normal 7 6 2" xfId="8099"/>
    <cellStyle name="Normal 7 6 2 2" xfId="8100"/>
    <cellStyle name="Normal 7 6 3" xfId="8101"/>
    <cellStyle name="Normal 7 7" xfId="8102"/>
    <cellStyle name="Normal 7 7 2" xfId="8103"/>
    <cellStyle name="Normal 7 7 2 2" xfId="8104"/>
    <cellStyle name="Normal 7 7 3" xfId="8105"/>
    <cellStyle name="Normal 7 8" xfId="8106"/>
    <cellStyle name="Normal 7 8 2" xfId="8107"/>
    <cellStyle name="Normal 7 8 2 2" xfId="8108"/>
    <cellStyle name="Normal 7 8 3" xfId="8109"/>
    <cellStyle name="Normal 7 9" xfId="8110"/>
    <cellStyle name="Normal 7 9 2" xfId="8111"/>
    <cellStyle name="Normal 7 9 2 2" xfId="8112"/>
    <cellStyle name="Normal 7 9 3" xfId="8113"/>
    <cellStyle name="Normal 8" xfId="317"/>
    <cellStyle name="Normal 8 2" xfId="318"/>
    <cellStyle name="Normal 8 2 2" xfId="468"/>
    <cellStyle name="Normal 8 3" xfId="469"/>
    <cellStyle name="Normal 8 3 2" xfId="8114"/>
    <cellStyle name="Normal 8 3 3" xfId="8115"/>
    <cellStyle name="Normal 8 4" xfId="8116"/>
    <cellStyle name="Normal 8 4 2" xfId="8117"/>
    <cellStyle name="Normal 8 4 3" xfId="8118"/>
    <cellStyle name="Normal 8 5" xfId="8119"/>
    <cellStyle name="Normal 8 6" xfId="8120"/>
    <cellStyle name="Normal 8 7" xfId="8121"/>
    <cellStyle name="Normal 8 8" xfId="8122"/>
    <cellStyle name="Normal 9" xfId="319"/>
    <cellStyle name="Normal 9 2" xfId="320"/>
    <cellStyle name="Normal 9 2 2" xfId="8123"/>
    <cellStyle name="Normal 9 3" xfId="321"/>
    <cellStyle name="Normal 9 4" xfId="8124"/>
    <cellStyle name="Normal 9 5" xfId="8125"/>
    <cellStyle name="Normal_EStarWASHERResTiersFY07v1_3_postJan07" xfId="4"/>
    <cellStyle name="Normal_EStarWASHERResTiersFY07v1_3_postJan07 2" xfId="8126"/>
    <cellStyle name="Normal_MTDUCT" xfId="2"/>
    <cellStyle name="Normal_PC-LPDPackage-6P-D14" xfId="15"/>
    <cellStyle name="Normal_ProCostFinAssumptions_Sector" xfId="3"/>
    <cellStyle name="Note 2" xfId="322"/>
    <cellStyle name="Note 2 2" xfId="323"/>
    <cellStyle name="Note 2 2 2" xfId="470"/>
    <cellStyle name="Note 2 3" xfId="471"/>
    <cellStyle name="Note 2 3 2" xfId="472"/>
    <cellStyle name="Note 2 4" xfId="473"/>
    <cellStyle name="Note 2 4 2" xfId="474"/>
    <cellStyle name="Note 2 5" xfId="475"/>
    <cellStyle name="Note 3" xfId="324"/>
    <cellStyle name="Note 4" xfId="8127"/>
    <cellStyle name="Note 5" xfId="8128"/>
    <cellStyle name="Note 5 2" xfId="8129"/>
    <cellStyle name="Output 2" xfId="325"/>
    <cellStyle name="Output 2 2" xfId="326"/>
    <cellStyle name="Output 3" xfId="327"/>
    <cellStyle name="Percent" xfId="9" builtinId="5"/>
    <cellStyle name="Percent 2" xfId="328"/>
    <cellStyle name="Percent 2 10" xfId="476"/>
    <cellStyle name="Percent 2 2" xfId="329"/>
    <cellStyle name="Percent 2 2 2" xfId="330"/>
    <cellStyle name="Percent 2 2 2 2" xfId="331"/>
    <cellStyle name="Percent 2 2 2 2 2" xfId="8153"/>
    <cellStyle name="Percent 2 2 2 3" xfId="332"/>
    <cellStyle name="Percent 2 2 2 4" xfId="8130"/>
    <cellStyle name="Percent 2 2 3" xfId="333"/>
    <cellStyle name="Percent 2 2 4" xfId="334"/>
    <cellStyle name="Percent 2 2 4 2" xfId="8131"/>
    <cellStyle name="Percent 2 2 5" xfId="8132"/>
    <cellStyle name="Percent 2 2 6" xfId="8133"/>
    <cellStyle name="Percent 2 2 7" xfId="8134"/>
    <cellStyle name="Percent 2 2 8" xfId="8135"/>
    <cellStyle name="Percent 2 3" xfId="335"/>
    <cellStyle name="Percent 2 3 2" xfId="336"/>
    <cellStyle name="Percent 2 3 2 2" xfId="477"/>
    <cellStyle name="Percent 2 3 2 2 2" xfId="478"/>
    <cellStyle name="Percent 2 3 2 3" xfId="479"/>
    <cellStyle name="Percent 2 3 2 3 2" xfId="480"/>
    <cellStyle name="Percent 2 3 2 4" xfId="481"/>
    <cellStyle name="Percent 2 3 2 4 2" xfId="482"/>
    <cellStyle name="Percent 2 3 2 5" xfId="483"/>
    <cellStyle name="Percent 2 3 2 6" xfId="484"/>
    <cellStyle name="Percent 2 3 3" xfId="337"/>
    <cellStyle name="Percent 2 4" xfId="485"/>
    <cellStyle name="Percent 2 4 2" xfId="486"/>
    <cellStyle name="Percent 2 4 3" xfId="487"/>
    <cellStyle name="Percent 2 5" xfId="488"/>
    <cellStyle name="Percent 2 5 2" xfId="489"/>
    <cellStyle name="Percent 2 6" xfId="490"/>
    <cellStyle name="Percent 2 6 2" xfId="491"/>
    <cellStyle name="Percent 2 7" xfId="492"/>
    <cellStyle name="Percent 2 7 2" xfId="493"/>
    <cellStyle name="Percent 2 8" xfId="494"/>
    <cellStyle name="Percent 2 9" xfId="495"/>
    <cellStyle name="Percent 3" xfId="11"/>
    <cellStyle name="Percent 3 2" xfId="338"/>
    <cellStyle name="Percent 3 2 2" xfId="339"/>
    <cellStyle name="Percent 3 2 2 2" xfId="496"/>
    <cellStyle name="Percent 3 2 3" xfId="340"/>
    <cellStyle name="Percent 3 2 3 2" xfId="497"/>
    <cellStyle name="Percent 3 2 4" xfId="498"/>
    <cellStyle name="Percent 3 2 4 2" xfId="499"/>
    <cellStyle name="Percent 3 2 5" xfId="500"/>
    <cellStyle name="Percent 3 2 5 2" xfId="501"/>
    <cellStyle name="Percent 3 2 6" xfId="502"/>
    <cellStyle name="Percent 3 2 7" xfId="503"/>
    <cellStyle name="Percent 3 2 8" xfId="504"/>
    <cellStyle name="Percent 3 3" xfId="341"/>
    <cellStyle name="Percent 3 4" xfId="342"/>
    <cellStyle name="Percent 3 4 2" xfId="8136"/>
    <cellStyle name="Percent 3 5" xfId="505"/>
    <cellStyle name="Percent 3 6" xfId="8137"/>
    <cellStyle name="Percent 4" xfId="343"/>
    <cellStyle name="Percent 4 2" xfId="344"/>
    <cellStyle name="Percent 4 2 2" xfId="506"/>
    <cellStyle name="Percent 4 3" xfId="507"/>
    <cellStyle name="Percent 4 4" xfId="8138"/>
    <cellStyle name="Percent 4 4 2" xfId="8139"/>
    <cellStyle name="Percent 4 5" xfId="8140"/>
    <cellStyle name="Percent 5" xfId="345"/>
    <cellStyle name="Percent 5 2" xfId="508"/>
    <cellStyle name="Percent 5 3" xfId="8141"/>
    <cellStyle name="Percent 6" xfId="346"/>
    <cellStyle name="Percent 6 2" xfId="347"/>
    <cellStyle name="Percent 6 3" xfId="8142"/>
    <cellStyle name="Percent 7" xfId="348"/>
    <cellStyle name="Percent 8" xfId="349"/>
    <cellStyle name="Percent 9" xfId="8154"/>
    <cellStyle name="Sheet Title" xfId="350"/>
    <cellStyle name="Style 1" xfId="351"/>
    <cellStyle name="Style 1 2" xfId="352"/>
    <cellStyle name="Style 28" xfId="353"/>
    <cellStyle name="Title 2" xfId="354"/>
    <cellStyle name="Title 2 2" xfId="355"/>
    <cellStyle name="Title 3" xfId="356"/>
    <cellStyle name="Total 2" xfId="357"/>
    <cellStyle name="Total 2 2" xfId="358"/>
    <cellStyle name="Total 3" xfId="359"/>
    <cellStyle name="Warning Text 2" xfId="360"/>
    <cellStyle name="Warning Text 3" xfId="361"/>
    <cellStyle name="표준 2_WP-1 보고자료 (2009.06.03)" xfId="362"/>
    <cellStyle name="표준_ENERGY CONSUMP" xfId="363"/>
    <cellStyle name="常规_海外市场服务网站资料操作BOM" xfId="36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2095500</xdr:colOff>
      <xdr:row>7</xdr:row>
      <xdr:rowOff>0</xdr:rowOff>
    </xdr:from>
    <xdr:to>
      <xdr:col>1</xdr:col>
      <xdr:colOff>1019175</xdr:colOff>
      <xdr:row>7</xdr:row>
      <xdr:rowOff>0</xdr:rowOff>
    </xdr:to>
    <xdr:sp macro="" textlink="">
      <xdr:nvSpPr>
        <xdr:cNvPr id="2" name="AutoShape 1"/>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 name="AutoShape 2"/>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 name="AutoShape 3"/>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5" name="AutoShape 4"/>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6" name="AutoShape 5"/>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7" name="AutoShape 6"/>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8" name="AutoShape 7"/>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9" name="AutoShape 8"/>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0" name="AutoShape 9"/>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1" name="AutoShape 10"/>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2" name="AutoShape 11"/>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3" name="AutoShape 12"/>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4" name="AutoShape 13"/>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5" name="AutoShape 14"/>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6" name="AutoShape 15"/>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7" name="AutoShape 16"/>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8" name="AutoShape 17"/>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19" name="AutoShape 18"/>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0" name="AutoShape 19"/>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1" name="AutoShape 20"/>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2" name="AutoShape 21"/>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3" name="AutoShape 22"/>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4" name="AutoShape 23"/>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5" name="AutoShape 24"/>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6" name="AutoShape 25"/>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7" name="AutoShape 26"/>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8" name="AutoShape 27"/>
        <xdr:cNvSpPr>
          <a:spLocks noChangeArrowheads="1"/>
        </xdr:cNvSpPr>
      </xdr:nvSpPr>
      <xdr:spPr bwMode="auto">
        <a:xfrm>
          <a:off x="22479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29" name="AutoShape 1"/>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0" name="AutoShape 2"/>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1" name="AutoShape 3"/>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2" name="AutoShape 4"/>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3" name="AutoShape 5"/>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4" name="AutoShape 6"/>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5" name="AutoShape 7"/>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6" name="AutoShape 8"/>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7" name="AutoShape 9"/>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8" name="AutoShape 10"/>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39" name="AutoShape 11"/>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0" name="AutoShape 12"/>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1" name="AutoShape 13"/>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2" name="AutoShape 14"/>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3" name="AutoShape 15"/>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4" name="AutoShape 16"/>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5" name="AutoShape 17"/>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6" name="AutoShape 18"/>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7" name="AutoShape 19"/>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8" name="AutoShape 20"/>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49" name="AutoShape 21"/>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50" name="AutoShape 22"/>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51" name="AutoShape 23"/>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52" name="AutoShape 24"/>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53" name="AutoShape 25"/>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54" name="AutoShape 26"/>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twoCellAnchor>
    <xdr:from>
      <xdr:col>1</xdr:col>
      <xdr:colOff>2095500</xdr:colOff>
      <xdr:row>7</xdr:row>
      <xdr:rowOff>0</xdr:rowOff>
    </xdr:from>
    <xdr:to>
      <xdr:col>1</xdr:col>
      <xdr:colOff>1019175</xdr:colOff>
      <xdr:row>7</xdr:row>
      <xdr:rowOff>0</xdr:rowOff>
    </xdr:to>
    <xdr:sp macro="" textlink="">
      <xdr:nvSpPr>
        <xdr:cNvPr id="55" name="AutoShape 27"/>
        <xdr:cNvSpPr>
          <a:spLocks noChangeArrowheads="1"/>
        </xdr:cNvSpPr>
      </xdr:nvSpPr>
      <xdr:spPr bwMode="auto">
        <a:xfrm>
          <a:off x="9563100" y="1295400"/>
          <a:ext cx="0" cy="0"/>
        </a:xfrm>
        <a:prstGeom prst="wedgeRectCallout">
          <a:avLst>
            <a:gd name="adj1" fmla="val 43491"/>
            <a:gd name="adj2" fmla="val 110000"/>
          </a:avLst>
        </a:prstGeom>
        <a:solidFill>
          <a:srgbClr val="FFFF00"/>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Fix this categories row so there is output in it.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eventhPlan/Conservation%20Analysis/Global%20EE%20Inputs/Units%20Forecasts/7P%20Forecasts%20D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s_Mast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BSA%20Saturation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eventhPlan/Conservation%20Analysis/RTFStandardInformationWorkbook_v2_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es%20New%20Const/SF%20RNC%20equip_SEEM_v3.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OG"/>
      <sheetName val="Forecast Switchboard"/>
      <sheetName val="Lists&amp;Tables"/>
      <sheetName val="Res Forecast (Low)"/>
      <sheetName val="Res Forecast (Base Case)"/>
      <sheetName val="Res Forecast (High)"/>
      <sheetName val="Com Forecast (Low)"/>
      <sheetName val="Com Forecast (Base Case)"/>
      <sheetName val="Com Forecast (High)"/>
      <sheetName val="Ind Forecast (Low)"/>
      <sheetName val="Ind Forecast (Base Case)"/>
      <sheetName val="Ind Forecast (High)"/>
      <sheetName val="Ag Forecast (Low)"/>
      <sheetName val="Ag Forecast (Base Case)"/>
      <sheetName val="Ag Forecast (High)"/>
      <sheetName val="Pop Forecast (High)"/>
      <sheetName val="Pop Forecast (Base Case)"/>
      <sheetName val="Pop Forecast (Low)"/>
      <sheetName val="DEI (Base Case)"/>
      <sheetName val="Dairy Forecast (Base Case)"/>
      <sheetName val="Dairy Forecast (Low)"/>
      <sheetName val="Dairy Forecast (High)"/>
      <sheetName val="EV Forecast (Base Case)"/>
      <sheetName val="EV Forecast (Low)"/>
      <sheetName val="EV Forecast (High)"/>
      <sheetName val="DEI Forecast (Base Case)"/>
      <sheetName val="DEI Forecast (High)"/>
      <sheetName val="DEI Forecast (Low)"/>
      <sheetName val="DataCenter Forecast (Base Case)"/>
      <sheetName val="DataCenter Forecast (High)"/>
      <sheetName val="DataCenter Forecast (Low)"/>
      <sheetName val="Pop Forecast (High Case)"/>
      <sheetName val="Pop Forecast (Low Case)"/>
      <sheetName val="7P Forecasts D2"/>
    </sheetNames>
    <definedNames>
      <definedName name="rng_ForecastColumnLookup" refersTo="='Forecast Switchboard'!$H$21:$AE$21"/>
      <definedName name="rng_ForecastRowLookup" refersTo="='Forecast Switchboard'!$G$22:$G$502"/>
      <definedName name="switch_ForecastScenario" refersTo="='Forecast Switchboard'!$H$3"/>
      <definedName name="switch_ForecastState" refersTo="='Forecast Switchboard'!$H$4"/>
      <definedName name="tbl_Forecast" refersTo="='Forecast Switchboard'!$H$22:$AE$502"/>
    </definedNames>
    <sheetDataSet>
      <sheetData sheetId="0"/>
      <sheetData sheetId="1">
        <row r="3">
          <cell r="H3" t="str">
            <v>Base</v>
          </cell>
        </row>
        <row r="4">
          <cell r="H4" t="str">
            <v>Region</v>
          </cell>
        </row>
        <row r="21">
          <cell r="H21" t="str">
            <v>Sector</v>
          </cell>
          <cell r="I21" t="str">
            <v>Building/Industry Type</v>
          </cell>
          <cell r="J21" t="str">
            <v>Vintage / Subcategory</v>
          </cell>
          <cell r="K21" t="str">
            <v>Forecast Units</v>
          </cell>
          <cell r="L21">
            <v>2016</v>
          </cell>
          <cell r="M21">
            <v>2017</v>
          </cell>
          <cell r="N21">
            <v>2018</v>
          </cell>
          <cell r="O21">
            <v>2019</v>
          </cell>
          <cell r="P21">
            <v>2020</v>
          </cell>
          <cell r="Q21">
            <v>2021</v>
          </cell>
          <cell r="R21">
            <v>2022</v>
          </cell>
          <cell r="S21">
            <v>2023</v>
          </cell>
          <cell r="T21">
            <v>2024</v>
          </cell>
          <cell r="U21">
            <v>2025</v>
          </cell>
          <cell r="V21">
            <v>2026</v>
          </cell>
          <cell r="W21">
            <v>2027</v>
          </cell>
          <cell r="X21">
            <v>2028</v>
          </cell>
          <cell r="Y21">
            <v>2029</v>
          </cell>
          <cell r="Z21">
            <v>2030</v>
          </cell>
          <cell r="AA21">
            <v>2031</v>
          </cell>
          <cell r="AB21">
            <v>2032</v>
          </cell>
          <cell r="AC21">
            <v>2033</v>
          </cell>
          <cell r="AD21">
            <v>2034</v>
          </cell>
          <cell r="AE21">
            <v>2035</v>
          </cell>
        </row>
        <row r="22">
          <cell r="G22" t="str">
            <v>RegionSingle FamilyNew</v>
          </cell>
          <cell r="H22" t="str">
            <v>Res</v>
          </cell>
          <cell r="I22" t="str">
            <v>Single Family</v>
          </cell>
          <cell r="J22" t="str">
            <v>New</v>
          </cell>
          <cell r="K22" t="str">
            <v>Buildings</v>
          </cell>
          <cell r="L22">
            <v>62685.758999999998</v>
          </cell>
          <cell r="M22">
            <v>59961.781000000003</v>
          </cell>
          <cell r="N22">
            <v>56834.012000000002</v>
          </cell>
          <cell r="O22">
            <v>54985.192999999999</v>
          </cell>
          <cell r="P22">
            <v>53507.474000000002</v>
          </cell>
          <cell r="Q22">
            <v>50982.05</v>
          </cell>
          <cell r="R22">
            <v>49561.669000000002</v>
          </cell>
          <cell r="S22">
            <v>49324.517999999996</v>
          </cell>
          <cell r="T22">
            <v>48815.77</v>
          </cell>
          <cell r="U22">
            <v>49683.252</v>
          </cell>
          <cell r="V22">
            <v>50030.137000000002</v>
          </cell>
          <cell r="W22">
            <v>49387.762999999999</v>
          </cell>
          <cell r="X22">
            <v>48079.345999999998</v>
          </cell>
          <cell r="Y22">
            <v>48129.050999999999</v>
          </cell>
          <cell r="Z22">
            <v>48690.569000000003</v>
          </cell>
          <cell r="AA22">
            <v>48482.864000000001</v>
          </cell>
          <cell r="AB22">
            <v>46879.000999999997</v>
          </cell>
          <cell r="AC22">
            <v>46798.777999999998</v>
          </cell>
          <cell r="AD22">
            <v>46917.627</v>
          </cell>
          <cell r="AE22">
            <v>47236.144999999997</v>
          </cell>
        </row>
        <row r="23">
          <cell r="G23" t="str">
            <v>RegionMultifamily - Low RiseNew</v>
          </cell>
          <cell r="H23" t="str">
            <v>Res</v>
          </cell>
          <cell r="I23" t="str">
            <v>Multifamily - Low Rise</v>
          </cell>
          <cell r="J23" t="str">
            <v>New</v>
          </cell>
          <cell r="K23" t="str">
            <v>Buildings</v>
          </cell>
          <cell r="L23">
            <v>23280.347100904564</v>
          </cell>
          <cell r="M23">
            <v>23017.418106038647</v>
          </cell>
          <cell r="N23">
            <v>22811.60852767331</v>
          </cell>
          <cell r="O23">
            <v>22085.916378202593</v>
          </cell>
          <cell r="P23">
            <v>20817.853908138593</v>
          </cell>
          <cell r="Q23">
            <v>20070.279329962508</v>
          </cell>
          <cell r="R23">
            <v>19887.831284331631</v>
          </cell>
          <cell r="S23">
            <v>20257.583209811291</v>
          </cell>
          <cell r="T23">
            <v>20750.368029493613</v>
          </cell>
          <cell r="U23">
            <v>21314.334279744231</v>
          </cell>
          <cell r="V23">
            <v>21403.286239774712</v>
          </cell>
          <cell r="W23">
            <v>21409.137516518917</v>
          </cell>
          <cell r="X23">
            <v>21443.358292282628</v>
          </cell>
          <cell r="Y23">
            <v>21209.865626522758</v>
          </cell>
          <cell r="Z23">
            <v>20954.17798283829</v>
          </cell>
          <cell r="AA23">
            <v>20525.44023202754</v>
          </cell>
          <cell r="AB23">
            <v>20175.505597554071</v>
          </cell>
          <cell r="AC23">
            <v>19919.723927484571</v>
          </cell>
          <cell r="AD23">
            <v>19536.194066416414</v>
          </cell>
          <cell r="AE23">
            <v>19462.287131015248</v>
          </cell>
        </row>
        <row r="24">
          <cell r="G24" t="str">
            <v>RegionMultifamily - High RiseNew</v>
          </cell>
          <cell r="H24" t="str">
            <v>Res</v>
          </cell>
          <cell r="I24" t="str">
            <v>Multifamily - High Rise</v>
          </cell>
          <cell r="J24" t="str">
            <v>New</v>
          </cell>
          <cell r="K24" t="str">
            <v>Buildings</v>
          </cell>
          <cell r="L24">
            <v>5226.2387411561367</v>
          </cell>
          <cell r="M24">
            <v>5239.95312759432</v>
          </cell>
          <cell r="N24">
            <v>5271.2612760989568</v>
          </cell>
          <cell r="O24">
            <v>4985.883552972361</v>
          </cell>
          <cell r="P24">
            <v>4608.5912035798974</v>
          </cell>
          <cell r="Q24">
            <v>4509.6375960361838</v>
          </cell>
          <cell r="R24">
            <v>4481.760351096189</v>
          </cell>
          <cell r="S24">
            <v>4621.8312800578688</v>
          </cell>
          <cell r="T24">
            <v>4700.9782942419988</v>
          </cell>
          <cell r="U24">
            <v>4828.2391631488581</v>
          </cell>
          <cell r="V24">
            <v>4790.0249139778334</v>
          </cell>
          <cell r="W24">
            <v>4782.0649962402858</v>
          </cell>
          <cell r="X24">
            <v>4748.3908346265653</v>
          </cell>
          <cell r="Y24">
            <v>4733.4823682495089</v>
          </cell>
          <cell r="Z24">
            <v>4698.697177079107</v>
          </cell>
          <cell r="AA24">
            <v>4599.2987885998937</v>
          </cell>
          <cell r="AB24">
            <v>4526.3104216428001</v>
          </cell>
          <cell r="AC24">
            <v>4422.0600452822764</v>
          </cell>
          <cell r="AD24">
            <v>4405.182362066379</v>
          </cell>
          <cell r="AE24">
            <v>4385.1136986120664</v>
          </cell>
        </row>
        <row r="25">
          <cell r="G25" t="str">
            <v>RegionManufacturedNew</v>
          </cell>
          <cell r="H25" t="str">
            <v>Res</v>
          </cell>
          <cell r="I25" t="str">
            <v>Manufactured</v>
          </cell>
          <cell r="J25" t="str">
            <v>New</v>
          </cell>
          <cell r="K25" t="str">
            <v>Buildings</v>
          </cell>
          <cell r="L25">
            <v>1869.5754050925925</v>
          </cell>
          <cell r="M25">
            <v>1881.796305941358</v>
          </cell>
          <cell r="N25">
            <v>1949.1340235982509</v>
          </cell>
          <cell r="O25">
            <v>2021.1963608646258</v>
          </cell>
          <cell r="P25">
            <v>1959.5061710087307</v>
          </cell>
          <cell r="Q25">
            <v>1928.5764356212967</v>
          </cell>
          <cell r="R25">
            <v>1934.9641170211423</v>
          </cell>
          <cell r="S25">
            <v>1945.862235675901</v>
          </cell>
          <cell r="T25">
            <v>1956.539890631658</v>
          </cell>
          <cell r="U25">
            <v>1957.7742018038925</v>
          </cell>
          <cell r="V25">
            <v>1947.2038419604366</v>
          </cell>
          <cell r="W25">
            <v>1945.153453785721</v>
          </cell>
          <cell r="X25">
            <v>1947.9162901464586</v>
          </cell>
          <cell r="Y25">
            <v>1950.0749856673444</v>
          </cell>
          <cell r="Z25">
            <v>1950.7771106659191</v>
          </cell>
          <cell r="AA25">
            <v>1949.8166473382953</v>
          </cell>
          <cell r="AB25">
            <v>1948.4903882606959</v>
          </cell>
          <cell r="AC25">
            <v>1948.7048126440727</v>
          </cell>
          <cell r="AD25">
            <v>1949.296705787131</v>
          </cell>
          <cell r="AE25">
            <v>1949.5267750605763</v>
          </cell>
        </row>
        <row r="26">
          <cell r="G26" t="str">
            <v>RegionSingle FamilyExisting</v>
          </cell>
          <cell r="H26" t="str">
            <v>Res</v>
          </cell>
          <cell r="I26" t="str">
            <v>Single Family</v>
          </cell>
          <cell r="J26" t="str">
            <v>Existing</v>
          </cell>
          <cell r="K26" t="str">
            <v>Buildings</v>
          </cell>
          <cell r="L26">
            <v>4203528.2719999999</v>
          </cell>
          <cell r="M26">
            <v>4193982.9785983553</v>
          </cell>
          <cell r="N26">
            <v>4184459.3604704877</v>
          </cell>
          <cell r="O26">
            <v>4174957.36839659</v>
          </cell>
          <cell r="P26">
            <v>4165476.9532686244</v>
          </cell>
          <cell r="Q26">
            <v>4156018.0660900641</v>
          </cell>
          <cell r="R26">
            <v>4146580.6579756448</v>
          </cell>
          <cell r="S26">
            <v>4137164.6801511091</v>
          </cell>
          <cell r="T26">
            <v>4127770.0839529554</v>
          </cell>
          <cell r="U26">
            <v>4118396.8208281873</v>
          </cell>
          <cell r="V26">
            <v>4109044.8423340586</v>
          </cell>
          <cell r="W26">
            <v>4099714.1001378288</v>
          </cell>
          <cell r="X26">
            <v>4090404.5460165106</v>
          </cell>
          <cell r="Y26">
            <v>4081116.1318566194</v>
          </cell>
          <cell r="Z26">
            <v>4071848.8096539262</v>
          </cell>
          <cell r="AA26">
            <v>4062602.5315132081</v>
          </cell>
          <cell r="AB26">
            <v>4053377.2496480034</v>
          </cell>
          <cell r="AC26">
            <v>4044172.9163803621</v>
          </cell>
          <cell r="AD26">
            <v>4034989.4841406001</v>
          </cell>
          <cell r="AE26">
            <v>4025826.9054670548</v>
          </cell>
        </row>
        <row r="27">
          <cell r="G27" t="str">
            <v>RegionMultifamily - Low RiseExisting</v>
          </cell>
          <cell r="H27" t="str">
            <v>Res</v>
          </cell>
          <cell r="I27" t="str">
            <v>Multifamily - Low Rise</v>
          </cell>
          <cell r="J27" t="str">
            <v>Existing</v>
          </cell>
          <cell r="K27" t="str">
            <v>Buildings</v>
          </cell>
          <cell r="L27">
            <v>926243.25609262148</v>
          </cell>
          <cell r="M27">
            <v>924139.92640956037</v>
          </cell>
          <cell r="N27">
            <v>922041.3730050053</v>
          </cell>
          <cell r="O27">
            <v>919947.58503289847</v>
          </cell>
          <cell r="P27">
            <v>917858.55167181045</v>
          </cell>
          <cell r="Q27">
            <v>915774.26212488639</v>
          </cell>
          <cell r="R27">
            <v>913694.70561978838</v>
          </cell>
          <cell r="S27">
            <v>911619.87140864041</v>
          </cell>
          <cell r="T27">
            <v>909549.74876797362</v>
          </cell>
          <cell r="U27">
            <v>907484.32699866977</v>
          </cell>
          <cell r="V27">
            <v>905423.59542590659</v>
          </cell>
          <cell r="W27">
            <v>903367.54339910217</v>
          </cell>
          <cell r="X27">
            <v>901316.16029185988</v>
          </cell>
          <cell r="Y27">
            <v>899269.43550191447</v>
          </cell>
          <cell r="Z27">
            <v>897227.35845107585</v>
          </cell>
          <cell r="AA27">
            <v>895189.9185851753</v>
          </cell>
          <cell r="AB27">
            <v>893157.10537401051</v>
          </cell>
          <cell r="AC27">
            <v>891128.90831129183</v>
          </cell>
          <cell r="AD27">
            <v>889105.31691458682</v>
          </cell>
          <cell r="AE27">
            <v>887086.32072526717</v>
          </cell>
        </row>
        <row r="28">
          <cell r="G28" t="str">
            <v>RegionMultifamily - High RiseExisting</v>
          </cell>
          <cell r="H28" t="str">
            <v>Res</v>
          </cell>
          <cell r="I28" t="str">
            <v>Multifamily - High Rise</v>
          </cell>
          <cell r="J28" t="str">
            <v>Existing</v>
          </cell>
          <cell r="K28" t="str">
            <v>Buildings</v>
          </cell>
          <cell r="L28">
            <v>211180.07985625503</v>
          </cell>
          <cell r="M28">
            <v>210700.52836963299</v>
          </cell>
          <cell r="N28">
            <v>210222.06585706791</v>
          </cell>
          <cell r="O28">
            <v>209744.68984569819</v>
          </cell>
          <cell r="P28">
            <v>209268.39786827751</v>
          </cell>
          <cell r="Q28">
            <v>208793.18746316229</v>
          </cell>
          <cell r="R28">
            <v>208319.05617429892</v>
          </cell>
          <cell r="S28">
            <v>207846.00155121088</v>
          </cell>
          <cell r="T28">
            <v>207374.0211489865</v>
          </cell>
          <cell r="U28">
            <v>206903.11252826577</v>
          </cell>
          <cell r="V28">
            <v>206433.27325522827</v>
          </cell>
          <cell r="W28">
            <v>205964.50090158021</v>
          </cell>
          <cell r="X28">
            <v>205496.79304454199</v>
          </cell>
          <cell r="Y28">
            <v>205030.14726683579</v>
          </cell>
          <cell r="Z28">
            <v>204564.56115667295</v>
          </cell>
          <cell r="AA28">
            <v>204100.03230774152</v>
          </cell>
          <cell r="AB28">
            <v>203636.55831919383</v>
          </cell>
          <cell r="AC28">
            <v>203174.13679563423</v>
          </cell>
          <cell r="AD28">
            <v>202712.76534710638</v>
          </cell>
          <cell r="AE28">
            <v>202252.44158908122</v>
          </cell>
        </row>
        <row r="29">
          <cell r="G29" t="str">
            <v>RegionManufacturedExisting</v>
          </cell>
          <cell r="H29" t="str">
            <v>Res</v>
          </cell>
          <cell r="I29" t="str">
            <v>Manufactured</v>
          </cell>
          <cell r="J29" t="str">
            <v>Existing</v>
          </cell>
          <cell r="K29" t="str">
            <v>Buildings</v>
          </cell>
          <cell r="L29">
            <v>572006.3278356482</v>
          </cell>
          <cell r="M29">
            <v>565893.30394507048</v>
          </cell>
          <cell r="N29">
            <v>559845.60985814757</v>
          </cell>
          <cell r="O29">
            <v>553862.54739615123</v>
          </cell>
          <cell r="P29">
            <v>547943.42584177968</v>
          </cell>
          <cell r="Q29">
            <v>542087.56185941794</v>
          </cell>
          <cell r="R29">
            <v>536294.27941624937</v>
          </cell>
          <cell r="S29">
            <v>530562.90970421082</v>
          </cell>
          <cell r="T29">
            <v>524892.79106278194</v>
          </cell>
          <cell r="U29">
            <v>519283.26890259917</v>
          </cell>
          <cell r="V29">
            <v>513733.69562988722</v>
          </cell>
          <cell r="W29">
            <v>508243.4305716962</v>
          </cell>
          <cell r="X29">
            <v>502811.8399019395</v>
          </cell>
          <cell r="Y29">
            <v>497438.2965682213</v>
          </cell>
          <cell r="Z29">
            <v>492122.18021944637</v>
          </cell>
          <cell r="AA29">
            <v>486862.87713420321</v>
          </cell>
          <cell r="AB29">
            <v>481659.78014991269</v>
          </cell>
          <cell r="AC29">
            <v>476512.28859273402</v>
          </cell>
          <cell r="AD29">
            <v>471419.80820821953</v>
          </cell>
          <cell r="AE29">
            <v>466381.75109271082</v>
          </cell>
        </row>
        <row r="30">
          <cell r="G30" t="str">
            <v>RegionLarge OffNew</v>
          </cell>
          <cell r="H30" t="str">
            <v>Com</v>
          </cell>
          <cell r="I30" t="str">
            <v>Large Off</v>
          </cell>
          <cell r="J30" t="str">
            <v>New</v>
          </cell>
          <cell r="K30" t="str">
            <v>Millions SqFt</v>
          </cell>
          <cell r="L30">
            <v>7.8066550111953834</v>
          </cell>
          <cell r="M30">
            <v>5.9496992573140863</v>
          </cell>
          <cell r="N30">
            <v>5.890903545908837</v>
          </cell>
          <cell r="O30">
            <v>6.8915688291332424</v>
          </cell>
          <cell r="P30">
            <v>6.6410191533148355</v>
          </cell>
          <cell r="Q30">
            <v>5.4382226791221893</v>
          </cell>
          <cell r="R30">
            <v>6.9236851515846078</v>
          </cell>
          <cell r="S30">
            <v>6.040566884985755</v>
          </cell>
          <cell r="T30">
            <v>5.8620040343764588</v>
          </cell>
          <cell r="U30">
            <v>6.6048352977963205</v>
          </cell>
          <cell r="V30">
            <v>6.6081856774849808</v>
          </cell>
          <cell r="W30">
            <v>7.2276230030590352</v>
          </cell>
          <cell r="X30">
            <v>7.9321378463678132</v>
          </cell>
          <cell r="Y30">
            <v>7.2590370336019197</v>
          </cell>
          <cell r="Z30">
            <v>7.9122271387396417</v>
          </cell>
          <cell r="AA30">
            <v>7.7623340380974311</v>
          </cell>
          <cell r="AB30">
            <v>7.6402299023279152</v>
          </cell>
          <cell r="AC30">
            <v>7.1724831299946894</v>
          </cell>
          <cell r="AD30">
            <v>7.0810470955732994</v>
          </cell>
          <cell r="AE30">
            <v>7.4281005850341701</v>
          </cell>
        </row>
        <row r="31">
          <cell r="G31" t="str">
            <v>RegionMedium OffNew</v>
          </cell>
          <cell r="H31" t="str">
            <v>Com</v>
          </cell>
          <cell r="I31" t="str">
            <v>Medium Off</v>
          </cell>
          <cell r="J31" t="str">
            <v>New</v>
          </cell>
          <cell r="K31" t="str">
            <v>Millions SqFt</v>
          </cell>
          <cell r="L31">
            <v>6.3306892326899415</v>
          </cell>
          <cell r="M31">
            <v>4.6245517962703104</v>
          </cell>
          <cell r="N31">
            <v>4.6954401235311058</v>
          </cell>
          <cell r="O31">
            <v>5.5561738496820645</v>
          </cell>
          <cell r="P31">
            <v>5.2903315868283292</v>
          </cell>
          <cell r="Q31">
            <v>4.0954748538564614</v>
          </cell>
          <cell r="R31">
            <v>5.6166455086822502</v>
          </cell>
          <cell r="S31">
            <v>4.8928421056079552</v>
          </cell>
          <cell r="T31">
            <v>4.6489885594062974</v>
          </cell>
          <cell r="U31">
            <v>5.3600762751998365</v>
          </cell>
          <cell r="V31">
            <v>5.3451061612370649</v>
          </cell>
          <cell r="W31">
            <v>5.7169042762389006</v>
          </cell>
          <cell r="X31">
            <v>6.1644080859749115</v>
          </cell>
          <cell r="Y31">
            <v>5.8003829082546376</v>
          </cell>
          <cell r="Z31">
            <v>6.4331999103991837</v>
          </cell>
          <cell r="AA31">
            <v>6.1077443299386847</v>
          </cell>
          <cell r="AB31">
            <v>6.3133258324543373</v>
          </cell>
          <cell r="AC31">
            <v>5.5403053352108875</v>
          </cell>
          <cell r="AD31">
            <v>5.5266028757425794</v>
          </cell>
          <cell r="AE31">
            <v>5.9833355534459063</v>
          </cell>
        </row>
        <row r="32">
          <cell r="G32" t="str">
            <v>RegionSmall OffNew</v>
          </cell>
          <cell r="H32" t="str">
            <v>Com</v>
          </cell>
          <cell r="I32" t="str">
            <v>Small Off</v>
          </cell>
          <cell r="J32" t="str">
            <v>New</v>
          </cell>
          <cell r="K32" t="str">
            <v>Millions SqFt</v>
          </cell>
          <cell r="L32">
            <v>1.6621196768024407</v>
          </cell>
          <cell r="M32">
            <v>1.2170657423442173</v>
          </cell>
          <cell r="N32">
            <v>1.2444333527444498</v>
          </cell>
          <cell r="O32">
            <v>1.4586094503549032</v>
          </cell>
          <cell r="P32">
            <v>1.4004070058555529</v>
          </cell>
          <cell r="Q32">
            <v>1.0787722980410579</v>
          </cell>
          <cell r="R32">
            <v>1.4747976167420549</v>
          </cell>
          <cell r="S32">
            <v>1.2896357804774434</v>
          </cell>
          <cell r="T32">
            <v>1.2239291307589197</v>
          </cell>
          <cell r="U32">
            <v>1.4012443744673324</v>
          </cell>
          <cell r="V32">
            <v>1.3991315932028052</v>
          </cell>
          <cell r="W32">
            <v>1.4996248899933684</v>
          </cell>
          <cell r="X32">
            <v>1.6197763904689295</v>
          </cell>
          <cell r="Y32">
            <v>1.5187400891362097</v>
          </cell>
          <cell r="Z32">
            <v>1.6890757136254622</v>
          </cell>
          <cell r="AA32">
            <v>1.5972356158259797</v>
          </cell>
          <cell r="AB32">
            <v>1.640465747141107</v>
          </cell>
          <cell r="AC32">
            <v>1.4565955217811706</v>
          </cell>
          <cell r="AD32">
            <v>1.4531741906643101</v>
          </cell>
          <cell r="AE32">
            <v>1.5648660344158036</v>
          </cell>
        </row>
        <row r="33">
          <cell r="G33" t="str">
            <v>RegionXLarge RetNew</v>
          </cell>
          <cell r="H33" t="str">
            <v>Com</v>
          </cell>
          <cell r="I33" t="str">
            <v>XLarge Ret</v>
          </cell>
          <cell r="J33" t="str">
            <v>New</v>
          </cell>
          <cell r="K33" t="str">
            <v>Millions SqFt</v>
          </cell>
          <cell r="L33">
            <v>1.799418169017593</v>
          </cell>
          <cell r="M33">
            <v>1.485755176968429</v>
          </cell>
          <cell r="N33">
            <v>0.89794362681754358</v>
          </cell>
          <cell r="O33">
            <v>0.91201694404352718</v>
          </cell>
          <cell r="P33">
            <v>0.85125423267540556</v>
          </cell>
          <cell r="Q33">
            <v>0.73204497427617965</v>
          </cell>
          <cell r="R33">
            <v>0.73428349109996394</v>
          </cell>
          <cell r="S33">
            <v>0.71341173425108251</v>
          </cell>
          <cell r="T33">
            <v>0.89455902577447755</v>
          </cell>
          <cell r="U33">
            <v>1.032083805968905</v>
          </cell>
          <cell r="V33">
            <v>1.0963398187475875</v>
          </cell>
          <cell r="W33">
            <v>1.617287860192538</v>
          </cell>
          <cell r="X33">
            <v>1.8239074921539626</v>
          </cell>
          <cell r="Y33">
            <v>1.6267354909009817</v>
          </cell>
          <cell r="Z33">
            <v>1.5970323938843554</v>
          </cell>
          <cell r="AA33">
            <v>1.5393396581386409</v>
          </cell>
          <cell r="AB33">
            <v>1.2960530677092543</v>
          </cell>
          <cell r="AC33">
            <v>1.3176455108269955</v>
          </cell>
          <cell r="AD33">
            <v>1.2469979474733393</v>
          </cell>
          <cell r="AE33">
            <v>1.3540449607593745</v>
          </cell>
        </row>
        <row r="34">
          <cell r="G34" t="str">
            <v>RegionLarge RetNew</v>
          </cell>
          <cell r="H34" t="str">
            <v>Com</v>
          </cell>
          <cell r="I34" t="str">
            <v>Large Ret</v>
          </cell>
          <cell r="J34" t="str">
            <v>New</v>
          </cell>
          <cell r="K34" t="str">
            <v>Millions SqFt</v>
          </cell>
          <cell r="L34">
            <v>0.71960427219664069</v>
          </cell>
          <cell r="M34">
            <v>0.59647847099566831</v>
          </cell>
          <cell r="N34">
            <v>0.36611838042447359</v>
          </cell>
          <cell r="O34">
            <v>0.3731768350638246</v>
          </cell>
          <cell r="P34">
            <v>0.34504559304633386</v>
          </cell>
          <cell r="Q34">
            <v>0.2928623587115301</v>
          </cell>
          <cell r="R34">
            <v>0.29376294298921468</v>
          </cell>
          <cell r="S34">
            <v>0.28416308329236456</v>
          </cell>
          <cell r="T34">
            <v>0.36455471421578001</v>
          </cell>
          <cell r="U34">
            <v>0.42646627810709853</v>
          </cell>
          <cell r="V34">
            <v>0.44956380488737768</v>
          </cell>
          <cell r="W34">
            <v>0.65213839834683018</v>
          </cell>
          <cell r="X34">
            <v>0.73353807331773047</v>
          </cell>
          <cell r="Y34">
            <v>0.65560780242911365</v>
          </cell>
          <cell r="Z34">
            <v>0.64604928436358278</v>
          </cell>
          <cell r="AA34">
            <v>0.62178261445398098</v>
          </cell>
          <cell r="AB34">
            <v>0.52554853465709617</v>
          </cell>
          <cell r="AC34">
            <v>0.53266253778165396</v>
          </cell>
          <cell r="AD34">
            <v>0.50454130308386236</v>
          </cell>
          <cell r="AE34">
            <v>0.54553111610891503</v>
          </cell>
        </row>
        <row r="35">
          <cell r="G35" t="str">
            <v>RegionMedium RetNew</v>
          </cell>
          <cell r="H35" t="str">
            <v>Com</v>
          </cell>
          <cell r="I35" t="str">
            <v>Medium Ret</v>
          </cell>
          <cell r="J35" t="str">
            <v>New</v>
          </cell>
          <cell r="K35" t="str">
            <v>Millions SqFt</v>
          </cell>
          <cell r="L35">
            <v>2.7275899469990224</v>
          </cell>
          <cell r="M35">
            <v>2.2451802625726844</v>
          </cell>
          <cell r="N35">
            <v>1.3846551620328988</v>
          </cell>
          <cell r="O35">
            <v>1.414332931216091</v>
          </cell>
          <cell r="P35">
            <v>1.3048976182463843</v>
          </cell>
          <cell r="Q35">
            <v>1.1035456427042536</v>
          </cell>
          <cell r="R35">
            <v>1.0932193385059683</v>
          </cell>
          <cell r="S35">
            <v>1.0602010304011045</v>
          </cell>
          <cell r="T35">
            <v>1.3687417218066935</v>
          </cell>
          <cell r="U35">
            <v>1.6102119957699914</v>
          </cell>
          <cell r="V35">
            <v>1.7014476793012303</v>
          </cell>
          <cell r="W35">
            <v>2.4475448442766612</v>
          </cell>
          <cell r="X35">
            <v>2.7642584104961641</v>
          </cell>
          <cell r="Y35">
            <v>2.4645092385842489</v>
          </cell>
          <cell r="Z35">
            <v>2.435211674558635</v>
          </cell>
          <cell r="AA35">
            <v>2.3436666024455817</v>
          </cell>
          <cell r="AB35">
            <v>1.9970991421399598</v>
          </cell>
          <cell r="AC35">
            <v>2.0220850932468024</v>
          </cell>
          <cell r="AD35">
            <v>1.9074632582746243</v>
          </cell>
          <cell r="AE35">
            <v>2.0633846520749657</v>
          </cell>
        </row>
        <row r="36">
          <cell r="G36" t="str">
            <v>RegionSmall RetNew</v>
          </cell>
          <cell r="H36" t="str">
            <v>Com</v>
          </cell>
          <cell r="I36" t="str">
            <v>Small Ret</v>
          </cell>
          <cell r="J36" t="str">
            <v>New</v>
          </cell>
          <cell r="K36" t="str">
            <v>Millions SqFt</v>
          </cell>
          <cell r="L36">
            <v>0.86249938561661099</v>
          </cell>
          <cell r="M36">
            <v>0.71243811393533818</v>
          </cell>
          <cell r="N36">
            <v>0.43988135050703958</v>
          </cell>
          <cell r="O36">
            <v>0.44879648252082133</v>
          </cell>
          <cell r="P36">
            <v>0.41374173801952452</v>
          </cell>
          <cell r="Q36">
            <v>0.34301620014224921</v>
          </cell>
          <cell r="R36">
            <v>0.33946657261656726</v>
          </cell>
          <cell r="S36">
            <v>0.32965754978673117</v>
          </cell>
          <cell r="T36">
            <v>0.43689232903555525</v>
          </cell>
          <cell r="U36">
            <v>0.51886957722704219</v>
          </cell>
          <cell r="V36">
            <v>0.54817313334918127</v>
          </cell>
          <cell r="W36">
            <v>0.77969532117377649</v>
          </cell>
          <cell r="X36">
            <v>0.87858644381951334</v>
          </cell>
          <cell r="Y36">
            <v>0.78420074698109388</v>
          </cell>
          <cell r="Z36">
            <v>0.77728841592354081</v>
          </cell>
          <cell r="AA36">
            <v>0.74886674252534069</v>
          </cell>
          <cell r="AB36">
            <v>0.63964179951326661</v>
          </cell>
          <cell r="AC36">
            <v>0.64714740319049269</v>
          </cell>
          <cell r="AD36">
            <v>0.61166389038687663</v>
          </cell>
          <cell r="AE36">
            <v>0.66242443593788758</v>
          </cell>
        </row>
        <row r="37">
          <cell r="G37" t="str">
            <v>RegionSchool K-12New</v>
          </cell>
          <cell r="H37" t="str">
            <v>Com</v>
          </cell>
          <cell r="I37" t="str">
            <v>School K-12</v>
          </cell>
          <cell r="J37" t="str">
            <v>New</v>
          </cell>
          <cell r="K37" t="str">
            <v>Millions SqFt</v>
          </cell>
          <cell r="L37">
            <v>0.49337113702797691</v>
          </cell>
          <cell r="M37">
            <v>1.1029723159217257</v>
          </cell>
          <cell r="N37">
            <v>0.94992456965043459</v>
          </cell>
          <cell r="O37">
            <v>0.71720701164062661</v>
          </cell>
          <cell r="P37">
            <v>0.7442281187428561</v>
          </cell>
          <cell r="Q37">
            <v>0.85140099810585501</v>
          </cell>
          <cell r="R37">
            <v>0.99139466996200198</v>
          </cell>
          <cell r="S37">
            <v>1.5014629353162949</v>
          </cell>
          <cell r="T37">
            <v>1.8697826256608596</v>
          </cell>
          <cell r="U37">
            <v>1.6452707482432332</v>
          </cell>
          <cell r="V37">
            <v>1.6753181172445872</v>
          </cell>
          <cell r="W37">
            <v>1.7943041099264481</v>
          </cell>
          <cell r="X37">
            <v>1.8624299937819393</v>
          </cell>
          <cell r="Y37">
            <v>1.7489264522150836</v>
          </cell>
          <cell r="Z37">
            <v>1.7975598556031414</v>
          </cell>
          <cell r="AA37">
            <v>1.6195220459723754</v>
          </cell>
          <cell r="AB37">
            <v>1.8221433074925411</v>
          </cell>
          <cell r="AC37">
            <v>1.6336676691608698</v>
          </cell>
          <cell r="AD37">
            <v>1.7826242149357872</v>
          </cell>
          <cell r="AE37">
            <v>1.6891002859244486</v>
          </cell>
        </row>
        <row r="38">
          <cell r="G38" t="str">
            <v>RegionUniversityNew</v>
          </cell>
          <cell r="H38" t="str">
            <v>Com</v>
          </cell>
          <cell r="I38" t="str">
            <v>University</v>
          </cell>
          <cell r="J38" t="str">
            <v>New</v>
          </cell>
          <cell r="K38" t="str">
            <v>Millions SqFt</v>
          </cell>
          <cell r="L38">
            <v>0.2800209986196866</v>
          </cell>
          <cell r="M38">
            <v>0.29719871383536939</v>
          </cell>
          <cell r="N38">
            <v>0.58203115602335975</v>
          </cell>
          <cell r="O38">
            <v>0.83189457735737737</v>
          </cell>
          <cell r="P38">
            <v>0.66610454718876777</v>
          </cell>
          <cell r="Q38">
            <v>0.73648247778559484</v>
          </cell>
          <cell r="R38">
            <v>0.64334185638367225</v>
          </cell>
          <cell r="S38">
            <v>0.97289424291238524</v>
          </cell>
          <cell r="T38">
            <v>1.1820978013224126</v>
          </cell>
          <cell r="U38">
            <v>1.1785313924254113</v>
          </cell>
          <cell r="V38">
            <v>1.2952038876416079</v>
          </cell>
          <cell r="W38">
            <v>1.3229243736280945</v>
          </cell>
          <cell r="X38">
            <v>1.422909455419719</v>
          </cell>
          <cell r="Y38">
            <v>1.4430187909981058</v>
          </cell>
          <cell r="Z38">
            <v>1.2923971403480323</v>
          </cell>
          <cell r="AA38">
            <v>1.1785050733908478</v>
          </cell>
          <cell r="AB38">
            <v>1.3433889489273994</v>
          </cell>
          <cell r="AC38">
            <v>1.2265545990556588</v>
          </cell>
          <cell r="AD38">
            <v>1.2571458643971927</v>
          </cell>
          <cell r="AE38">
            <v>1.2979913333963795</v>
          </cell>
        </row>
        <row r="39">
          <cell r="G39" t="str">
            <v>RegionWarehouseNew</v>
          </cell>
          <cell r="H39" t="str">
            <v>Com</v>
          </cell>
          <cell r="I39" t="str">
            <v>Warehouse</v>
          </cell>
          <cell r="J39" t="str">
            <v>New</v>
          </cell>
          <cell r="K39" t="str">
            <v>Millions SqFt</v>
          </cell>
          <cell r="L39">
            <v>7.6586609772993617</v>
          </cell>
          <cell r="M39">
            <v>7.5774552212762423</v>
          </cell>
          <cell r="N39">
            <v>5.6453939930651131</v>
          </cell>
          <cell r="O39">
            <v>4.800793231843981</v>
          </cell>
          <cell r="P39">
            <v>3.5881391412601156</v>
          </cell>
          <cell r="Q39">
            <v>3.1529819033971824</v>
          </cell>
          <cell r="R39">
            <v>4.0691744688008198</v>
          </cell>
          <cell r="S39">
            <v>4.5400289951106014</v>
          </cell>
          <cell r="T39">
            <v>4.8555474587969272</v>
          </cell>
          <cell r="U39">
            <v>4.6966359797376018</v>
          </cell>
          <cell r="V39">
            <v>4.8557170740974245</v>
          </cell>
          <cell r="W39">
            <v>4.451750056135543</v>
          </cell>
          <cell r="X39">
            <v>3.8657972013430704</v>
          </cell>
          <cell r="Y39">
            <v>3.9817445148405937</v>
          </cell>
          <cell r="Z39">
            <v>3.9951806948216846</v>
          </cell>
          <cell r="AA39">
            <v>4.4738164673360306</v>
          </cell>
          <cell r="AB39">
            <v>4.2737219736102183</v>
          </cell>
          <cell r="AC39">
            <v>4.0870251812551333</v>
          </cell>
          <cell r="AD39">
            <v>4.137725578117939</v>
          </cell>
          <cell r="AE39">
            <v>3.6922064696454697</v>
          </cell>
        </row>
        <row r="40">
          <cell r="G40" t="str">
            <v>RegionSupermarketNew</v>
          </cell>
          <cell r="H40" t="str">
            <v>Com</v>
          </cell>
          <cell r="I40" t="str">
            <v>Supermarket</v>
          </cell>
          <cell r="J40" t="str">
            <v>New</v>
          </cell>
          <cell r="K40" t="str">
            <v>Millions SqFt</v>
          </cell>
          <cell r="L40">
            <v>0.38924897939746522</v>
          </cell>
          <cell r="M40">
            <v>0.34341311895347121</v>
          </cell>
          <cell r="N40">
            <v>0.29927348040561341</v>
          </cell>
          <cell r="O40">
            <v>0.29688874456634085</v>
          </cell>
          <cell r="P40">
            <v>0.29379933994281465</v>
          </cell>
          <cell r="Q40">
            <v>0.29041766271303127</v>
          </cell>
          <cell r="R40">
            <v>0.28614144770449462</v>
          </cell>
          <cell r="S40">
            <v>0.28163861967746157</v>
          </cell>
          <cell r="T40">
            <v>0.27688800876616482</v>
          </cell>
          <cell r="U40">
            <v>0.27357754310134663</v>
          </cell>
          <cell r="V40">
            <v>0.27063184585003941</v>
          </cell>
          <cell r="W40">
            <v>0.26801411864303953</v>
          </cell>
          <cell r="X40">
            <v>0.26660240614409092</v>
          </cell>
          <cell r="Y40">
            <v>0.25138198684402913</v>
          </cell>
          <cell r="Z40">
            <v>0.26455339135243683</v>
          </cell>
          <cell r="AA40">
            <v>0.26299167309250365</v>
          </cell>
          <cell r="AB40">
            <v>0.26140909607327911</v>
          </cell>
          <cell r="AC40">
            <v>0.25947687815142023</v>
          </cell>
          <cell r="AD40">
            <v>0.25750619496776178</v>
          </cell>
          <cell r="AE40">
            <v>0.25562560804995926</v>
          </cell>
        </row>
        <row r="41">
          <cell r="G41" t="str">
            <v>RegionMiniMartNew</v>
          </cell>
          <cell r="H41" t="str">
            <v>Com</v>
          </cell>
          <cell r="I41" t="str">
            <v>MiniMart</v>
          </cell>
          <cell r="J41" t="str">
            <v>New</v>
          </cell>
          <cell r="K41" t="str">
            <v>Millions SqFt</v>
          </cell>
          <cell r="L41">
            <v>0.19765540078516197</v>
          </cell>
          <cell r="M41">
            <v>0.18600542935034625</v>
          </cell>
          <cell r="N41">
            <v>9.5760802585072302E-2</v>
          </cell>
          <cell r="O41">
            <v>0.10062051473914659</v>
          </cell>
          <cell r="P41">
            <v>8.5646792534183808E-2</v>
          </cell>
          <cell r="Q41">
            <v>6.5415041923045286E-2</v>
          </cell>
          <cell r="R41">
            <v>5.7242996146950373E-2</v>
          </cell>
          <cell r="S41">
            <v>5.5087150941189433E-2</v>
          </cell>
          <cell r="T41">
            <v>7.3916214299540497E-2</v>
          </cell>
          <cell r="U41">
            <v>9.2056169088318471E-2</v>
          </cell>
          <cell r="V41">
            <v>0.10393709432109566</v>
          </cell>
          <cell r="W41">
            <v>0.15172170448022598</v>
          </cell>
          <cell r="X41">
            <v>0.15706997726929292</v>
          </cell>
          <cell r="Y41">
            <v>0.14510580631504899</v>
          </cell>
          <cell r="Z41">
            <v>0.15272706829792246</v>
          </cell>
          <cell r="AA41">
            <v>0.14104647748606622</v>
          </cell>
          <cell r="AB41">
            <v>0.11700741064540764</v>
          </cell>
          <cell r="AC41">
            <v>0.1200067315077773</v>
          </cell>
          <cell r="AD41">
            <v>0.11457442878633581</v>
          </cell>
          <cell r="AE41">
            <v>0.1211768182439132</v>
          </cell>
        </row>
        <row r="42">
          <cell r="G42" t="str">
            <v>RegionRestaurantNew</v>
          </cell>
          <cell r="H42" t="str">
            <v>Com</v>
          </cell>
          <cell r="I42" t="str">
            <v>Restaurant</v>
          </cell>
          <cell r="J42" t="str">
            <v>New</v>
          </cell>
          <cell r="K42" t="str">
            <v>Millions SqFt</v>
          </cell>
          <cell r="L42">
            <v>0.46894871790011039</v>
          </cell>
          <cell r="M42">
            <v>0.47387410836125871</v>
          </cell>
          <cell r="N42">
            <v>0.45144590813821411</v>
          </cell>
          <cell r="O42">
            <v>0.4505136151455652</v>
          </cell>
          <cell r="P42">
            <v>0.44778046039172248</v>
          </cell>
          <cell r="Q42">
            <v>0.44523396067124349</v>
          </cell>
          <cell r="R42">
            <v>0.44273536313864043</v>
          </cell>
          <cell r="S42">
            <v>0.4399078135546039</v>
          </cell>
          <cell r="T42">
            <v>0.43708606600163591</v>
          </cell>
          <cell r="U42">
            <v>0.43513915585550955</v>
          </cell>
          <cell r="V42">
            <v>0.43580404899906589</v>
          </cell>
          <cell r="W42">
            <v>0.59161866303702282</v>
          </cell>
          <cell r="X42">
            <v>0.66467702134516005</v>
          </cell>
          <cell r="Y42">
            <v>0.65353995366480533</v>
          </cell>
          <cell r="Z42">
            <v>0.676060915960916</v>
          </cell>
          <cell r="AA42">
            <v>0.70559825286541389</v>
          </cell>
          <cell r="AB42">
            <v>0.63206878506691044</v>
          </cell>
          <cell r="AC42">
            <v>0.63726309269471215</v>
          </cell>
          <cell r="AD42">
            <v>0.5828366650853003</v>
          </cell>
          <cell r="AE42">
            <v>0.63928201324113043</v>
          </cell>
        </row>
        <row r="43">
          <cell r="G43" t="str">
            <v>RegionLodgingNew</v>
          </cell>
          <cell r="H43" t="str">
            <v>Com</v>
          </cell>
          <cell r="I43" t="str">
            <v>Lodging</v>
          </cell>
          <cell r="J43" t="str">
            <v>New</v>
          </cell>
          <cell r="K43" t="str">
            <v>Millions SqFt</v>
          </cell>
          <cell r="L43">
            <v>1.0326774321313152</v>
          </cell>
          <cell r="M43">
            <v>1.0158776160943388</v>
          </cell>
          <cell r="N43">
            <v>0.74304915446037911</v>
          </cell>
          <cell r="O43">
            <v>0.76054102414226543</v>
          </cell>
          <cell r="P43">
            <v>0.65616402459427536</v>
          </cell>
          <cell r="Q43">
            <v>0.62755023267601961</v>
          </cell>
          <cell r="R43">
            <v>0.61023293273354484</v>
          </cell>
          <cell r="S43">
            <v>0.60571699788717037</v>
          </cell>
          <cell r="T43">
            <v>0.65097903457434547</v>
          </cell>
          <cell r="U43">
            <v>0.69319811486407867</v>
          </cell>
          <cell r="V43">
            <v>0.78843795894088464</v>
          </cell>
          <cell r="W43">
            <v>1.3645659476947984</v>
          </cell>
          <cell r="X43">
            <v>1.6032227373726178</v>
          </cell>
          <cell r="Y43">
            <v>1.6412696995684901</v>
          </cell>
          <cell r="Z43">
            <v>1.670283030615213</v>
          </cell>
          <cell r="AA43">
            <v>1.755661848186447</v>
          </cell>
          <cell r="AB43">
            <v>1.4871375295645746</v>
          </cell>
          <cell r="AC43">
            <v>1.4400033906080374</v>
          </cell>
          <cell r="AD43">
            <v>1.3499648074414823</v>
          </cell>
          <cell r="AE43">
            <v>1.4487057151095009</v>
          </cell>
        </row>
        <row r="44">
          <cell r="G44" t="str">
            <v>RegionHospitalNew</v>
          </cell>
          <cell r="H44" t="str">
            <v>Com</v>
          </cell>
          <cell r="I44" t="str">
            <v>Hospital</v>
          </cell>
          <cell r="J44" t="str">
            <v>New</v>
          </cell>
          <cell r="K44" t="str">
            <v>Millions SqFt</v>
          </cell>
          <cell r="L44">
            <v>4.1336070304911159</v>
          </cell>
          <cell r="M44">
            <v>3.5601449453189118</v>
          </cell>
          <cell r="N44">
            <v>3.2007770264658664</v>
          </cell>
          <cell r="O44">
            <v>2.6531465767673241</v>
          </cell>
          <cell r="P44">
            <v>1.8730082465149496</v>
          </cell>
          <cell r="Q44">
            <v>1.6467285324389391</v>
          </cell>
          <cell r="R44">
            <v>1.5196240263467067</v>
          </cell>
          <cell r="S44">
            <v>1.3328145698119136</v>
          </cell>
          <cell r="T44">
            <v>1.3372342578617185</v>
          </cell>
          <cell r="U44">
            <v>1.4086686461757902</v>
          </cell>
          <cell r="V44">
            <v>1.6725933548501446</v>
          </cell>
          <cell r="W44">
            <v>2.0158466086985318</v>
          </cell>
          <cell r="X44">
            <v>2.3033709594417431</v>
          </cell>
          <cell r="Y44">
            <v>2.063930246052466</v>
          </cell>
          <cell r="Z44">
            <v>1.9880083370090949</v>
          </cell>
          <cell r="AA44">
            <v>1.9342270452860566</v>
          </cell>
          <cell r="AB44">
            <v>1.774507966199161</v>
          </cell>
          <cell r="AC44">
            <v>1.6723841845019074</v>
          </cell>
          <cell r="AD44">
            <v>1.5414284807799123</v>
          </cell>
          <cell r="AE44">
            <v>1.5563040522680198</v>
          </cell>
        </row>
        <row r="45">
          <cell r="G45" t="str">
            <v>RegionResidential CareNew</v>
          </cell>
          <cell r="H45" t="str">
            <v>Com</v>
          </cell>
          <cell r="I45" t="str">
            <v>Residential Care</v>
          </cell>
          <cell r="J45" t="str">
            <v>New</v>
          </cell>
          <cell r="K45" t="str">
            <v>Millions SqFt</v>
          </cell>
          <cell r="L45">
            <v>4.5029406937179912</v>
          </cell>
          <cell r="M45">
            <v>4.0786070344439063</v>
          </cell>
          <cell r="N45">
            <v>3.5919834720533679</v>
          </cell>
          <cell r="O45">
            <v>3.0400934926407626</v>
          </cell>
          <cell r="P45">
            <v>2.3018670718031324</v>
          </cell>
          <cell r="Q45">
            <v>2.1321468422073435</v>
          </cell>
          <cell r="R45">
            <v>1.9771504564110642</v>
          </cell>
          <cell r="S45">
            <v>1.8096072137015302</v>
          </cell>
          <cell r="T45">
            <v>1.9023478055732992</v>
          </cell>
          <cell r="U45">
            <v>2.0129777404511922</v>
          </cell>
          <cell r="V45">
            <v>2.304026079874093</v>
          </cell>
          <cell r="W45">
            <v>2.7992417645016405</v>
          </cell>
          <cell r="X45">
            <v>3.0682339807477179</v>
          </cell>
          <cell r="Y45">
            <v>2.7441690138981158</v>
          </cell>
          <cell r="Z45">
            <v>2.8046561391012603</v>
          </cell>
          <cell r="AA45">
            <v>2.7282838662201567</v>
          </cell>
          <cell r="AB45">
            <v>2.4959637785038216</v>
          </cell>
          <cell r="AC45">
            <v>2.4392052334479857</v>
          </cell>
          <cell r="AD45">
            <v>2.3386950979959957</v>
          </cell>
          <cell r="AE45">
            <v>2.3103955399373803</v>
          </cell>
        </row>
        <row r="46">
          <cell r="G46" t="str">
            <v>RegionAssemblyNew</v>
          </cell>
          <cell r="H46" t="str">
            <v>Com</v>
          </cell>
          <cell r="I46" t="str">
            <v>Assembly</v>
          </cell>
          <cell r="J46" t="str">
            <v>New</v>
          </cell>
          <cell r="K46" t="str">
            <v>Millions SqFt</v>
          </cell>
          <cell r="L46">
            <v>3.1854829351393543</v>
          </cell>
          <cell r="M46">
            <v>3.1699057451518957</v>
          </cell>
          <cell r="N46">
            <v>2.2628528186826316</v>
          </cell>
          <cell r="O46">
            <v>2.6023617076700645</v>
          </cell>
          <cell r="P46">
            <v>2.2919684786454506</v>
          </cell>
          <cell r="Q46">
            <v>2.1556450092355899</v>
          </cell>
          <cell r="R46">
            <v>1.4820394508668711</v>
          </cell>
          <cell r="S46">
            <v>1.5603361472368396</v>
          </cell>
          <cell r="T46">
            <v>2.3546097038898557</v>
          </cell>
          <cell r="U46">
            <v>3.2740386396924066</v>
          </cell>
          <cell r="V46">
            <v>3.6241751874536021</v>
          </cell>
          <cell r="W46">
            <v>4.4420137300219826</v>
          </cell>
          <cell r="X46">
            <v>5.8224273473135861</v>
          </cell>
          <cell r="Y46">
            <v>6.4604400946422142</v>
          </cell>
          <cell r="Z46">
            <v>6.9014803298142597</v>
          </cell>
          <cell r="AA46">
            <v>6.748515751490312</v>
          </cell>
          <cell r="AB46">
            <v>6.4364694734288266</v>
          </cell>
          <cell r="AC46">
            <v>6.3053235195290611</v>
          </cell>
          <cell r="AD46">
            <v>6.2236620394663484</v>
          </cell>
          <cell r="AE46">
            <v>6.0386522880717726</v>
          </cell>
        </row>
        <row r="47">
          <cell r="G47" t="str">
            <v>RegionOtherNew</v>
          </cell>
          <cell r="H47" t="str">
            <v>Com</v>
          </cell>
          <cell r="I47" t="str">
            <v>Other</v>
          </cell>
          <cell r="J47" t="str">
            <v>New</v>
          </cell>
          <cell r="K47" t="str">
            <v>Millions SqFt</v>
          </cell>
          <cell r="L47">
            <v>12.863107129152304</v>
          </cell>
          <cell r="M47">
            <v>10.7220378193485</v>
          </cell>
          <cell r="N47">
            <v>10.142128438066296</v>
          </cell>
          <cell r="O47">
            <v>9.4611923499879236</v>
          </cell>
          <cell r="P47">
            <v>7.3638556881373223</v>
          </cell>
          <cell r="Q47">
            <v>8.1591439254269407</v>
          </cell>
          <cell r="R47">
            <v>7.9603673258815011</v>
          </cell>
          <cell r="S47">
            <v>8.6026166911432824</v>
          </cell>
          <cell r="T47">
            <v>9.3207800366095146</v>
          </cell>
          <cell r="U47">
            <v>9.0572786632714859</v>
          </cell>
          <cell r="V47">
            <v>10.184423730877143</v>
          </cell>
          <cell r="W47">
            <v>10.787657533789663</v>
          </cell>
          <cell r="X47">
            <v>11.005378574708409</v>
          </cell>
          <cell r="Y47">
            <v>10.267063981307951</v>
          </cell>
          <cell r="Z47">
            <v>11.027475862918971</v>
          </cell>
          <cell r="AA47">
            <v>9.9609233822623686</v>
          </cell>
          <cell r="AB47">
            <v>10.340047869658916</v>
          </cell>
          <cell r="AC47">
            <v>9.8383849729989699</v>
          </cell>
          <cell r="AD47">
            <v>9.3282989614436094</v>
          </cell>
          <cell r="AE47">
            <v>9.0355729282982153</v>
          </cell>
        </row>
        <row r="48">
          <cell r="G48" t="str">
            <v>RegionLarge OffStock 2016</v>
          </cell>
          <cell r="H48" t="str">
            <v>Com</v>
          </cell>
          <cell r="I48" t="str">
            <v>Large Off</v>
          </cell>
          <cell r="J48" t="str">
            <v>Stock 2016</v>
          </cell>
          <cell r="K48" t="str">
            <v>Millions SqFt</v>
          </cell>
          <cell r="L48">
            <v>380.08828477966154</v>
          </cell>
          <cell r="M48">
            <v>378.94801992532251</v>
          </cell>
          <cell r="N48">
            <v>377.81117586554655</v>
          </cell>
          <cell r="O48">
            <v>376.67774233794995</v>
          </cell>
          <cell r="P48">
            <v>375.54770911093607</v>
          </cell>
          <cell r="Q48">
            <v>374.42106598360328</v>
          </cell>
          <cell r="R48">
            <v>373.29780278565244</v>
          </cell>
          <cell r="S48">
            <v>372.17790937729552</v>
          </cell>
          <cell r="T48">
            <v>371.06137564916361</v>
          </cell>
          <cell r="U48">
            <v>369.94819152221612</v>
          </cell>
          <cell r="V48">
            <v>368.83834694764948</v>
          </cell>
          <cell r="W48">
            <v>367.73183190680658</v>
          </cell>
          <cell r="X48">
            <v>366.62863641108612</v>
          </cell>
          <cell r="Y48">
            <v>365.52875050185287</v>
          </cell>
          <cell r="Z48">
            <v>364.43216425034728</v>
          </cell>
          <cell r="AA48">
            <v>363.33886775759629</v>
          </cell>
          <cell r="AB48">
            <v>362.24885115432346</v>
          </cell>
          <cell r="AC48">
            <v>361.16210460086046</v>
          </cell>
          <cell r="AD48">
            <v>360.07861828705791</v>
          </cell>
          <cell r="AE48">
            <v>358.99838243219671</v>
          </cell>
        </row>
        <row r="49">
          <cell r="G49" t="str">
            <v>RegionMedium OffStock 2016</v>
          </cell>
          <cell r="H49" t="str">
            <v>Com</v>
          </cell>
          <cell r="I49" t="str">
            <v>Medium Off</v>
          </cell>
          <cell r="J49" t="str">
            <v>Stock 2016</v>
          </cell>
          <cell r="K49" t="str">
            <v>Millions SqFt</v>
          </cell>
          <cell r="L49">
            <v>190.73687138333023</v>
          </cell>
          <cell r="M49">
            <v>190.16466076918024</v>
          </cell>
          <cell r="N49">
            <v>189.59416678687271</v>
          </cell>
          <cell r="O49">
            <v>189.02538428651209</v>
          </cell>
          <cell r="P49">
            <v>188.45830813365254</v>
          </cell>
          <cell r="Q49">
            <v>187.89293320925157</v>
          </cell>
          <cell r="R49">
            <v>187.32925440962381</v>
          </cell>
          <cell r="S49">
            <v>186.76726664639497</v>
          </cell>
          <cell r="T49">
            <v>186.20696484645578</v>
          </cell>
          <cell r="U49">
            <v>185.64834395191642</v>
          </cell>
          <cell r="V49">
            <v>185.09139892006067</v>
          </cell>
          <cell r="W49">
            <v>184.5361247233005</v>
          </cell>
          <cell r="X49">
            <v>183.98251634913058</v>
          </cell>
          <cell r="Y49">
            <v>183.43056880008319</v>
          </cell>
          <cell r="Z49">
            <v>182.88027709368296</v>
          </cell>
          <cell r="AA49">
            <v>182.33163626240187</v>
          </cell>
          <cell r="AB49">
            <v>181.78464135361469</v>
          </cell>
          <cell r="AC49">
            <v>181.23928742955383</v>
          </cell>
          <cell r="AD49">
            <v>180.69556956726515</v>
          </cell>
          <cell r="AE49">
            <v>180.15348285856339</v>
          </cell>
        </row>
        <row r="50">
          <cell r="G50" t="str">
            <v>RegionSmall OffStock 2016</v>
          </cell>
          <cell r="H50" t="str">
            <v>Com</v>
          </cell>
          <cell r="I50" t="str">
            <v>Small Off</v>
          </cell>
          <cell r="J50" t="str">
            <v>Stock 2016</v>
          </cell>
          <cell r="K50" t="str">
            <v>Millions SqFt</v>
          </cell>
          <cell r="L50">
            <v>184.0913556049378</v>
          </cell>
          <cell r="M50">
            <v>183.53908153812301</v>
          </cell>
          <cell r="N50">
            <v>182.98846429350866</v>
          </cell>
          <cell r="O50">
            <v>182.43949890062811</v>
          </cell>
          <cell r="P50">
            <v>181.89218040392623</v>
          </cell>
          <cell r="Q50">
            <v>181.34650386271446</v>
          </cell>
          <cell r="R50">
            <v>180.80246435112633</v>
          </cell>
          <cell r="S50">
            <v>180.26005695807294</v>
          </cell>
          <cell r="T50">
            <v>179.71927678719871</v>
          </cell>
          <cell r="U50">
            <v>179.18011895683713</v>
          </cell>
          <cell r="V50">
            <v>178.64257859996661</v>
          </cell>
          <cell r="W50">
            <v>178.10665086416668</v>
          </cell>
          <cell r="X50">
            <v>177.57233091157423</v>
          </cell>
          <cell r="Y50">
            <v>177.03961391883951</v>
          </cell>
          <cell r="Z50">
            <v>176.50849507708296</v>
          </cell>
          <cell r="AA50">
            <v>175.97896959185172</v>
          </cell>
          <cell r="AB50">
            <v>175.45103268307616</v>
          </cell>
          <cell r="AC50">
            <v>174.92467958502692</v>
          </cell>
          <cell r="AD50">
            <v>174.39990554627184</v>
          </cell>
          <cell r="AE50">
            <v>173.87670582963304</v>
          </cell>
        </row>
        <row r="51">
          <cell r="G51" t="str">
            <v>RegionXLarge RetStock 2016</v>
          </cell>
          <cell r="H51" t="str">
            <v>Com</v>
          </cell>
          <cell r="I51" t="str">
            <v>XLarge Ret</v>
          </cell>
          <cell r="J51" t="str">
            <v>Stock 2016</v>
          </cell>
          <cell r="K51" t="str">
            <v>Millions SqFt</v>
          </cell>
          <cell r="L51">
            <v>138.35734062238015</v>
          </cell>
          <cell r="M51">
            <v>137.7208968555172</v>
          </cell>
          <cell r="N51">
            <v>137.08738072998179</v>
          </cell>
          <cell r="O51">
            <v>136.45677877862389</v>
          </cell>
          <cell r="P51">
            <v>135.8290775962422</v>
          </cell>
          <cell r="Q51">
            <v>135.20426383929947</v>
          </cell>
          <cell r="R51">
            <v>134.5823242256387</v>
          </cell>
          <cell r="S51">
            <v>133.96324553420075</v>
          </cell>
          <cell r="T51">
            <v>133.34701460474344</v>
          </cell>
          <cell r="U51">
            <v>132.73361833756161</v>
          </cell>
          <cell r="V51">
            <v>132.12304369320884</v>
          </cell>
          <cell r="W51">
            <v>131.51527769222005</v>
          </cell>
          <cell r="X51">
            <v>130.91030741483584</v>
          </cell>
          <cell r="Y51">
            <v>130.3081200007276</v>
          </cell>
          <cell r="Z51">
            <v>129.70870264872423</v>
          </cell>
          <cell r="AA51">
            <v>129.11204261654012</v>
          </cell>
          <cell r="AB51">
            <v>128.51812722050403</v>
          </cell>
          <cell r="AC51">
            <v>127.92694383528971</v>
          </cell>
          <cell r="AD51">
            <v>127.33847989364737</v>
          </cell>
          <cell r="AE51">
            <v>126.75272288613657</v>
          </cell>
        </row>
        <row r="52">
          <cell r="G52" t="str">
            <v>RegionLarge RetStock 2016</v>
          </cell>
          <cell r="H52" t="str">
            <v>Com</v>
          </cell>
          <cell r="I52" t="str">
            <v>Large Ret</v>
          </cell>
          <cell r="J52" t="str">
            <v>Stock 2016</v>
          </cell>
          <cell r="K52" t="str">
            <v>Millions SqFt</v>
          </cell>
          <cell r="L52">
            <v>208.9574509880029</v>
          </cell>
          <cell r="M52">
            <v>207.99624671345808</v>
          </cell>
          <cell r="N52">
            <v>207.03946397857615</v>
          </cell>
          <cell r="O52">
            <v>206.0870824442747</v>
          </cell>
          <cell r="P52">
            <v>205.13908186503102</v>
          </cell>
          <cell r="Q52">
            <v>204.1954420884519</v>
          </cell>
          <cell r="R52">
            <v>203.25614305484498</v>
          </cell>
          <cell r="S52">
            <v>202.32116479679266</v>
          </cell>
          <cell r="T52">
            <v>201.3904874387274</v>
          </cell>
          <cell r="U52">
            <v>200.46409119650929</v>
          </cell>
          <cell r="V52">
            <v>199.54195637700533</v>
          </cell>
          <cell r="W52">
            <v>198.62406337767112</v>
          </cell>
          <cell r="X52">
            <v>197.71039268613379</v>
          </cell>
          <cell r="Y52">
            <v>196.8009248797776</v>
          </cell>
          <cell r="Z52">
            <v>195.8956406253306</v>
          </cell>
          <cell r="AA52">
            <v>194.99452067845405</v>
          </cell>
          <cell r="AB52">
            <v>194.09754588333314</v>
          </cell>
          <cell r="AC52">
            <v>193.20469717226982</v>
          </cell>
          <cell r="AD52">
            <v>192.31595556527733</v>
          </cell>
          <cell r="AE52">
            <v>191.43130216967708</v>
          </cell>
        </row>
        <row r="53">
          <cell r="G53" t="str">
            <v>RegionMedium RetStock 2016</v>
          </cell>
          <cell r="H53" t="str">
            <v>Com</v>
          </cell>
          <cell r="I53" t="str">
            <v>Medium Ret</v>
          </cell>
          <cell r="J53" t="str">
            <v>Stock 2016</v>
          </cell>
          <cell r="K53" t="str">
            <v>Millions SqFt</v>
          </cell>
          <cell r="L53">
            <v>97.115689913224898</v>
          </cell>
          <cell r="M53">
            <v>96.668957739624062</v>
          </cell>
          <cell r="N53">
            <v>96.224280534021787</v>
          </cell>
          <cell r="O53">
            <v>95.781648843565293</v>
          </cell>
          <cell r="P53">
            <v>95.34105325888487</v>
          </cell>
          <cell r="Q53">
            <v>94.902484413894001</v>
          </cell>
          <cell r="R53">
            <v>94.465932985590086</v>
          </cell>
          <cell r="S53">
            <v>94.031389693856369</v>
          </cell>
          <cell r="T53">
            <v>93.598845301264618</v>
          </cell>
          <cell r="U53">
            <v>93.168290612878806</v>
          </cell>
          <cell r="V53">
            <v>92.739716476059556</v>
          </cell>
          <cell r="W53">
            <v>92.313113780269674</v>
          </cell>
          <cell r="X53">
            <v>91.888473456880433</v>
          </cell>
          <cell r="Y53">
            <v>91.465786478978771</v>
          </cell>
          <cell r="Z53">
            <v>91.045043861175472</v>
          </cell>
          <cell r="AA53">
            <v>90.626236659414062</v>
          </cell>
          <cell r="AB53">
            <v>90.209355970780734</v>
          </cell>
          <cell r="AC53">
            <v>89.794392933315152</v>
          </cell>
          <cell r="AD53">
            <v>89.381338725821905</v>
          </cell>
          <cell r="AE53">
            <v>88.97018456768312</v>
          </cell>
        </row>
        <row r="54">
          <cell r="G54" t="str">
            <v>RegionSmall RetStock 2016</v>
          </cell>
          <cell r="H54" t="str">
            <v>Com</v>
          </cell>
          <cell r="I54" t="str">
            <v>Small Ret</v>
          </cell>
          <cell r="J54" t="str">
            <v>Stock 2016</v>
          </cell>
          <cell r="K54" t="str">
            <v>Millions SqFt</v>
          </cell>
          <cell r="L54">
            <v>109.47966092768364</v>
          </cell>
          <cell r="M54">
            <v>108.97605448741629</v>
          </cell>
          <cell r="N54">
            <v>108.47476463677417</v>
          </cell>
          <cell r="O54">
            <v>107.975780719445</v>
          </cell>
          <cell r="P54">
            <v>107.47909212813555</v>
          </cell>
          <cell r="Q54">
            <v>106.98468830434612</v>
          </cell>
          <cell r="R54">
            <v>106.49255873814613</v>
          </cell>
          <cell r="S54">
            <v>106.00269296795065</v>
          </cell>
          <cell r="T54">
            <v>105.51508058029808</v>
          </cell>
          <cell r="U54">
            <v>105.0297112096287</v>
          </cell>
          <cell r="V54">
            <v>104.54657453806439</v>
          </cell>
          <cell r="W54">
            <v>104.0656602951893</v>
          </cell>
          <cell r="X54">
            <v>103.58695825783141</v>
          </cell>
          <cell r="Y54">
            <v>103.11045824984539</v>
          </cell>
          <cell r="Z54">
            <v>102.6361501418961</v>
          </cell>
          <cell r="AA54">
            <v>102.16402385124337</v>
          </cell>
          <cell r="AB54">
            <v>101.69406934152764</v>
          </cell>
          <cell r="AC54">
            <v>101.2262766225566</v>
          </cell>
          <cell r="AD54">
            <v>100.76063575009285</v>
          </cell>
          <cell r="AE54">
            <v>100.29713682564241</v>
          </cell>
        </row>
        <row r="55">
          <cell r="G55" t="str">
            <v>RegionSchool K-12Stock 2016</v>
          </cell>
          <cell r="H55" t="str">
            <v>Com</v>
          </cell>
          <cell r="I55" t="str">
            <v>School K-12</v>
          </cell>
          <cell r="J55" t="str">
            <v>Stock 2016</v>
          </cell>
          <cell r="K55" t="str">
            <v>Millions SqFt</v>
          </cell>
          <cell r="L55">
            <v>241.11763975818661</v>
          </cell>
          <cell r="M55">
            <v>240.12905743517803</v>
          </cell>
          <cell r="N55">
            <v>239.14452829969383</v>
          </cell>
          <cell r="O55">
            <v>238.16403573366509</v>
          </cell>
          <cell r="P55">
            <v>237.18756318715711</v>
          </cell>
          <cell r="Q55">
            <v>236.21509417808971</v>
          </cell>
          <cell r="R55">
            <v>235.24661229195956</v>
          </cell>
          <cell r="S55">
            <v>234.28210118156252</v>
          </cell>
          <cell r="T55">
            <v>233.32154456671807</v>
          </cell>
          <cell r="U55">
            <v>232.36492623399457</v>
          </cell>
          <cell r="V55">
            <v>231.41223003643518</v>
          </cell>
          <cell r="W55">
            <v>230.46343989328579</v>
          </cell>
          <cell r="X55">
            <v>229.51853978972335</v>
          </cell>
          <cell r="Y55">
            <v>228.57751377658545</v>
          </cell>
          <cell r="Z55">
            <v>227.64034597010144</v>
          </cell>
          <cell r="AA55">
            <v>226.70702055162403</v>
          </cell>
          <cell r="AB55">
            <v>225.77752176736234</v>
          </cell>
          <cell r="AC55">
            <v>224.85183392811618</v>
          </cell>
          <cell r="AD55">
            <v>223.92994140901092</v>
          </cell>
          <cell r="AE55">
            <v>223.01182864923393</v>
          </cell>
        </row>
        <row r="56">
          <cell r="G56" t="str">
            <v>RegionUniversityStock 2016</v>
          </cell>
          <cell r="H56" t="str">
            <v>Com</v>
          </cell>
          <cell r="I56" t="str">
            <v>University</v>
          </cell>
          <cell r="J56" t="str">
            <v>Stock 2016</v>
          </cell>
          <cell r="K56" t="str">
            <v>Millions SqFt</v>
          </cell>
          <cell r="L56">
            <v>122.15340627232256</v>
          </cell>
          <cell r="M56">
            <v>121.65257730660603</v>
          </cell>
          <cell r="N56">
            <v>121.15380173964894</v>
          </cell>
          <cell r="O56">
            <v>120.65707115251638</v>
          </cell>
          <cell r="P56">
            <v>120.16237716079107</v>
          </cell>
          <cell r="Q56">
            <v>119.66971141443182</v>
          </cell>
          <cell r="R56">
            <v>119.17906559763266</v>
          </cell>
          <cell r="S56">
            <v>118.69043142868237</v>
          </cell>
          <cell r="T56">
            <v>118.20380065982476</v>
          </cell>
          <cell r="U56">
            <v>117.71916507711948</v>
          </cell>
          <cell r="V56">
            <v>117.23651650030328</v>
          </cell>
          <cell r="W56">
            <v>116.75584678265207</v>
          </cell>
          <cell r="X56">
            <v>116.27714781084319</v>
          </cell>
          <cell r="Y56">
            <v>115.80041150481873</v>
          </cell>
          <cell r="Z56">
            <v>115.32562981764897</v>
          </cell>
          <cell r="AA56">
            <v>114.8527947353966</v>
          </cell>
          <cell r="AB56">
            <v>114.38189827698147</v>
          </cell>
          <cell r="AC56">
            <v>113.91293249404585</v>
          </cell>
          <cell r="AD56">
            <v>113.44588947082025</v>
          </cell>
          <cell r="AE56">
            <v>112.98076132398991</v>
          </cell>
        </row>
        <row r="57">
          <cell r="G57" t="str">
            <v>RegionWarehouseStock 2016</v>
          </cell>
          <cell r="H57" t="str">
            <v>Com</v>
          </cell>
          <cell r="I57" t="str">
            <v>Warehouse</v>
          </cell>
          <cell r="J57" t="str">
            <v>Stock 2016</v>
          </cell>
          <cell r="K57" t="str">
            <v>Millions SqFt</v>
          </cell>
          <cell r="L57">
            <v>448.69829599576161</v>
          </cell>
          <cell r="M57">
            <v>447.03811230057732</v>
          </cell>
          <cell r="N57">
            <v>445.3840712850652</v>
          </cell>
          <cell r="O57">
            <v>443.73615022131042</v>
          </cell>
          <cell r="P57">
            <v>442.09432646549152</v>
          </cell>
          <cell r="Q57">
            <v>440.45857745756916</v>
          </cell>
          <cell r="R57">
            <v>438.82888072097626</v>
          </cell>
          <cell r="S57">
            <v>437.2052138623086</v>
          </cell>
          <cell r="T57">
            <v>435.58755457101802</v>
          </cell>
          <cell r="U57">
            <v>433.97588061910528</v>
          </cell>
          <cell r="V57">
            <v>432.37016986081449</v>
          </cell>
          <cell r="W57">
            <v>430.77040023232951</v>
          </cell>
          <cell r="X57">
            <v>429.17654975146979</v>
          </cell>
          <cell r="Y57">
            <v>427.58859651738936</v>
          </cell>
          <cell r="Z57">
            <v>426.00651871027503</v>
          </cell>
          <cell r="AA57">
            <v>424.43029459104702</v>
          </cell>
          <cell r="AB57">
            <v>422.85990250106011</v>
          </cell>
          <cell r="AC57">
            <v>421.2953208618062</v>
          </cell>
          <cell r="AD57">
            <v>419.73652817461749</v>
          </cell>
          <cell r="AE57">
            <v>418.18350302037135</v>
          </cell>
        </row>
        <row r="58">
          <cell r="G58" t="str">
            <v>RegionSupermarketStock 2016</v>
          </cell>
          <cell r="H58" t="str">
            <v>Com</v>
          </cell>
          <cell r="I58" t="str">
            <v>Supermarket</v>
          </cell>
          <cell r="J58" t="str">
            <v>Stock 2016</v>
          </cell>
          <cell r="K58" t="str">
            <v>Millions SqFt</v>
          </cell>
          <cell r="L58">
            <v>53.720939527021244</v>
          </cell>
          <cell r="M58">
            <v>53.237451071278059</v>
          </cell>
          <cell r="N58">
            <v>52.758314011636557</v>
          </cell>
          <cell r="O58">
            <v>52.283489185531828</v>
          </cell>
          <cell r="P58">
            <v>51.812937782862043</v>
          </cell>
          <cell r="Q58">
            <v>51.346621342816277</v>
          </cell>
          <cell r="R58">
            <v>50.884501750730934</v>
          </cell>
          <cell r="S58">
            <v>50.426541234974358</v>
          </cell>
          <cell r="T58">
            <v>49.97270236385959</v>
          </cell>
          <cell r="U58">
            <v>49.522948042584851</v>
          </cell>
          <cell r="V58">
            <v>49.077241510201581</v>
          </cell>
          <cell r="W58">
            <v>48.635546336609778</v>
          </cell>
          <cell r="X58">
            <v>48.197826419580288</v>
          </cell>
          <cell r="Y58">
            <v>47.76404598180406</v>
          </cell>
          <cell r="Z58">
            <v>47.33416956796782</v>
          </cell>
          <cell r="AA58">
            <v>46.908162041856116</v>
          </cell>
          <cell r="AB58">
            <v>46.485988583479411</v>
          </cell>
          <cell r="AC58">
            <v>46.067614686228097</v>
          </cell>
          <cell r="AD58">
            <v>45.653006154052044</v>
          </cell>
          <cell r="AE58">
            <v>45.242129098665572</v>
          </cell>
        </row>
        <row r="59">
          <cell r="G59" t="str">
            <v>RegionMiniMartStock 2016</v>
          </cell>
          <cell r="H59" t="str">
            <v>Com</v>
          </cell>
          <cell r="I59" t="str">
            <v>MiniMart</v>
          </cell>
          <cell r="J59" t="str">
            <v>Stock 2016</v>
          </cell>
          <cell r="K59" t="str">
            <v>Millions SqFt</v>
          </cell>
          <cell r="L59">
            <v>22.491017060912501</v>
          </cell>
          <cell r="M59">
            <v>22.384859460384995</v>
          </cell>
          <cell r="N59">
            <v>22.279202923731983</v>
          </cell>
          <cell r="O59">
            <v>22.174045085931969</v>
          </cell>
          <cell r="P59">
            <v>22.069383593126368</v>
          </cell>
          <cell r="Q59">
            <v>21.965216102566814</v>
          </cell>
          <cell r="R59">
            <v>21.8615402825627</v>
          </cell>
          <cell r="S59">
            <v>21.758353812429004</v>
          </cell>
          <cell r="T59">
            <v>21.655654382434342</v>
          </cell>
          <cell r="U59">
            <v>21.553439693749251</v>
          </cell>
          <cell r="V59">
            <v>21.451707458394754</v>
          </cell>
          <cell r="W59">
            <v>21.350455399191134</v>
          </cell>
          <cell r="X59">
            <v>21.249681249706953</v>
          </cell>
          <cell r="Y59">
            <v>21.149382754208336</v>
          </cell>
          <cell r="Z59">
            <v>21.049557667608472</v>
          </cell>
          <cell r="AA59">
            <v>20.950203755417366</v>
          </cell>
          <cell r="AB59">
            <v>20.851318793691796</v>
          </cell>
          <cell r="AC59">
            <v>20.75290056898557</v>
          </cell>
          <cell r="AD59">
            <v>20.654946878299963</v>
          </cell>
          <cell r="AE59">
            <v>20.557455529034385</v>
          </cell>
        </row>
        <row r="60">
          <cell r="G60" t="str">
            <v>RegionRestaurantStock 2016</v>
          </cell>
          <cell r="H60" t="str">
            <v>Com</v>
          </cell>
          <cell r="I60" t="str">
            <v>Restaurant</v>
          </cell>
          <cell r="J60" t="str">
            <v>Stock 2016</v>
          </cell>
          <cell r="K60" t="str">
            <v>Millions SqFt</v>
          </cell>
          <cell r="L60">
            <v>51.550857208753726</v>
          </cell>
          <cell r="M60">
            <v>51.307537162728408</v>
          </cell>
          <cell r="N60">
            <v>51.065365587320336</v>
          </cell>
          <cell r="O60">
            <v>50.824337061748189</v>
          </cell>
          <cell r="P60">
            <v>50.584446190816735</v>
          </cell>
          <cell r="Q60">
            <v>50.345687604796083</v>
          </cell>
          <cell r="R60">
            <v>50.108055959301453</v>
          </cell>
          <cell r="S60">
            <v>49.871545935173543</v>
          </cell>
          <cell r="T60">
            <v>49.636152238359529</v>
          </cell>
          <cell r="U60">
            <v>49.40186959979448</v>
          </cell>
          <cell r="V60">
            <v>49.168692775283453</v>
          </cell>
          <cell r="W60">
            <v>48.936616545384119</v>
          </cell>
          <cell r="X60">
            <v>48.705635715289908</v>
          </cell>
          <cell r="Y60">
            <v>48.475745114713739</v>
          </cell>
          <cell r="Z60">
            <v>48.246939597772297</v>
          </cell>
          <cell r="AA60">
            <v>48.019214042870807</v>
          </cell>
          <cell r="AB60">
            <v>47.792563352588466</v>
          </cell>
          <cell r="AC60">
            <v>47.56698245356425</v>
          </cell>
          <cell r="AD60">
            <v>47.342466296383435</v>
          </cell>
          <cell r="AE60">
            <v>47.119009855464505</v>
          </cell>
        </row>
        <row r="61">
          <cell r="G61" t="str">
            <v>RegionLodgingStock 2016</v>
          </cell>
          <cell r="H61" t="str">
            <v>Com</v>
          </cell>
          <cell r="I61" t="str">
            <v>Lodging</v>
          </cell>
          <cell r="J61" t="str">
            <v>Stock 2016</v>
          </cell>
          <cell r="K61" t="str">
            <v>Millions SqFt</v>
          </cell>
          <cell r="L61">
            <v>170.15189589049527</v>
          </cell>
          <cell r="M61">
            <v>169.74353134035809</v>
          </cell>
          <cell r="N61">
            <v>169.33614686514122</v>
          </cell>
          <cell r="O61">
            <v>168.92974011266489</v>
          </cell>
          <cell r="P61">
            <v>168.52430873639449</v>
          </cell>
          <cell r="Q61">
            <v>168.11985039542716</v>
          </cell>
          <cell r="R61">
            <v>167.71636275447813</v>
          </cell>
          <cell r="S61">
            <v>167.31384348386743</v>
          </cell>
          <cell r="T61">
            <v>166.91229025950614</v>
          </cell>
          <cell r="U61">
            <v>166.51170076288332</v>
          </cell>
          <cell r="V61">
            <v>166.11207268105238</v>
          </cell>
          <cell r="W61">
            <v>165.7134037066179</v>
          </cell>
          <cell r="X61">
            <v>165.31569153772202</v>
          </cell>
          <cell r="Y61">
            <v>164.91893387803151</v>
          </cell>
          <cell r="Z61">
            <v>164.52312843672422</v>
          </cell>
          <cell r="AA61">
            <v>164.12827292847609</v>
          </cell>
          <cell r="AB61">
            <v>163.73436507344778</v>
          </cell>
          <cell r="AC61">
            <v>163.3414025972715</v>
          </cell>
          <cell r="AD61">
            <v>162.94938323103807</v>
          </cell>
          <cell r="AE61">
            <v>162.55830471128357</v>
          </cell>
        </row>
        <row r="62">
          <cell r="G62" t="str">
            <v>RegionHospitalStock 2016</v>
          </cell>
          <cell r="H62" t="str">
            <v>Com</v>
          </cell>
          <cell r="I62" t="str">
            <v>Hospital</v>
          </cell>
          <cell r="J62" t="str">
            <v>Stock 2016</v>
          </cell>
          <cell r="K62" t="str">
            <v>Millions SqFt</v>
          </cell>
          <cell r="L62">
            <v>105.02947953487826</v>
          </cell>
          <cell r="M62">
            <v>104.80891762785501</v>
          </cell>
          <cell r="N62">
            <v>104.58881890083651</v>
          </cell>
          <cell r="O62">
            <v>104.36918238114475</v>
          </cell>
          <cell r="P62">
            <v>104.15000709814436</v>
          </cell>
          <cell r="Q62">
            <v>103.93129208323826</v>
          </cell>
          <cell r="R62">
            <v>103.71303636986346</v>
          </cell>
          <cell r="S62">
            <v>103.49523899348674</v>
          </cell>
          <cell r="T62">
            <v>103.27789899160042</v>
          </cell>
          <cell r="U62">
            <v>103.06101540371807</v>
          </cell>
          <cell r="V62">
            <v>102.84458727137024</v>
          </cell>
          <cell r="W62">
            <v>102.62861363810038</v>
          </cell>
          <cell r="X62">
            <v>102.41309354946036</v>
          </cell>
          <cell r="Y62">
            <v>102.19802605300649</v>
          </cell>
          <cell r="Z62">
            <v>101.98341019829519</v>
          </cell>
          <cell r="AA62">
            <v>101.76924503687877</v>
          </cell>
          <cell r="AB62">
            <v>101.55552962230132</v>
          </cell>
          <cell r="AC62">
            <v>101.3422630100945</v>
          </cell>
          <cell r="AD62">
            <v>101.1294442577733</v>
          </cell>
          <cell r="AE62">
            <v>100.91707242483197</v>
          </cell>
        </row>
        <row r="63">
          <cell r="G63" t="str">
            <v>RegionResidential CareStock 2016</v>
          </cell>
          <cell r="H63" t="str">
            <v>Com</v>
          </cell>
          <cell r="I63" t="str">
            <v>Residential Care</v>
          </cell>
          <cell r="J63" t="str">
            <v>Stock 2016</v>
          </cell>
          <cell r="K63" t="str">
            <v>Millions SqFt</v>
          </cell>
          <cell r="L63">
            <v>128.74820917277606</v>
          </cell>
          <cell r="M63">
            <v>128.43921347076139</v>
          </cell>
          <cell r="N63">
            <v>128.1309593584316</v>
          </cell>
          <cell r="O63">
            <v>127.82344505597135</v>
          </cell>
          <cell r="P63">
            <v>127.51666878783702</v>
          </cell>
          <cell r="Q63">
            <v>127.21062878274621</v>
          </cell>
          <cell r="R63">
            <v>126.90532327366765</v>
          </cell>
          <cell r="S63">
            <v>126.60075049781085</v>
          </cell>
          <cell r="T63">
            <v>126.29690869661611</v>
          </cell>
          <cell r="U63">
            <v>125.99379611574425</v>
          </cell>
          <cell r="V63">
            <v>125.69141100506647</v>
          </cell>
          <cell r="W63">
            <v>125.3897516186543</v>
          </cell>
          <cell r="X63">
            <v>125.08881621476955</v>
          </cell>
          <cell r="Y63">
            <v>124.78860305585408</v>
          </cell>
          <cell r="Z63">
            <v>124.48911040852005</v>
          </cell>
          <cell r="AA63">
            <v>124.1903365435396</v>
          </cell>
          <cell r="AB63">
            <v>123.8922797358351</v>
          </cell>
          <cell r="AC63">
            <v>123.59493826446912</v>
          </cell>
          <cell r="AD63">
            <v>123.29831041263438</v>
          </cell>
          <cell r="AE63">
            <v>123.00239446764408</v>
          </cell>
        </row>
        <row r="64">
          <cell r="G64" t="str">
            <v>RegionAssemblyStock 2016</v>
          </cell>
          <cell r="H64" t="str">
            <v>Com</v>
          </cell>
          <cell r="I64" t="str">
            <v>Assembly</v>
          </cell>
          <cell r="J64" t="str">
            <v>Stock 2016</v>
          </cell>
          <cell r="K64" t="str">
            <v>Millions SqFt</v>
          </cell>
          <cell r="L64">
            <v>375.90224900649127</v>
          </cell>
          <cell r="M64">
            <v>374.21570091594884</v>
          </cell>
          <cell r="N64">
            <v>372.53671980450594</v>
          </cell>
          <cell r="O64">
            <v>370.86527172164978</v>
          </cell>
          <cell r="P64">
            <v>369.20132286919198</v>
          </cell>
          <cell r="Q64">
            <v>367.54483960058553</v>
          </cell>
          <cell r="R64">
            <v>365.89578842024423</v>
          </cell>
          <cell r="S64">
            <v>364.25413598286536</v>
          </cell>
          <cell r="T64">
            <v>362.6198490927556</v>
          </cell>
          <cell r="U64">
            <v>360.99289470315949</v>
          </cell>
          <cell r="V64">
            <v>359.37323991559134</v>
          </cell>
          <cell r="W64">
            <v>357.76085197917007</v>
          </cell>
          <cell r="X64">
            <v>356.15569828995689</v>
          </cell>
          <cell r="Y64">
            <v>354.55774639029596</v>
          </cell>
          <cell r="Z64">
            <v>352.96696396815821</v>
          </cell>
          <cell r="AA64">
            <v>351.38331885648773</v>
          </cell>
          <cell r="AB64">
            <v>349.80677903255156</v>
          </cell>
          <cell r="AC64">
            <v>348.23731261729228</v>
          </cell>
          <cell r="AD64">
            <v>346.67488787468267</v>
          </cell>
          <cell r="AE64">
            <v>345.11947321108494</v>
          </cell>
        </row>
        <row r="65">
          <cell r="G65" t="str">
            <v>RegionOtherStock 2016</v>
          </cell>
          <cell r="H65" t="str">
            <v>Com</v>
          </cell>
          <cell r="I65" t="str">
            <v>Other</v>
          </cell>
          <cell r="J65" t="str">
            <v>Stock 2016</v>
          </cell>
          <cell r="K65" t="str">
            <v>Millions SqFt</v>
          </cell>
          <cell r="L65">
            <v>342.64988330108076</v>
          </cell>
          <cell r="M65">
            <v>339.56603435137106</v>
          </cell>
          <cell r="N65">
            <v>336.50994004220871</v>
          </cell>
          <cell r="O65">
            <v>333.48135058182885</v>
          </cell>
          <cell r="P65">
            <v>330.48001842659238</v>
          </cell>
          <cell r="Q65">
            <v>327.50569826075304</v>
          </cell>
          <cell r="R65">
            <v>324.55814697640625</v>
          </cell>
          <cell r="S65">
            <v>321.63712365361863</v>
          </cell>
          <cell r="T65">
            <v>318.7423895407361</v>
          </cell>
          <cell r="U65">
            <v>315.87370803486942</v>
          </cell>
          <cell r="V65">
            <v>313.03084466255564</v>
          </cell>
          <cell r="W65">
            <v>310.21356706059254</v>
          </cell>
          <cell r="X65">
            <v>307.42164495704725</v>
          </cell>
          <cell r="Y65">
            <v>304.65485015243382</v>
          </cell>
          <cell r="Z65">
            <v>301.9129565010619</v>
          </cell>
          <cell r="AA65">
            <v>299.19573989255235</v>
          </cell>
          <cell r="AB65">
            <v>296.50297823351934</v>
          </cell>
          <cell r="AC65">
            <v>293.83445142941764</v>
          </cell>
          <cell r="AD65">
            <v>291.18994136655289</v>
          </cell>
          <cell r="AE65">
            <v>288.5692318942539</v>
          </cell>
        </row>
        <row r="66">
          <cell r="G66" t="str">
            <v>RegionIdahoStock</v>
          </cell>
          <cell r="H66" t="str">
            <v>Ag</v>
          </cell>
          <cell r="I66" t="str">
            <v>Idaho</v>
          </cell>
          <cell r="J66" t="str">
            <v>Stock</v>
          </cell>
          <cell r="K66" t="str">
            <v>% Growth</v>
          </cell>
          <cell r="L66">
            <v>0</v>
          </cell>
          <cell r="M66">
            <v>1.2504100211369894E-4</v>
          </cell>
          <cell r="N66">
            <v>1.7375879514796466E-4</v>
          </cell>
          <cell r="O66">
            <v>6.1210927779177624E-4</v>
          </cell>
          <cell r="P66">
            <v>8.8127487458086599E-4</v>
          </cell>
          <cell r="Q66">
            <v>1.1201972174019578E-3</v>
          </cell>
          <cell r="R66">
            <v>1.2717867360821197E-3</v>
          </cell>
          <cell r="S66">
            <v>1.4404642508513471E-3</v>
          </cell>
          <cell r="T66">
            <v>1.5874396385228723E-3</v>
          </cell>
          <cell r="U66">
            <v>1.7204636459112381E-3</v>
          </cell>
          <cell r="V66">
            <v>1.8289050040785739E-3</v>
          </cell>
          <cell r="W66">
            <v>1.9377539743383628E-3</v>
          </cell>
          <cell r="X66">
            <v>2.0316119038316116E-3</v>
          </cell>
          <cell r="Y66">
            <v>2.128079506222659E-3</v>
          </cell>
          <cell r="Z66">
            <v>2.2126572758413075E-3</v>
          </cell>
          <cell r="AA66">
            <v>2.2578225416429688E-3</v>
          </cell>
          <cell r="AB66">
            <v>2.3464540176612314E-3</v>
          </cell>
          <cell r="AC66">
            <v>2.414467009038601E-3</v>
          </cell>
          <cell r="AD66">
            <v>2.4848313911262653E-3</v>
          </cell>
          <cell r="AE66">
            <v>2.5344116000376449E-3</v>
          </cell>
        </row>
        <row r="67">
          <cell r="G67" t="str">
            <v>RegionMontanaStock</v>
          </cell>
          <cell r="H67" t="str">
            <v>Ag</v>
          </cell>
          <cell r="I67" t="str">
            <v>Montana</v>
          </cell>
          <cell r="J67" t="str">
            <v>Stock</v>
          </cell>
          <cell r="K67" t="str">
            <v>% Growth</v>
          </cell>
          <cell r="L67">
            <v>0</v>
          </cell>
          <cell r="M67">
            <v>1.0848242299839954E-2</v>
          </cell>
          <cell r="N67">
            <v>1.059267655252486E-2</v>
          </cell>
          <cell r="O67">
            <v>1.0752312089181865E-2</v>
          </cell>
          <cell r="P67">
            <v>1.075849831916186E-2</v>
          </cell>
          <cell r="Q67">
            <v>7.6567396067742733E-3</v>
          </cell>
          <cell r="R67">
            <v>7.6532068711881581E-3</v>
          </cell>
          <cell r="S67">
            <v>7.9235679867256659E-3</v>
          </cell>
          <cell r="T67">
            <v>8.1459053842477987E-3</v>
          </cell>
          <cell r="U67">
            <v>8.331284422267278E-3</v>
          </cell>
          <cell r="V67">
            <v>8.47135846405455E-3</v>
          </cell>
          <cell r="W67">
            <v>8.5938864965773454E-3</v>
          </cell>
          <cell r="X67">
            <v>8.6866032784890905E-3</v>
          </cell>
          <cell r="Y67">
            <v>8.7680800681235963E-3</v>
          </cell>
          <cell r="Z67">
            <v>8.8271867856936984E-3</v>
          </cell>
          <cell r="AA67">
            <v>8.8355566433926322E-3</v>
          </cell>
          <cell r="AB67">
            <v>8.8812025924713319E-3</v>
          </cell>
          <cell r="AC67">
            <v>8.8979055290069331E-3</v>
          </cell>
          <cell r="AD67">
            <v>8.9118787925779024E-3</v>
          </cell>
          <cell r="AE67">
            <v>8.9015256915168112E-3</v>
          </cell>
        </row>
        <row r="68">
          <cell r="G68" t="str">
            <v>RegionOregonStock</v>
          </cell>
          <cell r="H68" t="str">
            <v>Ag</v>
          </cell>
          <cell r="I68" t="str">
            <v>Oregon</v>
          </cell>
          <cell r="J68" t="str">
            <v>Stock</v>
          </cell>
          <cell r="K68" t="str">
            <v>% Growth</v>
          </cell>
          <cell r="L68">
            <v>0</v>
          </cell>
          <cell r="M68">
            <v>1.0110842680911804E-2</v>
          </cell>
          <cell r="N68">
            <v>1.0059217505089263E-2</v>
          </cell>
          <cell r="O68">
            <v>1.1176866051223918E-2</v>
          </cell>
          <cell r="P68">
            <v>1.9803102619340613E-2</v>
          </cell>
          <cell r="Q68">
            <v>1.2078828157499845E-2</v>
          </cell>
          <cell r="R68">
            <v>1.2074917420983849E-2</v>
          </cell>
          <cell r="S68">
            <v>1.2823009061012478E-2</v>
          </cell>
          <cell r="T68">
            <v>1.2064646132519813E-2</v>
          </cell>
          <cell r="U68">
            <v>2.1359830411811859E-2</v>
          </cell>
          <cell r="V68">
            <v>1.1864279678250279E-2</v>
          </cell>
          <cell r="W68">
            <v>1.1811806122028052E-2</v>
          </cell>
          <cell r="X68">
            <v>1.1060463245174785E-2</v>
          </cell>
          <cell r="Y68">
            <v>1.1689201211084101E-2</v>
          </cell>
          <cell r="Z68">
            <v>1.9623204602959039E-2</v>
          </cell>
          <cell r="AA68">
            <v>1.2054155221857031E-2</v>
          </cell>
          <cell r="AB68">
            <v>1.2615728823653952E-2</v>
          </cell>
          <cell r="AC68">
            <v>1.2496481187089379E-2</v>
          </cell>
          <cell r="AD68">
            <v>1.1753415892541448E-2</v>
          </cell>
          <cell r="AE68">
            <v>2.0946064887122692E-2</v>
          </cell>
        </row>
        <row r="69">
          <cell r="G69" t="str">
            <v>RegionWashingtonStock</v>
          </cell>
          <cell r="H69" t="str">
            <v>Ag</v>
          </cell>
          <cell r="I69" t="str">
            <v>Washington</v>
          </cell>
          <cell r="J69" t="str">
            <v>Stock</v>
          </cell>
          <cell r="K69" t="str">
            <v>% Growth</v>
          </cell>
          <cell r="L69">
            <v>0</v>
          </cell>
          <cell r="M69">
            <v>1.0662122206220235E-2</v>
          </cell>
          <cell r="N69">
            <v>1.0931258902780325E-2</v>
          </cell>
          <cell r="O69">
            <v>1.1173761515183053E-2</v>
          </cell>
          <cell r="P69">
            <v>1.811439906784525E-2</v>
          </cell>
          <cell r="Q69">
            <v>1.2399989211989764E-2</v>
          </cell>
          <cell r="R69">
            <v>1.1939862954954953E-2</v>
          </cell>
          <cell r="S69">
            <v>1.2288284859874222E-2</v>
          </cell>
          <cell r="T69">
            <v>1.1842226253476947E-2</v>
          </cell>
          <cell r="U69">
            <v>1.9682157833762929E-2</v>
          </cell>
          <cell r="V69">
            <v>1.1592234987503456E-2</v>
          </cell>
          <cell r="W69">
            <v>1.1147844023716795E-2</v>
          </cell>
          <cell r="X69">
            <v>1.1425985017752077E-2</v>
          </cell>
          <cell r="Y69">
            <v>1.0985810035676221E-2</v>
          </cell>
          <cell r="Z69">
            <v>1.7930228386922677E-2</v>
          </cell>
          <cell r="AA69">
            <v>1.1736355426763144E-2</v>
          </cell>
          <cell r="AB69">
            <v>1.1982095590114178E-2</v>
          </cell>
          <cell r="AC69">
            <v>1.1862624139313738E-2</v>
          </cell>
          <cell r="AD69">
            <v>1.1418033334772959E-2</v>
          </cell>
          <cell r="AE69">
            <v>1.8838157687553127E-2</v>
          </cell>
        </row>
        <row r="70">
          <cell r="G70" t="str">
            <v>RegionIdahoDairyStock</v>
          </cell>
          <cell r="H70" t="str">
            <v>Dairy</v>
          </cell>
          <cell r="I70" t="str">
            <v>IdahoDairy</v>
          </cell>
          <cell r="J70" t="str">
            <v>Stock</v>
          </cell>
          <cell r="K70" t="str">
            <v>1000lbs</v>
          </cell>
          <cell r="L70">
            <v>13629.012110609969</v>
          </cell>
          <cell r="M70">
            <v>13842.907114251881</v>
          </cell>
          <cell r="N70">
            <v>14023.216425344392</v>
          </cell>
          <cell r="O70">
            <v>14266.319353967396</v>
          </cell>
          <cell r="P70">
            <v>14513.683501515552</v>
          </cell>
          <cell r="Q70">
            <v>14784.738793280194</v>
          </cell>
          <cell r="R70">
            <v>15048.82150982591</v>
          </cell>
          <cell r="S70">
            <v>15351.081667959821</v>
          </cell>
          <cell r="T70">
            <v>15676.70161423125</v>
          </cell>
          <cell r="U70">
            <v>16022.910400199034</v>
          </cell>
          <cell r="V70">
            <v>16435.334001552066</v>
          </cell>
          <cell r="W70">
            <v>16796.9270935268</v>
          </cell>
          <cell r="X70">
            <v>17186.008838626629</v>
          </cell>
          <cell r="Y70">
            <v>17509.663776252026</v>
          </cell>
          <cell r="Z70">
            <v>17849.045518001847</v>
          </cell>
          <cell r="AA70">
            <v>18205.116228437721</v>
          </cell>
          <cell r="AB70">
            <v>18533.843580326749</v>
          </cell>
          <cell r="AC70">
            <v>18839.457555909743</v>
          </cell>
          <cell r="AD70">
            <v>19186.22471079613</v>
          </cell>
          <cell r="AE70">
            <v>19422.392838095242</v>
          </cell>
        </row>
        <row r="71">
          <cell r="G71" t="str">
            <v>RegionMontanaDairyStock</v>
          </cell>
          <cell r="H71" t="str">
            <v>Dairy</v>
          </cell>
          <cell r="I71" t="str">
            <v>MontanaDairy</v>
          </cell>
          <cell r="J71" t="str">
            <v>Stock</v>
          </cell>
          <cell r="K71" t="str">
            <v>1000lbs</v>
          </cell>
          <cell r="L71">
            <v>90.74529582059904</v>
          </cell>
          <cell r="M71">
            <v>90.898327903457215</v>
          </cell>
          <cell r="N71">
            <v>90.899562515809663</v>
          </cell>
          <cell r="O71">
            <v>91.013237267303055</v>
          </cell>
          <cell r="P71">
            <v>90.967755259326395</v>
          </cell>
          <cell r="Q71">
            <v>90.924506050749457</v>
          </cell>
          <cell r="R71">
            <v>91.025748037140048</v>
          </cell>
          <cell r="S71">
            <v>91.099301040678228</v>
          </cell>
          <cell r="T71">
            <v>90.915023147811965</v>
          </cell>
          <cell r="U71">
            <v>90.903023153329187</v>
          </cell>
          <cell r="V71">
            <v>90.903850245090197</v>
          </cell>
          <cell r="W71">
            <v>90.425722269176404</v>
          </cell>
          <cell r="X71">
            <v>90.371471553755299</v>
          </cell>
          <cell r="Y71">
            <v>90.264014484201496</v>
          </cell>
          <cell r="Z71">
            <v>90.097051493259059</v>
          </cell>
          <cell r="AA71">
            <v>89.896800203896433</v>
          </cell>
          <cell r="AB71">
            <v>89.896456479218287</v>
          </cell>
          <cell r="AC71">
            <v>89.606519803497406</v>
          </cell>
          <cell r="AD71">
            <v>89.325294250105614</v>
          </cell>
          <cell r="AE71">
            <v>89.328380794090677</v>
          </cell>
        </row>
        <row r="72">
          <cell r="G72" t="str">
            <v>RegionOregonDairyStock</v>
          </cell>
          <cell r="H72" t="str">
            <v>Dairy</v>
          </cell>
          <cell r="I72" t="str">
            <v>OregonDairy</v>
          </cell>
          <cell r="J72" t="str">
            <v>Stock</v>
          </cell>
          <cell r="K72" t="str">
            <v>1000lbs</v>
          </cell>
          <cell r="L72">
            <v>2744.180551622544</v>
          </cell>
          <cell r="M72">
            <v>2781.3253166710429</v>
          </cell>
          <cell r="N72">
            <v>2817.8028576592669</v>
          </cell>
          <cell r="O72">
            <v>2852.4466796581391</v>
          </cell>
          <cell r="P72">
            <v>2887.2703785501863</v>
          </cell>
          <cell r="Q72">
            <v>2923.2055190854799</v>
          </cell>
          <cell r="R72">
            <v>2963.8717110873577</v>
          </cell>
          <cell r="S72">
            <v>3007.9285968792492</v>
          </cell>
          <cell r="T72">
            <v>3054.4586648127197</v>
          </cell>
          <cell r="U72">
            <v>3103.2723514737127</v>
          </cell>
          <cell r="V72">
            <v>3155.2926430989965</v>
          </cell>
          <cell r="W72">
            <v>3205.2179835947745</v>
          </cell>
          <cell r="X72">
            <v>3255.0785902298294</v>
          </cell>
          <cell r="Y72">
            <v>3304.2085620815005</v>
          </cell>
          <cell r="Z72">
            <v>3359.7128554945239</v>
          </cell>
          <cell r="AA72">
            <v>3405.0605171911329</v>
          </cell>
          <cell r="AB72">
            <v>3454.1652559274162</v>
          </cell>
          <cell r="AC72">
            <v>3509.2005551615157</v>
          </cell>
          <cell r="AD72">
            <v>3557.2266817524842</v>
          </cell>
          <cell r="AE72">
            <v>3610.3576666465606</v>
          </cell>
        </row>
        <row r="73">
          <cell r="G73" t="str">
            <v>RegionWashingtonDairyStock</v>
          </cell>
          <cell r="H73" t="str">
            <v>Dairy</v>
          </cell>
          <cell r="I73" t="str">
            <v>WashingtonDairy</v>
          </cell>
          <cell r="J73" t="str">
            <v>Stock</v>
          </cell>
          <cell r="K73" t="str">
            <v>1000lbs</v>
          </cell>
          <cell r="L73">
            <v>6417.4166624736044</v>
          </cell>
          <cell r="M73">
            <v>6527.6845985495966</v>
          </cell>
          <cell r="N73">
            <v>6648.0748527559354</v>
          </cell>
          <cell r="O73">
            <v>6750.5768396680051</v>
          </cell>
          <cell r="P73">
            <v>6858.9947023924851</v>
          </cell>
          <cell r="Q73">
            <v>6950.9448303929594</v>
          </cell>
          <cell r="R73">
            <v>7066.5055116132971</v>
          </cell>
          <cell r="S73">
            <v>7154.1963866384513</v>
          </cell>
          <cell r="T73">
            <v>7260.5595150379595</v>
          </cell>
          <cell r="U73">
            <v>7382.1828771063319</v>
          </cell>
          <cell r="V73">
            <v>7515.612457778011</v>
          </cell>
          <cell r="W73">
            <v>7658.3815592644387</v>
          </cell>
          <cell r="X73">
            <v>7790.6041619373518</v>
          </cell>
          <cell r="Y73">
            <v>7925.9535611829233</v>
          </cell>
          <cell r="Z73">
            <v>8056.1594585167277</v>
          </cell>
          <cell r="AA73">
            <v>8212.3413257643278</v>
          </cell>
          <cell r="AB73">
            <v>8359.6360208598271</v>
          </cell>
          <cell r="AC73">
            <v>8487.3604780857568</v>
          </cell>
          <cell r="AD73">
            <v>8647.4216609802097</v>
          </cell>
          <cell r="AE73">
            <v>8766.8632794861296</v>
          </cell>
        </row>
        <row r="74">
          <cell r="G74" t="str">
            <v>RegionMechanical PulpStock</v>
          </cell>
          <cell r="H74" t="str">
            <v>Ind</v>
          </cell>
          <cell r="I74" t="str">
            <v>Mechanical Pulp</v>
          </cell>
          <cell r="J74" t="str">
            <v>Stock</v>
          </cell>
          <cell r="K74" t="str">
            <v>Consumption (MWh)</v>
          </cell>
          <cell r="L74">
            <v>3758422.9515033378</v>
          </cell>
          <cell r="M74">
            <v>3846371.717457301</v>
          </cell>
          <cell r="N74">
            <v>3968374.1915052147</v>
          </cell>
          <cell r="O74">
            <v>4090510.3824295267</v>
          </cell>
          <cell r="P74">
            <v>4250302.9154343279</v>
          </cell>
          <cell r="Q74">
            <v>4334033.2977658212</v>
          </cell>
          <cell r="R74">
            <v>4456327.439187984</v>
          </cell>
          <cell r="S74">
            <v>4578789.2711511394</v>
          </cell>
          <cell r="T74">
            <v>4701360.1942719091</v>
          </cell>
          <cell r="U74">
            <v>4824313.8733196864</v>
          </cell>
          <cell r="V74">
            <v>4947352.2681518989</v>
          </cell>
          <cell r="W74">
            <v>5070668.4941239785</v>
          </cell>
          <cell r="X74">
            <v>5241393.4127492504</v>
          </cell>
          <cell r="Y74">
            <v>5317320.3001071345</v>
          </cell>
          <cell r="Z74">
            <v>5440661.5619043242</v>
          </cell>
          <cell r="AA74">
            <v>5564018.2642552005</v>
          </cell>
          <cell r="AB74">
            <v>5739586.1964683067</v>
          </cell>
          <cell r="AC74">
            <v>5811280.9684790904</v>
          </cell>
          <cell r="AD74">
            <v>5935246.9976805374</v>
          </cell>
          <cell r="AE74">
            <v>6059032.0232603503</v>
          </cell>
        </row>
        <row r="75">
          <cell r="G75" t="str">
            <v>RegionKraft PulpStock</v>
          </cell>
          <cell r="H75" t="str">
            <v>Ind</v>
          </cell>
          <cell r="I75" t="str">
            <v>Kraft Pulp</v>
          </cell>
          <cell r="J75" t="str">
            <v>Stock</v>
          </cell>
          <cell r="K75" t="str">
            <v>Consumption (MWh)</v>
          </cell>
          <cell r="L75">
            <v>2773481.4382196674</v>
          </cell>
          <cell r="M75">
            <v>2819427.5750914654</v>
          </cell>
          <cell r="N75">
            <v>2890507.7097985409</v>
          </cell>
          <cell r="O75">
            <v>2962071.1114584161</v>
          </cell>
          <cell r="P75">
            <v>3059997.7868964532</v>
          </cell>
          <cell r="Q75">
            <v>3103655.7832492976</v>
          </cell>
          <cell r="R75">
            <v>3174966.0896720556</v>
          </cell>
          <cell r="S75">
            <v>3246510.2403896889</v>
          </cell>
          <cell r="T75">
            <v>3318080.388651574</v>
          </cell>
          <cell r="U75">
            <v>3389982.4618547466</v>
          </cell>
          <cell r="V75">
            <v>3462131.4738810235</v>
          </cell>
          <cell r="W75">
            <v>3534707.6510694856</v>
          </cell>
          <cell r="X75">
            <v>3640109.6347631621</v>
          </cell>
          <cell r="Y75">
            <v>3679903.4172538687</v>
          </cell>
          <cell r="Z75">
            <v>3752596.4740436999</v>
          </cell>
          <cell r="AA75">
            <v>3825294.7476344355</v>
          </cell>
          <cell r="AB75">
            <v>3934104.1351328893</v>
          </cell>
          <cell r="AC75">
            <v>3971456.2759534372</v>
          </cell>
          <cell r="AD75">
            <v>4044721.9040998006</v>
          </cell>
          <cell r="AE75">
            <v>4117951.8072271077</v>
          </cell>
        </row>
        <row r="76">
          <cell r="G76" t="str">
            <v>RegionPaperStock</v>
          </cell>
          <cell r="H76" t="str">
            <v>Ind</v>
          </cell>
          <cell r="I76" t="str">
            <v>Paper</v>
          </cell>
          <cell r="J76" t="str">
            <v>Stock</v>
          </cell>
          <cell r="K76" t="str">
            <v>Consumption (MWh)</v>
          </cell>
          <cell r="L76">
            <v>909695.70566164097</v>
          </cell>
          <cell r="M76">
            <v>929841.98736761883</v>
          </cell>
          <cell r="N76">
            <v>958296.9900283548</v>
          </cell>
          <cell r="O76">
            <v>986772.46541472664</v>
          </cell>
          <cell r="P76">
            <v>1024503.2482359634</v>
          </cell>
          <cell r="Q76">
            <v>1043814.269249864</v>
          </cell>
          <cell r="R76">
            <v>1072416.0473229263</v>
          </cell>
          <cell r="S76">
            <v>1101138.6289797227</v>
          </cell>
          <cell r="T76">
            <v>1129827.4252453854</v>
          </cell>
          <cell r="U76">
            <v>1158615.4096222189</v>
          </cell>
          <cell r="V76">
            <v>1187381.7412163604</v>
          </cell>
          <cell r="W76">
            <v>1216221.7351596826</v>
          </cell>
          <cell r="X76">
            <v>1256359.4314945252</v>
          </cell>
          <cell r="Y76">
            <v>1273754.7023949234</v>
          </cell>
          <cell r="Z76">
            <v>1302557.2241510332</v>
          </cell>
          <cell r="AA76">
            <v>1331330.2770174742</v>
          </cell>
          <cell r="AB76">
            <v>1372605.4069409962</v>
          </cell>
          <cell r="AC76">
            <v>1388979.5459728481</v>
          </cell>
          <cell r="AD76">
            <v>1417876.2653212347</v>
          </cell>
          <cell r="AE76">
            <v>1446660.9687985121</v>
          </cell>
        </row>
        <row r="77">
          <cell r="G77" t="str">
            <v>RegionFoundriesStock</v>
          </cell>
          <cell r="H77" t="str">
            <v>Ind</v>
          </cell>
          <cell r="I77" t="str">
            <v>Foundries</v>
          </cell>
          <cell r="J77" t="str">
            <v>Stock</v>
          </cell>
          <cell r="K77" t="str">
            <v>Consumption (MWh)</v>
          </cell>
          <cell r="L77">
            <v>2911780.7125423807</v>
          </cell>
          <cell r="M77">
            <v>2836711.9420544878</v>
          </cell>
          <cell r="N77">
            <v>2789583.7208478679</v>
          </cell>
          <cell r="O77">
            <v>2744161.1652043322</v>
          </cell>
          <cell r="P77">
            <v>2724138.9595719618</v>
          </cell>
          <cell r="Q77">
            <v>2657920.4757749322</v>
          </cell>
          <cell r="R77">
            <v>2617304.9227809869</v>
          </cell>
          <cell r="S77">
            <v>2577672.8738681655</v>
          </cell>
          <cell r="T77">
            <v>2539470.2769998731</v>
          </cell>
          <cell r="U77">
            <v>2502370.6800410077</v>
          </cell>
          <cell r="V77">
            <v>2466328.7382904179</v>
          </cell>
          <cell r="W77">
            <v>2431145.5854122876</v>
          </cell>
          <cell r="X77">
            <v>2419072.5388772879</v>
          </cell>
          <cell r="Y77">
            <v>2363410.6682392037</v>
          </cell>
          <cell r="Z77">
            <v>2330315.4302864787</v>
          </cell>
          <cell r="AA77">
            <v>2297818.1106687617</v>
          </cell>
          <cell r="AB77">
            <v>2286770.7986101452</v>
          </cell>
          <cell r="AC77">
            <v>2234701.6262630955</v>
          </cell>
          <cell r="AD77">
            <v>2204017.8086585626</v>
          </cell>
          <cell r="AE77">
            <v>2173546.4494459317</v>
          </cell>
        </row>
        <row r="78">
          <cell r="G78" t="str">
            <v>RegionFrozen FoodStock</v>
          </cell>
          <cell r="H78" t="str">
            <v>Ind</v>
          </cell>
          <cell r="I78" t="str">
            <v>Frozen Food</v>
          </cell>
          <cell r="J78" t="str">
            <v>Stock</v>
          </cell>
          <cell r="K78" t="str">
            <v>Consumption (MWh)</v>
          </cell>
          <cell r="L78">
            <v>1237117.9151862806</v>
          </cell>
          <cell r="M78">
            <v>1256265.8697824469</v>
          </cell>
          <cell r="N78">
            <v>1286638.141562406</v>
          </cell>
          <cell r="O78">
            <v>1317026.0249685342</v>
          </cell>
          <cell r="P78">
            <v>1359372.6119707115</v>
          </cell>
          <cell r="Q78">
            <v>1377450.5956346455</v>
          </cell>
          <cell r="R78">
            <v>1407752.7747509496</v>
          </cell>
          <cell r="S78">
            <v>1438031.0417962291</v>
          </cell>
          <cell r="T78">
            <v>1468359.9477337729</v>
          </cell>
          <cell r="U78">
            <v>1498806.1175902041</v>
          </cell>
          <cell r="V78">
            <v>1529247.5005361729</v>
          </cell>
          <cell r="W78">
            <v>1559755.0254088808</v>
          </cell>
          <cell r="X78">
            <v>1604695.7181381483</v>
          </cell>
          <cell r="Y78">
            <v>1620685.0488578391</v>
          </cell>
          <cell r="Z78">
            <v>1651120.4927678995</v>
          </cell>
          <cell r="AA78">
            <v>1681526.4060613776</v>
          </cell>
          <cell r="AB78">
            <v>1727706.9650814079</v>
          </cell>
          <cell r="AC78">
            <v>1742468.2976748645</v>
          </cell>
          <cell r="AD78">
            <v>1772999.536528415</v>
          </cell>
          <cell r="AE78">
            <v>1803423.3883706611</v>
          </cell>
        </row>
        <row r="79">
          <cell r="G79" t="str">
            <v>RegionOther FoodStock</v>
          </cell>
          <cell r="H79" t="str">
            <v>Ind</v>
          </cell>
          <cell r="I79" t="str">
            <v>Other Food</v>
          </cell>
          <cell r="J79" t="str">
            <v>Stock</v>
          </cell>
          <cell r="K79" t="str">
            <v>Consumption (MWh)</v>
          </cell>
          <cell r="L79">
            <v>2189215.7914933185</v>
          </cell>
          <cell r="M79">
            <v>2225714.4170001475</v>
          </cell>
          <cell r="N79">
            <v>2281801.3842795906</v>
          </cell>
          <cell r="O79">
            <v>2337878.4662610777</v>
          </cell>
          <cell r="P79">
            <v>2414859.5617400161</v>
          </cell>
          <cell r="Q79">
            <v>2449639.2617126312</v>
          </cell>
          <cell r="R79">
            <v>2505916.452109566</v>
          </cell>
          <cell r="S79">
            <v>2561919.8701418121</v>
          </cell>
          <cell r="T79">
            <v>2618248.9470964097</v>
          </cell>
          <cell r="U79">
            <v>2674706.0878431001</v>
          </cell>
          <cell r="V79">
            <v>2731406.8457201738</v>
          </cell>
          <cell r="W79">
            <v>2788145.294466868</v>
          </cell>
          <cell r="X79">
            <v>2870921.2322274465</v>
          </cell>
          <cell r="Y79">
            <v>2901825.3565548556</v>
          </cell>
          <cell r="Z79">
            <v>2958750.6188529818</v>
          </cell>
          <cell r="AA79">
            <v>3015584.6219987967</v>
          </cell>
          <cell r="AB79">
            <v>3100853.4167639203</v>
          </cell>
          <cell r="AC79">
            <v>3129759.8328607553</v>
          </cell>
          <cell r="AD79">
            <v>3187110.5829028329</v>
          </cell>
          <cell r="AE79">
            <v>3244229.8759716363</v>
          </cell>
        </row>
        <row r="80">
          <cell r="G80" t="str">
            <v>RegionWood - LumberStock</v>
          </cell>
          <cell r="H80" t="str">
            <v>Ind</v>
          </cell>
          <cell r="I80" t="str">
            <v>Wood - Lumber</v>
          </cell>
          <cell r="J80" t="str">
            <v>Stock</v>
          </cell>
          <cell r="K80" t="str">
            <v>Consumption (MWh)</v>
          </cell>
          <cell r="L80">
            <v>1161963.8217505382</v>
          </cell>
          <cell r="M80">
            <v>1117769.5487595289</v>
          </cell>
          <cell r="N80">
            <v>1084874.9921310821</v>
          </cell>
          <cell r="O80">
            <v>1052791.9192047431</v>
          </cell>
          <cell r="P80">
            <v>1030397.4491679214</v>
          </cell>
          <cell r="Q80">
            <v>990879.29279742646</v>
          </cell>
          <cell r="R80">
            <v>961065.17490868072</v>
          </cell>
          <cell r="S80">
            <v>931730.64036078285</v>
          </cell>
          <cell r="T80">
            <v>903080.08419384609</v>
          </cell>
          <cell r="U80">
            <v>874945.75211344392</v>
          </cell>
          <cell r="V80">
            <v>847310.7915088681</v>
          </cell>
          <cell r="W80">
            <v>820119.00687699113</v>
          </cell>
          <cell r="X80">
            <v>800618.32318729174</v>
          </cell>
          <cell r="Y80">
            <v>766954.27095195896</v>
          </cell>
          <cell r="Z80">
            <v>740908.22274123156</v>
          </cell>
          <cell r="AA80">
            <v>715106.45172531332</v>
          </cell>
          <cell r="AB80">
            <v>696028.08762583928</v>
          </cell>
          <cell r="AC80">
            <v>664509.97671853204</v>
          </cell>
          <cell r="AD80">
            <v>639621.04956848687</v>
          </cell>
          <cell r="AE80">
            <v>614946.99745740264</v>
          </cell>
        </row>
        <row r="81">
          <cell r="G81" t="str">
            <v>RegionWood - PanelStock</v>
          </cell>
          <cell r="H81" t="str">
            <v>Ind</v>
          </cell>
          <cell r="I81" t="str">
            <v>Wood - Panel</v>
          </cell>
          <cell r="J81" t="str">
            <v>Stock</v>
          </cell>
          <cell r="K81" t="str">
            <v>Consumption (MWh)</v>
          </cell>
          <cell r="L81">
            <v>551950.18982134352</v>
          </cell>
          <cell r="M81">
            <v>528731.18450453493</v>
          </cell>
          <cell r="N81">
            <v>510838.63702842174</v>
          </cell>
          <cell r="O81">
            <v>493229.56048375246</v>
          </cell>
          <cell r="P81">
            <v>480200.65450609016</v>
          </cell>
          <cell r="Q81">
            <v>458869.67437759304</v>
          </cell>
          <cell r="R81">
            <v>442034.77624590963</v>
          </cell>
          <cell r="S81">
            <v>425381.84725157876</v>
          </cell>
          <cell r="T81">
            <v>408945.79607863171</v>
          </cell>
          <cell r="U81">
            <v>392669.02882158436</v>
          </cell>
          <cell r="V81">
            <v>376527.17230508296</v>
          </cell>
          <cell r="W81">
            <v>360540.83558473963</v>
          </cell>
          <cell r="X81">
            <v>347793.23494737077</v>
          </cell>
          <cell r="Y81">
            <v>328864.0423583783</v>
          </cell>
          <cell r="Z81">
            <v>313174.70380282239</v>
          </cell>
          <cell r="AA81">
            <v>297578.74522290094</v>
          </cell>
          <cell r="AB81">
            <v>284693.91308797692</v>
          </cell>
          <cell r="AC81">
            <v>266695.50893493497</v>
          </cell>
          <cell r="AD81">
            <v>251377.16659093063</v>
          </cell>
          <cell r="AE81">
            <v>236121.41095945257</v>
          </cell>
        </row>
        <row r="82">
          <cell r="G82" t="str">
            <v>RegionWood - OtherStock</v>
          </cell>
          <cell r="H82" t="str">
            <v>Ind</v>
          </cell>
          <cell r="I82" t="str">
            <v>Wood - Other</v>
          </cell>
          <cell r="J82" t="str">
            <v>Stock</v>
          </cell>
          <cell r="K82" t="str">
            <v>Consumption (MWh)</v>
          </cell>
          <cell r="L82">
            <v>870727.85506649863</v>
          </cell>
          <cell r="M82">
            <v>839735.03037413268</v>
          </cell>
          <cell r="N82">
            <v>817265.57122340729</v>
          </cell>
          <cell r="O82">
            <v>795421.70406258584</v>
          </cell>
          <cell r="P82">
            <v>780923.07506947254</v>
          </cell>
          <cell r="Q82">
            <v>753146.51005964773</v>
          </cell>
          <cell r="R82">
            <v>732820.97518292943</v>
          </cell>
          <cell r="S82">
            <v>712886.70561548509</v>
          </cell>
          <cell r="T82">
            <v>693400.22734523669</v>
          </cell>
          <cell r="U82">
            <v>674308.65124034672</v>
          </cell>
          <cell r="V82">
            <v>655534.95057322702</v>
          </cell>
          <cell r="W82">
            <v>637111.60144566628</v>
          </cell>
          <cell r="X82">
            <v>624630.92244216194</v>
          </cell>
          <cell r="Y82">
            <v>601103.42928001995</v>
          </cell>
          <cell r="Z82">
            <v>583449.38612394244</v>
          </cell>
          <cell r="AA82">
            <v>565997.72271073016</v>
          </cell>
          <cell r="AB82">
            <v>553823.1943250458</v>
          </cell>
          <cell r="AC82">
            <v>531773.35758124199</v>
          </cell>
          <cell r="AD82">
            <v>514944.55152005563</v>
          </cell>
          <cell r="AE82">
            <v>498286.13824063755</v>
          </cell>
        </row>
        <row r="83">
          <cell r="G83" t="str">
            <v>RegionSugarStock</v>
          </cell>
          <cell r="H83" t="str">
            <v>Ind</v>
          </cell>
          <cell r="I83" t="str">
            <v>Sugar</v>
          </cell>
          <cell r="J83" t="str">
            <v>Stock</v>
          </cell>
          <cell r="K83" t="str">
            <v>Consumption (MWh)</v>
          </cell>
          <cell r="L83">
            <v>475136.72478012781</v>
          </cell>
          <cell r="M83">
            <v>478944.05758966133</v>
          </cell>
          <cell r="N83">
            <v>486819.48116772674</v>
          </cell>
          <cell r="O83">
            <v>494591.38634116278</v>
          </cell>
          <cell r="P83">
            <v>506508.14130214165</v>
          </cell>
          <cell r="Q83">
            <v>510023.29432266601</v>
          </cell>
          <cell r="R83">
            <v>517787.90058012598</v>
          </cell>
          <cell r="S83">
            <v>525332.27094640187</v>
          </cell>
          <cell r="T83">
            <v>532962.59651115292</v>
          </cell>
          <cell r="U83">
            <v>540559.14188859914</v>
          </cell>
          <cell r="V83">
            <v>548264.64271890977</v>
          </cell>
          <cell r="W83">
            <v>555867.220442908</v>
          </cell>
          <cell r="X83">
            <v>568632.32789277437</v>
          </cell>
          <cell r="Y83">
            <v>571112.91942260799</v>
          </cell>
          <cell r="Z83">
            <v>578836.54771749349</v>
          </cell>
          <cell r="AA83">
            <v>586399.91803551139</v>
          </cell>
          <cell r="AB83">
            <v>599561.512214605</v>
          </cell>
          <cell r="AC83">
            <v>601661.01637638209</v>
          </cell>
          <cell r="AD83">
            <v>609371.99258243595</v>
          </cell>
          <cell r="AE83">
            <v>616906.35518594901</v>
          </cell>
        </row>
        <row r="84">
          <cell r="G84" t="str">
            <v>RegionHi Tech - Chip FabStock</v>
          </cell>
          <cell r="H84" t="str">
            <v>Ind</v>
          </cell>
          <cell r="I84" t="str">
            <v>Hi Tech - Chip Fab</v>
          </cell>
          <cell r="J84" t="str">
            <v>Stock</v>
          </cell>
          <cell r="K84" t="str">
            <v>Consumption (MWh)</v>
          </cell>
          <cell r="L84">
            <v>441794.88875823218</v>
          </cell>
          <cell r="M84">
            <v>432626.39847364998</v>
          </cell>
          <cell r="N84">
            <v>427242.98054352769</v>
          </cell>
          <cell r="O84">
            <v>422213.82213962206</v>
          </cell>
          <cell r="P84">
            <v>421920.64066734893</v>
          </cell>
          <cell r="Q84">
            <v>413709.06623231358</v>
          </cell>
          <cell r="R84">
            <v>410212.7518948018</v>
          </cell>
          <cell r="S84">
            <v>406355.09832970693</v>
          </cell>
          <cell r="T84">
            <v>403296.23418868397</v>
          </cell>
          <cell r="U84">
            <v>399924.4240136806</v>
          </cell>
          <cell r="V84">
            <v>397295.90252843429</v>
          </cell>
          <cell r="W84">
            <v>394316.89382121537</v>
          </cell>
          <cell r="X84">
            <v>395623.44895442144</v>
          </cell>
          <cell r="Y84">
            <v>389392.69605832879</v>
          </cell>
          <cell r="Z84">
            <v>386892.14662184619</v>
          </cell>
          <cell r="AA84">
            <v>385025.31464219192</v>
          </cell>
          <cell r="AB84">
            <v>386311.31539104413</v>
          </cell>
          <cell r="AC84">
            <v>381213.1101798673</v>
          </cell>
          <cell r="AD84">
            <v>379233.88825255015</v>
          </cell>
          <cell r="AE84">
            <v>377804.18623239076</v>
          </cell>
        </row>
        <row r="85">
          <cell r="G85" t="str">
            <v>RegionHi Tech - SiliconStock</v>
          </cell>
          <cell r="H85" t="str">
            <v>Ind</v>
          </cell>
          <cell r="I85" t="str">
            <v>Hi Tech - Silicon</v>
          </cell>
          <cell r="J85" t="str">
            <v>Stock</v>
          </cell>
          <cell r="K85" t="str">
            <v>Consumption (MWh)</v>
          </cell>
          <cell r="L85">
            <v>226900.615461001</v>
          </cell>
          <cell r="M85">
            <v>224036.45332402681</v>
          </cell>
          <cell r="N85">
            <v>223197.60670939417</v>
          </cell>
          <cell r="O85">
            <v>222435.67348639047</v>
          </cell>
          <cell r="P85">
            <v>223898.4301459378</v>
          </cell>
          <cell r="Q85">
            <v>221368.38696638378</v>
          </cell>
          <cell r="R85">
            <v>221129.95798393188</v>
          </cell>
          <cell r="S85">
            <v>220786.11584318019</v>
          </cell>
          <cell r="T85">
            <v>220661.22741685802</v>
          </cell>
          <cell r="U85">
            <v>220514.6104276102</v>
          </cell>
          <cell r="V85">
            <v>220566.57724116242</v>
          </cell>
          <cell r="W85">
            <v>220582.85570889112</v>
          </cell>
          <cell r="X85">
            <v>222786.93799954746</v>
          </cell>
          <cell r="Y85">
            <v>220925.37261965938</v>
          </cell>
          <cell r="Z85">
            <v>221135.24104542725</v>
          </cell>
          <cell r="AA85">
            <v>221470.75488217658</v>
          </cell>
          <cell r="AB85">
            <v>223814.68962733069</v>
          </cell>
          <cell r="AC85">
            <v>222220.65723257174</v>
          </cell>
          <cell r="AD85">
            <v>222629.30420924808</v>
          </cell>
          <cell r="AE85">
            <v>223146.84657001842</v>
          </cell>
        </row>
        <row r="86">
          <cell r="G86" t="str">
            <v>RegionMetal FabStock</v>
          </cell>
          <cell r="H86" t="str">
            <v>Ind</v>
          </cell>
          <cell r="I86" t="str">
            <v>Metal Fab</v>
          </cell>
          <cell r="J86" t="str">
            <v>Stock</v>
          </cell>
          <cell r="K86" t="str">
            <v>Consumption (MWh)</v>
          </cell>
          <cell r="L86">
            <v>909892.68701188185</v>
          </cell>
          <cell r="M86">
            <v>891825.25809582323</v>
          </cell>
          <cell r="N86">
            <v>882508.80442902481</v>
          </cell>
          <cell r="O86">
            <v>873727.53576770169</v>
          </cell>
          <cell r="P86">
            <v>873074.20336348354</v>
          </cell>
          <cell r="Q86">
            <v>857353.78829031112</v>
          </cell>
          <cell r="R86">
            <v>849920.96028251934</v>
          </cell>
          <cell r="S86">
            <v>842747.12140389089</v>
          </cell>
          <cell r="T86">
            <v>835992.11174095876</v>
          </cell>
          <cell r="U86">
            <v>829585.10375461576</v>
          </cell>
          <cell r="V86">
            <v>823489.91083828453</v>
          </cell>
          <cell r="W86">
            <v>817657.03435069101</v>
          </cell>
          <cell r="X86">
            <v>819465.35455238761</v>
          </cell>
          <cell r="Y86">
            <v>806647.75437978934</v>
          </cell>
          <cell r="Z86">
            <v>801457.62846863491</v>
          </cell>
          <cell r="AA86">
            <v>796415.70090358355</v>
          </cell>
          <cell r="AB86">
            <v>798860.24754177267</v>
          </cell>
          <cell r="AC86">
            <v>786961.84080937004</v>
          </cell>
          <cell r="AD86">
            <v>782499.53998716734</v>
          </cell>
          <cell r="AE86">
            <v>778123.72130174015</v>
          </cell>
        </row>
        <row r="87">
          <cell r="G87" t="str">
            <v>RegionTransportation, EquipStock</v>
          </cell>
          <cell r="H87" t="str">
            <v>Ind</v>
          </cell>
          <cell r="I87" t="str">
            <v>Transportation, Equip</v>
          </cell>
          <cell r="J87" t="str">
            <v>Stock</v>
          </cell>
          <cell r="K87" t="str">
            <v>Consumption (MWh)</v>
          </cell>
          <cell r="L87">
            <v>1804273.4320914866</v>
          </cell>
          <cell r="M87">
            <v>1764444.7092744687</v>
          </cell>
          <cell r="N87">
            <v>1742380.5060862801</v>
          </cell>
          <cell r="O87">
            <v>1721734.2919262978</v>
          </cell>
          <cell r="P87">
            <v>1717290.0100661237</v>
          </cell>
          <cell r="Q87">
            <v>1684212.3577429946</v>
          </cell>
          <cell r="R87">
            <v>1667572.9872876552</v>
          </cell>
          <cell r="S87">
            <v>1651915.7655637239</v>
          </cell>
          <cell r="T87">
            <v>1637404.0605393937</v>
          </cell>
          <cell r="U87">
            <v>1624039.8539685637</v>
          </cell>
          <cell r="V87">
            <v>1611571.7582730576</v>
          </cell>
          <cell r="W87">
            <v>1599938.1807304013</v>
          </cell>
          <cell r="X87">
            <v>1603782.6234504275</v>
          </cell>
          <cell r="Y87">
            <v>1579189.4507664458</v>
          </cell>
          <cell r="Z87">
            <v>1569848.0280781442</v>
          </cell>
          <cell r="AA87">
            <v>1560977.4194455137</v>
          </cell>
          <cell r="AB87">
            <v>1566945.462049291</v>
          </cell>
          <cell r="AC87">
            <v>1545218.7396206472</v>
          </cell>
          <cell r="AD87">
            <v>1538099.8647244556</v>
          </cell>
          <cell r="AE87">
            <v>1531589.7574381533</v>
          </cell>
        </row>
        <row r="88">
          <cell r="G88" t="str">
            <v>RegionRefineryStock</v>
          </cell>
          <cell r="H88" t="str">
            <v>Ind</v>
          </cell>
          <cell r="I88" t="str">
            <v>Refinery</v>
          </cell>
          <cell r="J88" t="str">
            <v>Stock</v>
          </cell>
          <cell r="K88" t="str">
            <v>Consumption (MWh)</v>
          </cell>
          <cell r="L88">
            <v>1881024.91962965</v>
          </cell>
          <cell r="M88">
            <v>1909117.5467978129</v>
          </cell>
          <cell r="N88">
            <v>1951995.6132668965</v>
          </cell>
          <cell r="O88">
            <v>1997111.8831124087</v>
          </cell>
          <cell r="P88">
            <v>2057483.6301056999</v>
          </cell>
          <cell r="Q88">
            <v>2084336.8416466711</v>
          </cell>
          <cell r="R88">
            <v>2127809.677560756</v>
          </cell>
          <cell r="S88">
            <v>2172413.8365607024</v>
          </cell>
          <cell r="T88">
            <v>2215960.2386478884</v>
          </cell>
          <cell r="U88">
            <v>2261195.6605773838</v>
          </cell>
          <cell r="V88">
            <v>2305708.6406222372</v>
          </cell>
          <cell r="W88">
            <v>2351421.030442731</v>
          </cell>
          <cell r="X88">
            <v>2417809.3733545281</v>
          </cell>
          <cell r="Y88">
            <v>2441973.3932293397</v>
          </cell>
          <cell r="Z88">
            <v>2486737.3300964865</v>
          </cell>
          <cell r="AA88">
            <v>2532907.6529900534</v>
          </cell>
          <cell r="AB88">
            <v>2601624.7146502738</v>
          </cell>
          <cell r="AC88">
            <v>2625012.9439967307</v>
          </cell>
          <cell r="AD88">
            <v>2670463.7864335729</v>
          </cell>
          <cell r="AE88">
            <v>2717337.6347862268</v>
          </cell>
        </row>
        <row r="89">
          <cell r="G89" t="str">
            <v>RegionCold StorageStock</v>
          </cell>
          <cell r="H89" t="str">
            <v>Ind</v>
          </cell>
          <cell r="I89" t="str">
            <v>Cold Storage</v>
          </cell>
          <cell r="J89" t="str">
            <v>Stock</v>
          </cell>
          <cell r="K89" t="str">
            <v>Consumption (MWh)</v>
          </cell>
          <cell r="L89">
            <v>78154.236827670538</v>
          </cell>
          <cell r="M89">
            <v>79453.458629044515</v>
          </cell>
          <cell r="N89">
            <v>81462.364882615439</v>
          </cell>
          <cell r="O89">
            <v>83477.500671992908</v>
          </cell>
          <cell r="P89">
            <v>86245.581369176958</v>
          </cell>
          <cell r="Q89">
            <v>87478.747599680457</v>
          </cell>
          <cell r="R89">
            <v>89494.311122657688</v>
          </cell>
          <cell r="S89">
            <v>91509.020390414968</v>
          </cell>
          <cell r="T89">
            <v>93532.504764969955</v>
          </cell>
          <cell r="U89">
            <v>95564.382084683428</v>
          </cell>
          <cell r="V89">
            <v>97600.983939128768</v>
          </cell>
          <cell r="W89">
            <v>99644.634467322845</v>
          </cell>
          <cell r="X89">
            <v>102618.3524040958</v>
          </cell>
          <cell r="Y89">
            <v>103741.81616097505</v>
          </cell>
          <cell r="Z89">
            <v>105788.43696882724</v>
          </cell>
          <cell r="AA89">
            <v>107838.05913011087</v>
          </cell>
          <cell r="AB89">
            <v>110898.73263363529</v>
          </cell>
          <cell r="AC89">
            <v>111951.72686476028</v>
          </cell>
          <cell r="AD89">
            <v>114014.96377503965</v>
          </cell>
          <cell r="AE89">
            <v>116079.01640209509</v>
          </cell>
        </row>
        <row r="90">
          <cell r="G90" t="str">
            <v>RegionFruit StorageStock</v>
          </cell>
          <cell r="H90" t="str">
            <v>Ind</v>
          </cell>
          <cell r="I90" t="str">
            <v>Fruit Storage</v>
          </cell>
          <cell r="J90" t="str">
            <v>Stock</v>
          </cell>
          <cell r="K90" t="str">
            <v>Consumption (MWh)</v>
          </cell>
          <cell r="L90">
            <v>199395.43790713095</v>
          </cell>
          <cell r="M90">
            <v>204115.10690708214</v>
          </cell>
          <cell r="N90">
            <v>210634.84781997796</v>
          </cell>
          <cell r="O90">
            <v>217141.49063609194</v>
          </cell>
          <cell r="P90">
            <v>225683.75101923331</v>
          </cell>
          <cell r="Q90">
            <v>230234.36323329096</v>
          </cell>
          <cell r="R90">
            <v>236796.95219371072</v>
          </cell>
          <cell r="S90">
            <v>243349.21918638356</v>
          </cell>
          <cell r="T90">
            <v>249921.80671927828</v>
          </cell>
          <cell r="U90">
            <v>256506.98239189648</v>
          </cell>
          <cell r="V90">
            <v>263096.35269472009</v>
          </cell>
          <cell r="W90">
            <v>269693.66215315415</v>
          </cell>
          <cell r="X90">
            <v>278797.26062516763</v>
          </cell>
          <cell r="Y90">
            <v>282842.82237701409</v>
          </cell>
          <cell r="Z90">
            <v>289419.35664982459</v>
          </cell>
          <cell r="AA90">
            <v>295994.31165490975</v>
          </cell>
          <cell r="AB90">
            <v>305366.03036291245</v>
          </cell>
          <cell r="AC90">
            <v>309179.84460456396</v>
          </cell>
          <cell r="AD90">
            <v>315794.71629056305</v>
          </cell>
          <cell r="AE90">
            <v>322364.98084319307</v>
          </cell>
        </row>
        <row r="91">
          <cell r="G91" t="str">
            <v>RegionChemicalStock</v>
          </cell>
          <cell r="H91" t="str">
            <v>Ind</v>
          </cell>
          <cell r="I91" t="str">
            <v>Chemical</v>
          </cell>
          <cell r="J91" t="str">
            <v>Stock</v>
          </cell>
          <cell r="K91" t="str">
            <v>Consumption (MWh)</v>
          </cell>
          <cell r="L91">
            <v>3305004.1605836996</v>
          </cell>
          <cell r="M91">
            <v>3443789.6934345411</v>
          </cell>
          <cell r="N91">
            <v>3609021.9884613133</v>
          </cell>
          <cell r="O91">
            <v>3771046.7677251906</v>
          </cell>
          <cell r="P91">
            <v>3927253.9609524435</v>
          </cell>
          <cell r="Q91">
            <v>4037395.7085911199</v>
          </cell>
          <cell r="R91">
            <v>4188643.2636367837</v>
          </cell>
          <cell r="S91">
            <v>4340984.9755713558</v>
          </cell>
          <cell r="T91">
            <v>4493975.9194887662</v>
          </cell>
          <cell r="U91">
            <v>4646018.0745007796</v>
          </cell>
          <cell r="V91">
            <v>4797371.3042631764</v>
          </cell>
          <cell r="W91">
            <v>4947813.7264089147</v>
          </cell>
          <cell r="X91">
            <v>5144107.7969676936</v>
          </cell>
          <cell r="Y91">
            <v>5246402.7802377427</v>
          </cell>
          <cell r="Z91">
            <v>5394857.0622515492</v>
          </cell>
          <cell r="AA91">
            <v>5541714.6108995685</v>
          </cell>
          <cell r="AB91">
            <v>5740442.2061493713</v>
          </cell>
          <cell r="AC91">
            <v>5833788.3063517585</v>
          </cell>
          <cell r="AD91">
            <v>5979638.453419812</v>
          </cell>
          <cell r="AE91">
            <v>6123880.4660364473</v>
          </cell>
        </row>
        <row r="92">
          <cell r="G92" t="str">
            <v>RegionMisc ManfStock</v>
          </cell>
          <cell r="H92" t="str">
            <v>Ind</v>
          </cell>
          <cell r="I92" t="str">
            <v>Misc Manf</v>
          </cell>
          <cell r="J92" t="str">
            <v>Stock</v>
          </cell>
          <cell r="K92" t="str">
            <v>Consumption (MWh)</v>
          </cell>
          <cell r="L92">
            <v>4209556.472488177</v>
          </cell>
          <cell r="M92">
            <v>4334633.1165770665</v>
          </cell>
          <cell r="N92">
            <v>4496807.6122477548</v>
          </cell>
          <cell r="O92">
            <v>4658950.5636732625</v>
          </cell>
          <cell r="P92">
            <v>4833902.8390341504</v>
          </cell>
          <cell r="Q92">
            <v>4939547.3871582579</v>
          </cell>
          <cell r="R92">
            <v>5095859.5790590979</v>
          </cell>
          <cell r="S92">
            <v>5254063.1713875132</v>
          </cell>
          <cell r="T92">
            <v>5413802.5084346561</v>
          </cell>
          <cell r="U92">
            <v>5573463.6928148605</v>
          </cell>
          <cell r="V92">
            <v>5733797.7617043415</v>
          </cell>
          <cell r="W92">
            <v>5893374.3310838528</v>
          </cell>
          <cell r="X92">
            <v>6108755.4059702102</v>
          </cell>
          <cell r="Y92">
            <v>6213044.4648437528</v>
          </cell>
          <cell r="Z92">
            <v>6372313.332896472</v>
          </cell>
          <cell r="AA92">
            <v>6531884.2745853113</v>
          </cell>
          <cell r="AB92">
            <v>6752077.3183153793</v>
          </cell>
          <cell r="AC92">
            <v>6850327.3548128605</v>
          </cell>
          <cell r="AD92">
            <v>7009692.065473482</v>
          </cell>
          <cell r="AE92">
            <v>7168736.8179728845</v>
          </cell>
        </row>
        <row r="93">
          <cell r="G93" t="str">
            <v>RegionEVStock</v>
          </cell>
          <cell r="H93" t="str">
            <v>EV</v>
          </cell>
          <cell r="I93" t="str">
            <v>EV</v>
          </cell>
          <cell r="J93" t="str">
            <v>Stock</v>
          </cell>
          <cell r="K93" t="str">
            <v>1000 Cars</v>
          </cell>
          <cell r="L93">
            <v>60.183986956923889</v>
          </cell>
          <cell r="M93">
            <v>91.985039267783762</v>
          </cell>
          <cell r="N93">
            <v>131.71899349682545</v>
          </cell>
          <cell r="O93">
            <v>179.31931215654896</v>
          </cell>
          <cell r="P93">
            <v>234.46894197990883</v>
          </cell>
          <cell r="Q93">
            <v>296.9378027583823</v>
          </cell>
          <cell r="R93">
            <v>366.00059330503768</v>
          </cell>
          <cell r="S93">
            <v>441.25939468635204</v>
          </cell>
          <cell r="T93">
            <v>522.62506581198477</v>
          </cell>
          <cell r="U93">
            <v>610.52396116716261</v>
          </cell>
          <cell r="V93">
            <v>705.01906985870437</v>
          </cell>
          <cell r="W93">
            <v>801.72374571842784</v>
          </cell>
          <cell r="X93">
            <v>899.84995621451503</v>
          </cell>
          <cell r="Y93">
            <v>998.49290967026104</v>
          </cell>
          <cell r="Z93">
            <v>1096.4275699987345</v>
          </cell>
          <cell r="AA93">
            <v>1187.7661760902763</v>
          </cell>
          <cell r="AB93">
            <v>1272.9815546454543</v>
          </cell>
          <cell r="AC93">
            <v>1351.8588013409089</v>
          </cell>
          <cell r="AD93">
            <v>1433.0587465545455</v>
          </cell>
          <cell r="AE93">
            <v>1500.0488473772725</v>
          </cell>
        </row>
        <row r="94">
          <cell r="G94" t="str">
            <v>RegionPopStock</v>
          </cell>
          <cell r="H94" t="str">
            <v>Pop</v>
          </cell>
          <cell r="I94" t="str">
            <v>Pop</v>
          </cell>
          <cell r="J94" t="str">
            <v>Stock</v>
          </cell>
          <cell r="K94" t="str">
            <v># of people</v>
          </cell>
          <cell r="L94">
            <v>13520.68111</v>
          </cell>
          <cell r="M94">
            <v>13661.840299999998</v>
          </cell>
          <cell r="N94">
            <v>13803.691440000001</v>
          </cell>
          <cell r="O94">
            <v>13944.276469999999</v>
          </cell>
          <cell r="P94">
            <v>14082.801340000002</v>
          </cell>
          <cell r="Q94">
            <v>14218.715590000002</v>
          </cell>
          <cell r="R94">
            <v>14351.918940000001</v>
          </cell>
          <cell r="S94">
            <v>14482.437540000003</v>
          </cell>
          <cell r="T94">
            <v>14610.4211</v>
          </cell>
          <cell r="U94">
            <v>14736.24631</v>
          </cell>
          <cell r="V94">
            <v>14860.320880000001</v>
          </cell>
          <cell r="W94">
            <v>14983.078860000001</v>
          </cell>
          <cell r="X94">
            <v>15104.70127</v>
          </cell>
          <cell r="Y94">
            <v>15225.195700000002</v>
          </cell>
          <cell r="Z94">
            <v>15344.62486</v>
          </cell>
          <cell r="AA94">
            <v>15463.089019999998</v>
          </cell>
          <cell r="AB94">
            <v>15580.68845</v>
          </cell>
          <cell r="AC94">
            <v>15697.50913</v>
          </cell>
          <cell r="AD94">
            <v>15813.626329999999</v>
          </cell>
          <cell r="AE94">
            <v>15929.254489999999</v>
          </cell>
        </row>
        <row r="95">
          <cell r="G95" t="str">
            <v>RegionDataCenterStock</v>
          </cell>
          <cell r="H95" t="str">
            <v>DataCenter</v>
          </cell>
          <cell r="I95" t="str">
            <v>DataCenter</v>
          </cell>
          <cell r="J95" t="str">
            <v>Stock</v>
          </cell>
          <cell r="K95" t="str">
            <v>Consumption (aMW)</v>
          </cell>
          <cell r="L95">
            <v>381.60143269415096</v>
          </cell>
          <cell r="M95">
            <v>404.69885906229592</v>
          </cell>
          <cell r="N95">
            <v>421.46039895133885</v>
          </cell>
          <cell r="O95">
            <v>419.64642143844253</v>
          </cell>
          <cell r="P95">
            <v>423.66562864853898</v>
          </cell>
          <cell r="Q95">
            <v>432.76092390952061</v>
          </cell>
          <cell r="R95">
            <v>446.31531189522576</v>
          </cell>
          <cell r="S95">
            <v>450.98222620533323</v>
          </cell>
          <cell r="T95">
            <v>459.05126073815245</v>
          </cell>
          <cell r="U95">
            <v>470.19601765719887</v>
          </cell>
          <cell r="V95">
            <v>484.16208251533135</v>
          </cell>
          <cell r="W95">
            <v>494.21069266812788</v>
          </cell>
          <cell r="X95">
            <v>506.64189476780371</v>
          </cell>
          <cell r="Y95">
            <v>521.35392484293436</v>
          </cell>
          <cell r="Z95">
            <v>538.28523642117</v>
          </cell>
          <cell r="AA95">
            <v>554.01935267425768</v>
          </cell>
          <cell r="AB95">
            <v>571.88182312772415</v>
          </cell>
          <cell r="AC95">
            <v>591.90212163156946</v>
          </cell>
          <cell r="AD95">
            <v>614.13634434495953</v>
          </cell>
          <cell r="AE95">
            <v>636.87438282107769</v>
          </cell>
        </row>
        <row r="96">
          <cell r="G96" t="str">
            <v>RegionTotalLoadStock</v>
          </cell>
          <cell r="H96" t="str">
            <v>DEI</v>
          </cell>
          <cell r="I96" t="str">
            <v>TotalLoad</v>
          </cell>
          <cell r="J96" t="str">
            <v>Stock</v>
          </cell>
          <cell r="K96" t="str">
            <v>Consumption (aMW)</v>
          </cell>
          <cell r="L96">
            <v>21071.66</v>
          </cell>
          <cell r="M96">
            <v>21195.54</v>
          </cell>
          <cell r="N96">
            <v>21410</v>
          </cell>
          <cell r="O96">
            <v>21551.43</v>
          </cell>
          <cell r="P96">
            <v>21679.64</v>
          </cell>
          <cell r="Q96">
            <v>21827.78</v>
          </cell>
          <cell r="R96">
            <v>21990.98</v>
          </cell>
          <cell r="S96">
            <v>22168.240000000002</v>
          </cell>
          <cell r="T96">
            <v>22361.75</v>
          </cell>
          <cell r="U96">
            <v>22575.51</v>
          </cell>
          <cell r="V96">
            <v>22799.94</v>
          </cell>
          <cell r="W96">
            <v>23044.44</v>
          </cell>
          <cell r="X96">
            <v>23305.64</v>
          </cell>
          <cell r="Y96">
            <v>23567.14</v>
          </cell>
          <cell r="Z96">
            <v>23843.91</v>
          </cell>
          <cell r="AA96">
            <v>24084.7</v>
          </cell>
          <cell r="AB96">
            <v>24359.31</v>
          </cell>
          <cell r="AC96">
            <v>24636.46</v>
          </cell>
          <cell r="AD96">
            <v>24918.69</v>
          </cell>
          <cell r="AE96">
            <v>25207.16</v>
          </cell>
        </row>
        <row r="97">
          <cell r="G97"/>
          <cell r="H97"/>
          <cell r="I97"/>
          <cell r="J97"/>
          <cell r="K97"/>
          <cell r="L97"/>
          <cell r="M97"/>
          <cell r="N97"/>
          <cell r="O97"/>
          <cell r="P97"/>
          <cell r="Q97"/>
          <cell r="R97"/>
          <cell r="S97"/>
          <cell r="T97"/>
          <cell r="U97"/>
          <cell r="V97"/>
          <cell r="W97"/>
          <cell r="X97"/>
          <cell r="Y97"/>
          <cell r="Z97"/>
          <cell r="AA97"/>
          <cell r="AB97"/>
          <cell r="AC97"/>
          <cell r="AD97"/>
          <cell r="AE97"/>
        </row>
        <row r="98">
          <cell r="G98"/>
          <cell r="H98"/>
          <cell r="I98"/>
          <cell r="J98"/>
          <cell r="K98"/>
          <cell r="L98"/>
          <cell r="M98"/>
          <cell r="N98"/>
          <cell r="O98"/>
          <cell r="P98"/>
          <cell r="Q98"/>
          <cell r="R98"/>
          <cell r="S98"/>
          <cell r="T98"/>
          <cell r="U98"/>
          <cell r="V98"/>
          <cell r="W98"/>
          <cell r="X98"/>
          <cell r="Y98"/>
          <cell r="Z98"/>
          <cell r="AA98"/>
          <cell r="AB98"/>
          <cell r="AC98"/>
          <cell r="AD98"/>
          <cell r="AE98"/>
        </row>
        <row r="99">
          <cell r="G99"/>
          <cell r="H99"/>
          <cell r="I99"/>
          <cell r="J99"/>
          <cell r="K99"/>
          <cell r="L99"/>
          <cell r="M99"/>
          <cell r="N99"/>
          <cell r="O99"/>
          <cell r="P99"/>
          <cell r="Q99"/>
          <cell r="R99"/>
          <cell r="S99"/>
          <cell r="T99"/>
          <cell r="U99"/>
          <cell r="V99"/>
          <cell r="W99"/>
          <cell r="X99"/>
          <cell r="Y99"/>
          <cell r="Z99"/>
          <cell r="AA99"/>
          <cell r="AB99"/>
          <cell r="AC99"/>
          <cell r="AD99"/>
          <cell r="AE99"/>
        </row>
        <row r="100">
          <cell r="G100"/>
          <cell r="H100"/>
          <cell r="I100"/>
          <cell r="J100"/>
          <cell r="K100"/>
          <cell r="L100"/>
          <cell r="M100"/>
          <cell r="N100"/>
          <cell r="O100"/>
          <cell r="P100"/>
          <cell r="Q100"/>
          <cell r="R100"/>
          <cell r="S100"/>
          <cell r="T100"/>
          <cell r="U100"/>
          <cell r="V100"/>
          <cell r="W100"/>
          <cell r="X100"/>
          <cell r="Y100"/>
          <cell r="Z100"/>
          <cell r="AA100"/>
          <cell r="AB100"/>
          <cell r="AC100"/>
          <cell r="AD100"/>
          <cell r="AE100"/>
        </row>
        <row r="101">
          <cell r="G101"/>
          <cell r="H101"/>
          <cell r="I101"/>
          <cell r="J101"/>
          <cell r="K101"/>
          <cell r="L101"/>
          <cell r="M101"/>
          <cell r="N101"/>
          <cell r="O101"/>
          <cell r="P101"/>
          <cell r="Q101"/>
          <cell r="R101"/>
          <cell r="S101"/>
          <cell r="T101"/>
          <cell r="U101"/>
          <cell r="V101"/>
          <cell r="W101"/>
          <cell r="X101"/>
          <cell r="Y101"/>
          <cell r="Z101"/>
          <cell r="AA101"/>
          <cell r="AB101"/>
          <cell r="AC101"/>
          <cell r="AD101"/>
          <cell r="AE101"/>
        </row>
        <row r="102">
          <cell r="G102"/>
          <cell r="H102"/>
          <cell r="I102"/>
          <cell r="J102"/>
          <cell r="K102"/>
          <cell r="L102"/>
          <cell r="M102"/>
          <cell r="N102"/>
          <cell r="O102"/>
          <cell r="P102"/>
          <cell r="Q102"/>
          <cell r="R102"/>
          <cell r="S102"/>
          <cell r="T102"/>
          <cell r="U102"/>
          <cell r="V102"/>
          <cell r="W102"/>
          <cell r="X102"/>
          <cell r="Y102"/>
          <cell r="Z102"/>
          <cell r="AA102"/>
          <cell r="AB102"/>
          <cell r="AC102"/>
          <cell r="AD102"/>
          <cell r="AE102"/>
        </row>
        <row r="103">
          <cell r="G103"/>
          <cell r="H103"/>
          <cell r="I103"/>
          <cell r="J103"/>
          <cell r="K103"/>
          <cell r="L103"/>
          <cell r="M103"/>
          <cell r="N103"/>
          <cell r="O103"/>
          <cell r="P103"/>
          <cell r="Q103"/>
          <cell r="R103"/>
          <cell r="S103"/>
          <cell r="T103"/>
          <cell r="U103"/>
          <cell r="V103"/>
          <cell r="W103"/>
          <cell r="X103"/>
          <cell r="Y103"/>
          <cell r="Z103"/>
          <cell r="AA103"/>
          <cell r="AB103"/>
          <cell r="AC103"/>
          <cell r="AD103"/>
          <cell r="AE103"/>
        </row>
        <row r="104">
          <cell r="G104"/>
          <cell r="H104"/>
          <cell r="I104"/>
          <cell r="J104"/>
          <cell r="K104"/>
          <cell r="L104"/>
          <cell r="M104"/>
          <cell r="N104"/>
          <cell r="O104"/>
          <cell r="P104"/>
          <cell r="Q104"/>
          <cell r="R104"/>
          <cell r="S104"/>
          <cell r="T104"/>
          <cell r="U104"/>
          <cell r="V104"/>
          <cell r="W104"/>
          <cell r="X104"/>
          <cell r="Y104"/>
          <cell r="Z104"/>
          <cell r="AA104"/>
          <cell r="AB104"/>
          <cell r="AC104"/>
          <cell r="AD104"/>
          <cell r="AE104"/>
        </row>
        <row r="105">
          <cell r="G105"/>
          <cell r="H105"/>
          <cell r="I105"/>
          <cell r="J105"/>
          <cell r="K105"/>
          <cell r="L105"/>
          <cell r="M105"/>
          <cell r="N105"/>
          <cell r="O105"/>
          <cell r="P105"/>
          <cell r="Q105"/>
          <cell r="R105"/>
          <cell r="S105"/>
          <cell r="T105"/>
          <cell r="U105"/>
          <cell r="V105"/>
          <cell r="W105"/>
          <cell r="X105"/>
          <cell r="Y105"/>
          <cell r="Z105"/>
          <cell r="AA105"/>
          <cell r="AB105"/>
          <cell r="AC105"/>
          <cell r="AD105"/>
          <cell r="AE105"/>
        </row>
        <row r="106">
          <cell r="G106"/>
          <cell r="H106"/>
          <cell r="I106"/>
          <cell r="J106"/>
          <cell r="K106"/>
          <cell r="L106"/>
          <cell r="M106"/>
          <cell r="N106"/>
          <cell r="O106"/>
          <cell r="P106"/>
          <cell r="Q106"/>
          <cell r="R106"/>
          <cell r="S106"/>
          <cell r="T106"/>
          <cell r="U106"/>
          <cell r="V106"/>
          <cell r="W106"/>
          <cell r="X106"/>
          <cell r="Y106"/>
          <cell r="Z106"/>
          <cell r="AA106"/>
          <cell r="AB106"/>
          <cell r="AC106"/>
          <cell r="AD106"/>
          <cell r="AE106"/>
        </row>
        <row r="107">
          <cell r="G107"/>
          <cell r="H107"/>
          <cell r="I107"/>
          <cell r="J107"/>
          <cell r="K107"/>
          <cell r="L107"/>
          <cell r="M107"/>
          <cell r="N107"/>
          <cell r="O107"/>
          <cell r="P107"/>
          <cell r="Q107"/>
          <cell r="R107"/>
          <cell r="S107"/>
          <cell r="T107"/>
          <cell r="U107"/>
          <cell r="V107"/>
          <cell r="W107"/>
          <cell r="X107"/>
          <cell r="Y107"/>
          <cell r="Z107"/>
          <cell r="AA107"/>
          <cell r="AB107"/>
          <cell r="AC107"/>
          <cell r="AD107"/>
          <cell r="AE107"/>
        </row>
        <row r="108">
          <cell r="G108"/>
          <cell r="H108"/>
          <cell r="I108"/>
          <cell r="J108"/>
          <cell r="K108"/>
          <cell r="L108"/>
          <cell r="M108"/>
          <cell r="N108"/>
          <cell r="O108"/>
          <cell r="P108"/>
          <cell r="Q108"/>
          <cell r="R108"/>
          <cell r="S108"/>
          <cell r="T108"/>
          <cell r="U108"/>
          <cell r="V108"/>
          <cell r="W108"/>
          <cell r="X108"/>
          <cell r="Y108"/>
          <cell r="Z108"/>
          <cell r="AA108"/>
          <cell r="AB108"/>
          <cell r="AC108"/>
          <cell r="AD108"/>
          <cell r="AE108"/>
        </row>
        <row r="109">
          <cell r="G109"/>
          <cell r="H109"/>
          <cell r="I109"/>
          <cell r="J109"/>
          <cell r="K109"/>
          <cell r="L109"/>
          <cell r="M109"/>
          <cell r="N109"/>
          <cell r="O109"/>
          <cell r="P109"/>
          <cell r="Q109"/>
          <cell r="R109"/>
          <cell r="S109"/>
          <cell r="T109"/>
          <cell r="U109"/>
          <cell r="V109"/>
          <cell r="W109"/>
          <cell r="X109"/>
          <cell r="Y109"/>
          <cell r="Z109"/>
          <cell r="AA109"/>
          <cell r="AB109"/>
          <cell r="AC109"/>
          <cell r="AD109"/>
          <cell r="AE109"/>
        </row>
        <row r="110">
          <cell r="G110"/>
          <cell r="H110"/>
          <cell r="I110"/>
          <cell r="J110"/>
          <cell r="K110"/>
          <cell r="L110"/>
          <cell r="M110"/>
          <cell r="N110"/>
          <cell r="O110"/>
          <cell r="P110"/>
          <cell r="Q110"/>
          <cell r="R110"/>
          <cell r="S110"/>
          <cell r="T110"/>
          <cell r="U110"/>
          <cell r="V110"/>
          <cell r="W110"/>
          <cell r="X110"/>
          <cell r="Y110"/>
          <cell r="Z110"/>
          <cell r="AA110"/>
          <cell r="AB110"/>
          <cell r="AC110"/>
          <cell r="AD110"/>
          <cell r="AE110"/>
        </row>
        <row r="111">
          <cell r="G111"/>
          <cell r="H111"/>
          <cell r="I111"/>
          <cell r="J111"/>
          <cell r="K111"/>
          <cell r="L111"/>
          <cell r="M111"/>
          <cell r="N111"/>
          <cell r="O111"/>
          <cell r="P111"/>
          <cell r="Q111"/>
          <cell r="R111"/>
          <cell r="S111"/>
          <cell r="T111"/>
          <cell r="U111"/>
          <cell r="V111"/>
          <cell r="W111"/>
          <cell r="X111"/>
          <cell r="Y111"/>
          <cell r="Z111"/>
          <cell r="AA111"/>
          <cell r="AB111"/>
          <cell r="AC111"/>
          <cell r="AD111"/>
          <cell r="AE111"/>
        </row>
        <row r="112">
          <cell r="G112"/>
          <cell r="H112"/>
          <cell r="I112"/>
          <cell r="J112"/>
          <cell r="K112"/>
          <cell r="L112"/>
          <cell r="M112"/>
          <cell r="N112"/>
          <cell r="O112"/>
          <cell r="P112"/>
          <cell r="Q112"/>
          <cell r="R112"/>
          <cell r="S112"/>
          <cell r="T112"/>
          <cell r="U112"/>
          <cell r="V112"/>
          <cell r="W112"/>
          <cell r="X112"/>
          <cell r="Y112"/>
          <cell r="Z112"/>
          <cell r="AA112"/>
          <cell r="AB112"/>
          <cell r="AC112"/>
          <cell r="AD112"/>
          <cell r="AE112"/>
        </row>
        <row r="113">
          <cell r="G113"/>
          <cell r="H113"/>
          <cell r="I113"/>
          <cell r="J113"/>
          <cell r="K113"/>
          <cell r="L113"/>
          <cell r="M113"/>
          <cell r="N113"/>
          <cell r="O113"/>
          <cell r="P113"/>
          <cell r="Q113"/>
          <cell r="R113"/>
          <cell r="S113"/>
          <cell r="T113"/>
          <cell r="U113"/>
          <cell r="V113"/>
          <cell r="W113"/>
          <cell r="X113"/>
          <cell r="Y113"/>
          <cell r="Z113"/>
          <cell r="AA113"/>
          <cell r="AB113"/>
          <cell r="AC113"/>
          <cell r="AD113"/>
          <cell r="AE113"/>
        </row>
        <row r="114">
          <cell r="G114"/>
          <cell r="H114"/>
          <cell r="I114"/>
          <cell r="J114"/>
          <cell r="K114"/>
          <cell r="L114"/>
          <cell r="M114"/>
          <cell r="N114"/>
          <cell r="O114"/>
          <cell r="P114"/>
          <cell r="Q114"/>
          <cell r="R114"/>
          <cell r="S114"/>
          <cell r="T114"/>
          <cell r="U114"/>
          <cell r="V114"/>
          <cell r="W114"/>
          <cell r="X114"/>
          <cell r="Y114"/>
          <cell r="Z114"/>
          <cell r="AA114"/>
          <cell r="AB114"/>
          <cell r="AC114"/>
          <cell r="AD114"/>
          <cell r="AE114"/>
        </row>
        <row r="115">
          <cell r="G115"/>
          <cell r="H115"/>
          <cell r="I115"/>
          <cell r="J115"/>
          <cell r="K115"/>
          <cell r="L115"/>
          <cell r="M115"/>
          <cell r="N115"/>
          <cell r="O115"/>
          <cell r="P115"/>
          <cell r="Q115"/>
          <cell r="R115"/>
          <cell r="S115"/>
          <cell r="T115"/>
          <cell r="U115"/>
          <cell r="V115"/>
          <cell r="W115"/>
          <cell r="X115"/>
          <cell r="Y115"/>
          <cell r="Z115"/>
          <cell r="AA115"/>
          <cell r="AB115"/>
          <cell r="AC115"/>
          <cell r="AD115"/>
          <cell r="AE115"/>
        </row>
        <row r="116">
          <cell r="G116"/>
          <cell r="H116"/>
          <cell r="I116"/>
          <cell r="J116"/>
          <cell r="K116"/>
          <cell r="L116"/>
          <cell r="M116"/>
          <cell r="N116"/>
          <cell r="O116"/>
          <cell r="P116"/>
          <cell r="Q116"/>
          <cell r="R116"/>
          <cell r="S116"/>
          <cell r="T116"/>
          <cell r="U116"/>
          <cell r="V116"/>
          <cell r="W116"/>
          <cell r="X116"/>
          <cell r="Y116"/>
          <cell r="Z116"/>
          <cell r="AA116"/>
          <cell r="AB116"/>
          <cell r="AC116"/>
          <cell r="AD116"/>
          <cell r="AE116"/>
        </row>
        <row r="117">
          <cell r="G117"/>
          <cell r="H117"/>
          <cell r="I117"/>
          <cell r="J117"/>
          <cell r="K117"/>
          <cell r="L117"/>
          <cell r="M117"/>
          <cell r="N117"/>
          <cell r="O117"/>
          <cell r="P117"/>
          <cell r="Q117"/>
          <cell r="R117"/>
          <cell r="S117"/>
          <cell r="T117"/>
          <cell r="U117"/>
          <cell r="V117"/>
          <cell r="W117"/>
          <cell r="X117"/>
          <cell r="Y117"/>
          <cell r="Z117"/>
          <cell r="AA117"/>
          <cell r="AB117"/>
          <cell r="AC117"/>
          <cell r="AD117"/>
          <cell r="AE117"/>
        </row>
        <row r="118">
          <cell r="G118"/>
          <cell r="H118"/>
          <cell r="I118"/>
          <cell r="J118"/>
          <cell r="K118"/>
          <cell r="L118"/>
          <cell r="M118"/>
          <cell r="N118"/>
          <cell r="O118"/>
          <cell r="P118"/>
          <cell r="Q118"/>
          <cell r="R118"/>
          <cell r="S118"/>
          <cell r="T118"/>
          <cell r="U118"/>
          <cell r="V118"/>
          <cell r="W118"/>
          <cell r="X118"/>
          <cell r="Y118"/>
          <cell r="Z118"/>
          <cell r="AA118"/>
          <cell r="AB118"/>
          <cell r="AC118"/>
          <cell r="AD118"/>
          <cell r="AE118"/>
        </row>
        <row r="119">
          <cell r="G119"/>
          <cell r="H119"/>
          <cell r="I119"/>
          <cell r="J119"/>
          <cell r="K119"/>
          <cell r="L119"/>
          <cell r="M119"/>
          <cell r="N119"/>
          <cell r="O119"/>
          <cell r="P119"/>
          <cell r="Q119"/>
          <cell r="R119"/>
          <cell r="S119"/>
          <cell r="T119"/>
          <cell r="U119"/>
          <cell r="V119"/>
          <cell r="W119"/>
          <cell r="X119"/>
          <cell r="Y119"/>
          <cell r="Z119"/>
          <cell r="AA119"/>
          <cell r="AB119"/>
          <cell r="AC119"/>
          <cell r="AD119"/>
          <cell r="AE119"/>
        </row>
        <row r="120">
          <cell r="G120"/>
          <cell r="H120"/>
          <cell r="I120"/>
          <cell r="J120"/>
          <cell r="K120"/>
          <cell r="L120"/>
          <cell r="M120"/>
          <cell r="N120"/>
          <cell r="O120"/>
          <cell r="P120"/>
          <cell r="Q120"/>
          <cell r="R120"/>
          <cell r="S120"/>
          <cell r="T120"/>
          <cell r="U120"/>
          <cell r="V120"/>
          <cell r="W120"/>
          <cell r="X120"/>
          <cell r="Y120"/>
          <cell r="Z120"/>
          <cell r="AA120"/>
          <cell r="AB120"/>
          <cell r="AC120"/>
          <cell r="AD120"/>
          <cell r="AE120"/>
        </row>
        <row r="121">
          <cell r="G121"/>
          <cell r="H121"/>
          <cell r="I121"/>
          <cell r="J121"/>
          <cell r="K121"/>
          <cell r="L121"/>
          <cell r="M121"/>
          <cell r="N121"/>
          <cell r="O121"/>
          <cell r="P121"/>
          <cell r="Q121"/>
          <cell r="R121"/>
          <cell r="S121"/>
          <cell r="T121"/>
          <cell r="U121"/>
          <cell r="V121"/>
          <cell r="W121"/>
          <cell r="X121"/>
          <cell r="Y121"/>
          <cell r="Z121"/>
          <cell r="AA121"/>
          <cell r="AB121"/>
          <cell r="AC121"/>
          <cell r="AD121"/>
          <cell r="AE121"/>
        </row>
        <row r="122">
          <cell r="G122"/>
          <cell r="H122"/>
          <cell r="I122"/>
          <cell r="J122"/>
          <cell r="K122"/>
          <cell r="L122"/>
          <cell r="M122"/>
          <cell r="N122"/>
          <cell r="O122"/>
          <cell r="P122"/>
          <cell r="Q122"/>
          <cell r="R122"/>
          <cell r="S122"/>
          <cell r="T122"/>
          <cell r="U122"/>
          <cell r="V122"/>
          <cell r="W122"/>
          <cell r="X122"/>
          <cell r="Y122"/>
          <cell r="Z122"/>
          <cell r="AA122"/>
          <cell r="AB122"/>
          <cell r="AC122"/>
          <cell r="AD122"/>
          <cell r="AE122"/>
        </row>
        <row r="123">
          <cell r="G123"/>
          <cell r="H123"/>
          <cell r="I123"/>
          <cell r="J123"/>
          <cell r="K123"/>
          <cell r="L123"/>
          <cell r="M123"/>
          <cell r="N123"/>
          <cell r="O123"/>
          <cell r="P123"/>
          <cell r="Q123"/>
          <cell r="R123"/>
          <cell r="S123"/>
          <cell r="T123"/>
          <cell r="U123"/>
          <cell r="V123"/>
          <cell r="W123"/>
          <cell r="X123"/>
          <cell r="Y123"/>
          <cell r="Z123"/>
          <cell r="AA123"/>
          <cell r="AB123"/>
          <cell r="AC123"/>
          <cell r="AD123"/>
          <cell r="AE123"/>
        </row>
        <row r="124">
          <cell r="G124"/>
          <cell r="H124"/>
          <cell r="I124"/>
          <cell r="J124"/>
          <cell r="K124"/>
          <cell r="L124"/>
          <cell r="M124"/>
          <cell r="N124"/>
          <cell r="O124"/>
          <cell r="P124"/>
          <cell r="Q124"/>
          <cell r="R124"/>
          <cell r="S124"/>
          <cell r="T124"/>
          <cell r="U124"/>
          <cell r="V124"/>
          <cell r="W124"/>
          <cell r="X124"/>
          <cell r="Y124"/>
          <cell r="Z124"/>
          <cell r="AA124"/>
          <cell r="AB124"/>
          <cell r="AC124"/>
          <cell r="AD124"/>
          <cell r="AE124"/>
        </row>
        <row r="125">
          <cell r="G125"/>
          <cell r="H125"/>
          <cell r="I125"/>
          <cell r="J125"/>
          <cell r="K125"/>
          <cell r="L125"/>
          <cell r="M125"/>
          <cell r="N125"/>
          <cell r="O125"/>
          <cell r="P125"/>
          <cell r="Q125"/>
          <cell r="R125"/>
          <cell r="S125"/>
          <cell r="T125"/>
          <cell r="U125"/>
          <cell r="V125"/>
          <cell r="W125"/>
          <cell r="X125"/>
          <cell r="Y125"/>
          <cell r="Z125"/>
          <cell r="AA125"/>
          <cell r="AB125"/>
          <cell r="AC125"/>
          <cell r="AD125"/>
          <cell r="AE125"/>
        </row>
        <row r="126">
          <cell r="G126"/>
          <cell r="H126"/>
          <cell r="I126"/>
          <cell r="J126"/>
          <cell r="K126"/>
          <cell r="L126"/>
          <cell r="M126"/>
          <cell r="N126"/>
          <cell r="O126"/>
          <cell r="P126"/>
          <cell r="Q126"/>
          <cell r="R126"/>
          <cell r="S126"/>
          <cell r="T126"/>
          <cell r="U126"/>
          <cell r="V126"/>
          <cell r="W126"/>
          <cell r="X126"/>
          <cell r="Y126"/>
          <cell r="Z126"/>
          <cell r="AA126"/>
          <cell r="AB126"/>
          <cell r="AC126"/>
          <cell r="AD126"/>
          <cell r="AE126"/>
        </row>
        <row r="127">
          <cell r="G127"/>
          <cell r="H127"/>
          <cell r="I127"/>
          <cell r="J127"/>
          <cell r="K127"/>
          <cell r="L127"/>
          <cell r="M127"/>
          <cell r="N127"/>
          <cell r="O127"/>
          <cell r="P127"/>
          <cell r="Q127"/>
          <cell r="R127"/>
          <cell r="S127"/>
          <cell r="T127"/>
          <cell r="U127"/>
          <cell r="V127"/>
          <cell r="W127"/>
          <cell r="X127"/>
          <cell r="Y127"/>
          <cell r="Z127"/>
          <cell r="AA127"/>
          <cell r="AB127"/>
          <cell r="AC127"/>
          <cell r="AD127"/>
          <cell r="AE127"/>
        </row>
        <row r="128">
          <cell r="G128"/>
          <cell r="H128"/>
          <cell r="I128"/>
          <cell r="J128"/>
          <cell r="K128"/>
          <cell r="L128"/>
          <cell r="M128"/>
          <cell r="N128"/>
          <cell r="O128"/>
          <cell r="P128"/>
          <cell r="Q128"/>
          <cell r="R128"/>
          <cell r="S128"/>
          <cell r="T128"/>
          <cell r="U128"/>
          <cell r="V128"/>
          <cell r="W128"/>
          <cell r="X128"/>
          <cell r="Y128"/>
          <cell r="Z128"/>
          <cell r="AA128"/>
          <cell r="AB128"/>
          <cell r="AC128"/>
          <cell r="AD128"/>
          <cell r="AE128"/>
        </row>
        <row r="129">
          <cell r="G129"/>
          <cell r="H129"/>
          <cell r="I129"/>
          <cell r="J129"/>
          <cell r="K129"/>
          <cell r="L129"/>
          <cell r="M129"/>
          <cell r="N129"/>
          <cell r="O129"/>
          <cell r="P129"/>
          <cell r="Q129"/>
          <cell r="R129"/>
          <cell r="S129"/>
          <cell r="T129"/>
          <cell r="U129"/>
          <cell r="V129"/>
          <cell r="W129"/>
          <cell r="X129"/>
          <cell r="Y129"/>
          <cell r="Z129"/>
          <cell r="AA129"/>
          <cell r="AB129"/>
          <cell r="AC129"/>
          <cell r="AD129"/>
          <cell r="AE129"/>
        </row>
        <row r="130">
          <cell r="G130"/>
          <cell r="H130"/>
          <cell r="I130"/>
          <cell r="J130"/>
          <cell r="K130"/>
          <cell r="L130"/>
          <cell r="M130"/>
          <cell r="N130"/>
          <cell r="O130"/>
          <cell r="P130"/>
          <cell r="Q130"/>
          <cell r="R130"/>
          <cell r="S130"/>
          <cell r="T130"/>
          <cell r="U130"/>
          <cell r="V130"/>
          <cell r="W130"/>
          <cell r="X130"/>
          <cell r="Y130"/>
          <cell r="Z130"/>
          <cell r="AA130"/>
          <cell r="AB130"/>
          <cell r="AC130"/>
          <cell r="AD130"/>
          <cell r="AE130"/>
        </row>
        <row r="131">
          <cell r="G131"/>
          <cell r="H131"/>
          <cell r="I131"/>
          <cell r="J131"/>
          <cell r="K131"/>
          <cell r="L131"/>
          <cell r="M131"/>
          <cell r="N131"/>
          <cell r="O131"/>
          <cell r="P131"/>
          <cell r="Q131"/>
          <cell r="R131"/>
          <cell r="S131"/>
          <cell r="T131"/>
          <cell r="U131"/>
          <cell r="V131"/>
          <cell r="W131"/>
          <cell r="X131"/>
          <cell r="Y131"/>
          <cell r="Z131"/>
          <cell r="AA131"/>
          <cell r="AB131"/>
          <cell r="AC131"/>
          <cell r="AD131"/>
          <cell r="AE131"/>
        </row>
        <row r="132">
          <cell r="G132"/>
          <cell r="H132"/>
          <cell r="I132"/>
          <cell r="J132"/>
          <cell r="K132"/>
          <cell r="L132"/>
          <cell r="M132"/>
          <cell r="N132"/>
          <cell r="O132"/>
          <cell r="P132"/>
          <cell r="Q132"/>
          <cell r="R132"/>
          <cell r="S132"/>
          <cell r="T132"/>
          <cell r="U132"/>
          <cell r="V132"/>
          <cell r="W132"/>
          <cell r="X132"/>
          <cell r="Y132"/>
          <cell r="Z132"/>
          <cell r="AA132"/>
          <cell r="AB132"/>
          <cell r="AC132"/>
          <cell r="AD132"/>
          <cell r="AE132"/>
        </row>
        <row r="133">
          <cell r="G133"/>
          <cell r="H133"/>
          <cell r="I133"/>
          <cell r="J133"/>
          <cell r="K133"/>
          <cell r="L133"/>
          <cell r="M133"/>
          <cell r="N133"/>
          <cell r="O133"/>
          <cell r="P133"/>
          <cell r="Q133"/>
          <cell r="R133"/>
          <cell r="S133"/>
          <cell r="T133"/>
          <cell r="U133"/>
          <cell r="V133"/>
          <cell r="W133"/>
          <cell r="X133"/>
          <cell r="Y133"/>
          <cell r="Z133"/>
          <cell r="AA133"/>
          <cell r="AB133"/>
          <cell r="AC133"/>
          <cell r="AD133"/>
          <cell r="AE133"/>
        </row>
        <row r="134">
          <cell r="G134"/>
          <cell r="H134"/>
          <cell r="I134"/>
          <cell r="J134"/>
          <cell r="K134"/>
          <cell r="L134"/>
          <cell r="M134"/>
          <cell r="N134"/>
          <cell r="O134"/>
          <cell r="P134"/>
          <cell r="Q134"/>
          <cell r="R134"/>
          <cell r="S134"/>
          <cell r="T134"/>
          <cell r="U134"/>
          <cell r="V134"/>
          <cell r="W134"/>
          <cell r="X134"/>
          <cell r="Y134"/>
          <cell r="Z134"/>
          <cell r="AA134"/>
          <cell r="AB134"/>
          <cell r="AC134"/>
          <cell r="AD134"/>
          <cell r="AE134"/>
        </row>
        <row r="135">
          <cell r="G135"/>
          <cell r="H135"/>
          <cell r="I135"/>
          <cell r="J135"/>
          <cell r="K135"/>
          <cell r="L135"/>
          <cell r="M135"/>
          <cell r="N135"/>
          <cell r="O135"/>
          <cell r="P135"/>
          <cell r="Q135"/>
          <cell r="R135"/>
          <cell r="S135"/>
          <cell r="T135"/>
          <cell r="U135"/>
          <cell r="V135"/>
          <cell r="W135"/>
          <cell r="X135"/>
          <cell r="Y135"/>
          <cell r="Z135"/>
          <cell r="AA135"/>
          <cell r="AB135"/>
          <cell r="AC135"/>
          <cell r="AD135"/>
          <cell r="AE135"/>
        </row>
        <row r="136">
          <cell r="G136"/>
          <cell r="H136"/>
          <cell r="I136"/>
          <cell r="J136"/>
          <cell r="K136"/>
          <cell r="L136"/>
          <cell r="M136"/>
          <cell r="N136"/>
          <cell r="O136"/>
          <cell r="P136"/>
          <cell r="Q136"/>
          <cell r="R136"/>
          <cell r="S136"/>
          <cell r="T136"/>
          <cell r="U136"/>
          <cell r="V136"/>
          <cell r="W136"/>
          <cell r="X136"/>
          <cell r="Y136"/>
          <cell r="Z136"/>
          <cell r="AA136"/>
          <cell r="AB136"/>
          <cell r="AC136"/>
          <cell r="AD136"/>
          <cell r="AE136"/>
        </row>
        <row r="137">
          <cell r="G137"/>
          <cell r="H137"/>
          <cell r="I137"/>
          <cell r="J137"/>
          <cell r="K137"/>
          <cell r="L137"/>
          <cell r="M137"/>
          <cell r="N137"/>
          <cell r="O137"/>
          <cell r="P137"/>
          <cell r="Q137"/>
          <cell r="R137"/>
          <cell r="S137"/>
          <cell r="T137"/>
          <cell r="U137"/>
          <cell r="V137"/>
          <cell r="W137"/>
          <cell r="X137"/>
          <cell r="Y137"/>
          <cell r="Z137"/>
          <cell r="AA137"/>
          <cell r="AB137"/>
          <cell r="AC137"/>
          <cell r="AD137"/>
          <cell r="AE137"/>
        </row>
        <row r="138">
          <cell r="G138"/>
          <cell r="H138"/>
          <cell r="I138"/>
          <cell r="J138"/>
          <cell r="K138"/>
          <cell r="L138"/>
          <cell r="M138"/>
          <cell r="N138"/>
          <cell r="O138"/>
          <cell r="P138"/>
          <cell r="Q138"/>
          <cell r="R138"/>
          <cell r="S138"/>
          <cell r="T138"/>
          <cell r="U138"/>
          <cell r="V138"/>
          <cell r="W138"/>
          <cell r="X138"/>
          <cell r="Y138"/>
          <cell r="Z138"/>
          <cell r="AA138"/>
          <cell r="AB138"/>
          <cell r="AC138"/>
          <cell r="AD138"/>
          <cell r="AE138"/>
        </row>
        <row r="139">
          <cell r="G139"/>
          <cell r="H139"/>
          <cell r="I139"/>
          <cell r="J139"/>
          <cell r="K139"/>
          <cell r="L139"/>
          <cell r="M139"/>
          <cell r="N139"/>
          <cell r="O139"/>
          <cell r="P139"/>
          <cell r="Q139"/>
          <cell r="R139"/>
          <cell r="S139"/>
          <cell r="T139"/>
          <cell r="U139"/>
          <cell r="V139"/>
          <cell r="W139"/>
          <cell r="X139"/>
          <cell r="Y139"/>
          <cell r="Z139"/>
          <cell r="AA139"/>
          <cell r="AB139"/>
          <cell r="AC139"/>
          <cell r="AD139"/>
          <cell r="AE139"/>
        </row>
        <row r="140">
          <cell r="G140"/>
          <cell r="H140"/>
          <cell r="I140"/>
          <cell r="J140"/>
          <cell r="K140"/>
          <cell r="L140"/>
          <cell r="M140"/>
          <cell r="N140"/>
          <cell r="O140"/>
          <cell r="P140"/>
          <cell r="Q140"/>
          <cell r="R140"/>
          <cell r="S140"/>
          <cell r="T140"/>
          <cell r="U140"/>
          <cell r="V140"/>
          <cell r="W140"/>
          <cell r="X140"/>
          <cell r="Y140"/>
          <cell r="Z140"/>
          <cell r="AA140"/>
          <cell r="AB140"/>
          <cell r="AC140"/>
          <cell r="AD140"/>
          <cell r="AE140"/>
        </row>
        <row r="141">
          <cell r="G141"/>
          <cell r="H141"/>
          <cell r="I141"/>
          <cell r="J141"/>
          <cell r="K141"/>
          <cell r="L141"/>
          <cell r="M141"/>
          <cell r="N141"/>
          <cell r="O141"/>
          <cell r="P141"/>
          <cell r="Q141"/>
          <cell r="R141"/>
          <cell r="S141"/>
          <cell r="T141"/>
          <cell r="U141"/>
          <cell r="V141"/>
          <cell r="W141"/>
          <cell r="X141"/>
          <cell r="Y141"/>
          <cell r="Z141"/>
          <cell r="AA141"/>
          <cell r="AB141"/>
          <cell r="AC141"/>
          <cell r="AD141"/>
          <cell r="AE141"/>
        </row>
        <row r="142">
          <cell r="G142"/>
          <cell r="H142"/>
          <cell r="I142"/>
          <cell r="J142"/>
          <cell r="K142"/>
          <cell r="L142"/>
          <cell r="M142"/>
          <cell r="N142"/>
          <cell r="O142"/>
          <cell r="P142"/>
          <cell r="Q142"/>
          <cell r="R142"/>
          <cell r="S142"/>
          <cell r="T142"/>
          <cell r="U142"/>
          <cell r="V142"/>
          <cell r="W142"/>
          <cell r="X142"/>
          <cell r="Y142"/>
          <cell r="Z142"/>
          <cell r="AA142"/>
          <cell r="AB142"/>
          <cell r="AC142"/>
          <cell r="AD142"/>
          <cell r="AE142"/>
        </row>
        <row r="143">
          <cell r="G143"/>
          <cell r="H143"/>
          <cell r="I143"/>
          <cell r="J143"/>
          <cell r="K143"/>
          <cell r="L143"/>
          <cell r="M143"/>
          <cell r="N143"/>
          <cell r="O143"/>
          <cell r="P143"/>
          <cell r="Q143"/>
          <cell r="R143"/>
          <cell r="S143"/>
          <cell r="T143"/>
          <cell r="U143"/>
          <cell r="V143"/>
          <cell r="W143"/>
          <cell r="X143"/>
          <cell r="Y143"/>
          <cell r="Z143"/>
          <cell r="AA143"/>
          <cell r="AB143"/>
          <cell r="AC143"/>
          <cell r="AD143"/>
          <cell r="AE143"/>
        </row>
        <row r="144">
          <cell r="G144"/>
          <cell r="H144"/>
          <cell r="I144"/>
          <cell r="J144"/>
          <cell r="K144"/>
          <cell r="L144"/>
          <cell r="M144"/>
          <cell r="N144"/>
          <cell r="O144"/>
          <cell r="P144"/>
          <cell r="Q144"/>
          <cell r="R144"/>
          <cell r="S144"/>
          <cell r="T144"/>
          <cell r="U144"/>
          <cell r="V144"/>
          <cell r="W144"/>
          <cell r="X144"/>
          <cell r="Y144"/>
          <cell r="Z144"/>
          <cell r="AA144"/>
          <cell r="AB144"/>
          <cell r="AC144"/>
          <cell r="AD144"/>
          <cell r="AE144"/>
        </row>
        <row r="145">
          <cell r="G145"/>
          <cell r="H145"/>
          <cell r="I145"/>
          <cell r="J145"/>
          <cell r="K145"/>
          <cell r="L145"/>
          <cell r="M145"/>
          <cell r="N145"/>
          <cell r="O145"/>
          <cell r="P145"/>
          <cell r="Q145"/>
          <cell r="R145"/>
          <cell r="S145"/>
          <cell r="T145"/>
          <cell r="U145"/>
          <cell r="V145"/>
          <cell r="W145"/>
          <cell r="X145"/>
          <cell r="Y145"/>
          <cell r="Z145"/>
          <cell r="AA145"/>
          <cell r="AB145"/>
          <cell r="AC145"/>
          <cell r="AD145"/>
          <cell r="AE145"/>
        </row>
        <row r="146">
          <cell r="G146"/>
          <cell r="H146"/>
          <cell r="I146"/>
          <cell r="J146"/>
          <cell r="K146"/>
          <cell r="L146"/>
          <cell r="M146"/>
          <cell r="N146"/>
          <cell r="O146"/>
          <cell r="P146"/>
          <cell r="Q146"/>
          <cell r="R146"/>
          <cell r="S146"/>
          <cell r="T146"/>
          <cell r="U146"/>
          <cell r="V146"/>
          <cell r="W146"/>
          <cell r="X146"/>
          <cell r="Y146"/>
          <cell r="Z146"/>
          <cell r="AA146"/>
          <cell r="AB146"/>
          <cell r="AC146"/>
          <cell r="AD146"/>
          <cell r="AE146"/>
        </row>
        <row r="147">
          <cell r="G147"/>
          <cell r="H147"/>
          <cell r="I147"/>
          <cell r="J147"/>
          <cell r="K147"/>
          <cell r="L147"/>
          <cell r="M147"/>
          <cell r="N147"/>
          <cell r="O147"/>
          <cell r="P147"/>
          <cell r="Q147"/>
          <cell r="R147"/>
          <cell r="S147"/>
          <cell r="T147"/>
          <cell r="U147"/>
          <cell r="V147"/>
          <cell r="W147"/>
          <cell r="X147"/>
          <cell r="Y147"/>
          <cell r="Z147"/>
          <cell r="AA147"/>
          <cell r="AB147"/>
          <cell r="AC147"/>
          <cell r="AD147"/>
          <cell r="AE147"/>
        </row>
        <row r="148">
          <cell r="G148"/>
          <cell r="H148"/>
          <cell r="I148"/>
          <cell r="J148"/>
          <cell r="K148"/>
          <cell r="L148"/>
          <cell r="M148"/>
          <cell r="N148"/>
          <cell r="O148"/>
          <cell r="P148"/>
          <cell r="Q148"/>
          <cell r="R148"/>
          <cell r="S148"/>
          <cell r="T148"/>
          <cell r="U148"/>
          <cell r="V148"/>
          <cell r="W148"/>
          <cell r="X148"/>
          <cell r="Y148"/>
          <cell r="Z148"/>
          <cell r="AA148"/>
          <cell r="AB148"/>
          <cell r="AC148"/>
          <cell r="AD148"/>
          <cell r="AE148"/>
        </row>
        <row r="149">
          <cell r="G149"/>
          <cell r="H149"/>
          <cell r="I149"/>
          <cell r="J149"/>
          <cell r="K149"/>
          <cell r="L149"/>
          <cell r="M149"/>
          <cell r="N149"/>
          <cell r="O149"/>
          <cell r="P149"/>
          <cell r="Q149"/>
          <cell r="R149"/>
          <cell r="S149"/>
          <cell r="T149"/>
          <cell r="U149"/>
          <cell r="V149"/>
          <cell r="W149"/>
          <cell r="X149"/>
          <cell r="Y149"/>
          <cell r="Z149"/>
          <cell r="AA149"/>
          <cell r="AB149"/>
          <cell r="AC149"/>
          <cell r="AD149"/>
          <cell r="AE149"/>
        </row>
        <row r="150">
          <cell r="G150"/>
          <cell r="H150"/>
          <cell r="I150"/>
          <cell r="J150"/>
          <cell r="K150"/>
          <cell r="L150"/>
          <cell r="M150"/>
          <cell r="N150"/>
          <cell r="O150"/>
          <cell r="P150"/>
          <cell r="Q150"/>
          <cell r="R150"/>
          <cell r="S150"/>
          <cell r="T150"/>
          <cell r="U150"/>
          <cell r="V150"/>
          <cell r="W150"/>
          <cell r="X150"/>
          <cell r="Y150"/>
          <cell r="Z150"/>
          <cell r="AA150"/>
          <cell r="AB150"/>
          <cell r="AC150"/>
          <cell r="AD150"/>
          <cell r="AE150"/>
        </row>
        <row r="151">
          <cell r="G151"/>
          <cell r="H151"/>
          <cell r="I151"/>
          <cell r="J151"/>
          <cell r="K151"/>
          <cell r="L151"/>
          <cell r="M151"/>
          <cell r="N151"/>
          <cell r="O151"/>
          <cell r="P151"/>
          <cell r="Q151"/>
          <cell r="R151"/>
          <cell r="S151"/>
          <cell r="T151"/>
          <cell r="U151"/>
          <cell r="V151"/>
          <cell r="W151"/>
          <cell r="X151"/>
          <cell r="Y151"/>
          <cell r="Z151"/>
          <cell r="AA151"/>
          <cell r="AB151"/>
          <cell r="AC151"/>
          <cell r="AD151"/>
          <cell r="AE151"/>
        </row>
        <row r="152">
          <cell r="G152"/>
          <cell r="H152"/>
          <cell r="I152"/>
          <cell r="J152"/>
          <cell r="K152"/>
          <cell r="L152"/>
          <cell r="M152"/>
          <cell r="N152"/>
          <cell r="O152"/>
          <cell r="P152"/>
          <cell r="Q152"/>
          <cell r="R152"/>
          <cell r="S152"/>
          <cell r="T152"/>
          <cell r="U152"/>
          <cell r="V152"/>
          <cell r="W152"/>
          <cell r="X152"/>
          <cell r="Y152"/>
          <cell r="Z152"/>
          <cell r="AA152"/>
          <cell r="AB152"/>
          <cell r="AC152"/>
          <cell r="AD152"/>
          <cell r="AE152"/>
        </row>
        <row r="153">
          <cell r="G153"/>
          <cell r="H153"/>
          <cell r="I153"/>
          <cell r="J153"/>
          <cell r="K153"/>
          <cell r="L153"/>
          <cell r="M153"/>
          <cell r="N153"/>
          <cell r="O153"/>
          <cell r="P153"/>
          <cell r="Q153"/>
          <cell r="R153"/>
          <cell r="S153"/>
          <cell r="T153"/>
          <cell r="U153"/>
          <cell r="V153"/>
          <cell r="W153"/>
          <cell r="X153"/>
          <cell r="Y153"/>
          <cell r="Z153"/>
          <cell r="AA153"/>
          <cell r="AB153"/>
          <cell r="AC153"/>
          <cell r="AD153"/>
          <cell r="AE153"/>
        </row>
        <row r="154">
          <cell r="G154"/>
          <cell r="H154"/>
          <cell r="I154"/>
          <cell r="J154"/>
          <cell r="K154"/>
          <cell r="L154"/>
          <cell r="M154"/>
          <cell r="N154"/>
          <cell r="O154"/>
          <cell r="P154"/>
          <cell r="Q154"/>
          <cell r="R154"/>
          <cell r="S154"/>
          <cell r="T154"/>
          <cell r="U154"/>
          <cell r="V154"/>
          <cell r="W154"/>
          <cell r="X154"/>
          <cell r="Y154"/>
          <cell r="Z154"/>
          <cell r="AA154"/>
          <cell r="AB154"/>
          <cell r="AC154"/>
          <cell r="AD154"/>
          <cell r="AE154"/>
        </row>
        <row r="155">
          <cell r="G155"/>
          <cell r="H155"/>
          <cell r="I155"/>
          <cell r="J155"/>
          <cell r="K155"/>
          <cell r="L155"/>
          <cell r="M155"/>
          <cell r="N155"/>
          <cell r="O155"/>
          <cell r="P155"/>
          <cell r="Q155"/>
          <cell r="R155"/>
          <cell r="S155"/>
          <cell r="T155"/>
          <cell r="U155"/>
          <cell r="V155"/>
          <cell r="W155"/>
          <cell r="X155"/>
          <cell r="Y155"/>
          <cell r="Z155"/>
          <cell r="AA155"/>
          <cell r="AB155"/>
          <cell r="AC155"/>
          <cell r="AD155"/>
          <cell r="AE155"/>
        </row>
        <row r="156">
          <cell r="G156"/>
          <cell r="H156"/>
          <cell r="I156"/>
          <cell r="J156"/>
          <cell r="K156"/>
          <cell r="L156"/>
          <cell r="M156"/>
          <cell r="N156"/>
          <cell r="O156"/>
          <cell r="P156"/>
          <cell r="Q156"/>
          <cell r="R156"/>
          <cell r="S156"/>
          <cell r="T156"/>
          <cell r="U156"/>
          <cell r="V156"/>
          <cell r="W156"/>
          <cell r="X156"/>
          <cell r="Y156"/>
          <cell r="Z156"/>
          <cell r="AA156"/>
          <cell r="AB156"/>
          <cell r="AC156"/>
          <cell r="AD156"/>
          <cell r="AE156"/>
        </row>
        <row r="157">
          <cell r="G157"/>
          <cell r="H157"/>
          <cell r="I157"/>
          <cell r="J157"/>
          <cell r="K157"/>
          <cell r="L157"/>
          <cell r="M157"/>
          <cell r="N157"/>
          <cell r="O157"/>
          <cell r="P157"/>
          <cell r="Q157"/>
          <cell r="R157"/>
          <cell r="S157"/>
          <cell r="T157"/>
          <cell r="U157"/>
          <cell r="V157"/>
          <cell r="W157"/>
          <cell r="X157"/>
          <cell r="Y157"/>
          <cell r="Z157"/>
          <cell r="AA157"/>
          <cell r="AB157"/>
          <cell r="AC157"/>
          <cell r="AD157"/>
          <cell r="AE157"/>
        </row>
        <row r="158">
          <cell r="G158"/>
          <cell r="H158"/>
          <cell r="I158"/>
          <cell r="J158"/>
          <cell r="K158"/>
          <cell r="L158"/>
          <cell r="M158"/>
          <cell r="N158"/>
          <cell r="O158"/>
          <cell r="P158"/>
          <cell r="Q158"/>
          <cell r="R158"/>
          <cell r="S158"/>
          <cell r="T158"/>
          <cell r="U158"/>
          <cell r="V158"/>
          <cell r="W158"/>
          <cell r="X158"/>
          <cell r="Y158"/>
          <cell r="Z158"/>
          <cell r="AA158"/>
          <cell r="AB158"/>
          <cell r="AC158"/>
          <cell r="AD158"/>
          <cell r="AE158"/>
        </row>
        <row r="159">
          <cell r="G159"/>
          <cell r="H159"/>
          <cell r="I159"/>
          <cell r="J159"/>
          <cell r="K159"/>
          <cell r="L159"/>
          <cell r="M159"/>
          <cell r="N159"/>
          <cell r="O159"/>
          <cell r="P159"/>
          <cell r="Q159"/>
          <cell r="R159"/>
          <cell r="S159"/>
          <cell r="T159"/>
          <cell r="U159"/>
          <cell r="V159"/>
          <cell r="W159"/>
          <cell r="X159"/>
          <cell r="Y159"/>
          <cell r="Z159"/>
          <cell r="AA159"/>
          <cell r="AB159"/>
          <cell r="AC159"/>
          <cell r="AD159"/>
          <cell r="AE159"/>
        </row>
        <row r="160">
          <cell r="G160"/>
          <cell r="H160"/>
          <cell r="I160"/>
          <cell r="J160"/>
          <cell r="K160"/>
          <cell r="L160"/>
          <cell r="M160"/>
          <cell r="N160"/>
          <cell r="O160"/>
          <cell r="P160"/>
          <cell r="Q160"/>
          <cell r="R160"/>
          <cell r="S160"/>
          <cell r="T160"/>
          <cell r="U160"/>
          <cell r="V160"/>
          <cell r="W160"/>
          <cell r="X160"/>
          <cell r="Y160"/>
          <cell r="Z160"/>
          <cell r="AA160"/>
          <cell r="AB160"/>
          <cell r="AC160"/>
          <cell r="AD160"/>
          <cell r="AE160"/>
        </row>
        <row r="161">
          <cell r="G161"/>
          <cell r="H161"/>
          <cell r="I161"/>
          <cell r="J161"/>
          <cell r="K161"/>
          <cell r="L161"/>
          <cell r="M161"/>
          <cell r="N161"/>
          <cell r="O161"/>
          <cell r="P161"/>
          <cell r="Q161"/>
          <cell r="R161"/>
          <cell r="S161"/>
          <cell r="T161"/>
          <cell r="U161"/>
          <cell r="V161"/>
          <cell r="W161"/>
          <cell r="X161"/>
          <cell r="Y161"/>
          <cell r="Z161"/>
          <cell r="AA161"/>
          <cell r="AB161"/>
          <cell r="AC161"/>
          <cell r="AD161"/>
          <cell r="AE161"/>
        </row>
        <row r="162">
          <cell r="G162"/>
          <cell r="H162"/>
          <cell r="I162"/>
          <cell r="J162"/>
          <cell r="K162"/>
          <cell r="L162"/>
          <cell r="M162"/>
          <cell r="N162"/>
          <cell r="O162"/>
          <cell r="P162"/>
          <cell r="Q162"/>
          <cell r="R162"/>
          <cell r="S162"/>
          <cell r="T162"/>
          <cell r="U162"/>
          <cell r="V162"/>
          <cell r="W162"/>
          <cell r="X162"/>
          <cell r="Y162"/>
          <cell r="Z162"/>
          <cell r="AA162"/>
          <cell r="AB162"/>
          <cell r="AC162"/>
          <cell r="AD162"/>
          <cell r="AE162"/>
        </row>
        <row r="163">
          <cell r="G163"/>
          <cell r="H163"/>
          <cell r="I163"/>
          <cell r="J163"/>
          <cell r="K163"/>
          <cell r="L163"/>
          <cell r="M163"/>
          <cell r="N163"/>
          <cell r="O163"/>
          <cell r="P163"/>
          <cell r="Q163"/>
          <cell r="R163"/>
          <cell r="S163"/>
          <cell r="T163"/>
          <cell r="U163"/>
          <cell r="V163"/>
          <cell r="W163"/>
          <cell r="X163"/>
          <cell r="Y163"/>
          <cell r="Z163"/>
          <cell r="AA163"/>
          <cell r="AB163"/>
          <cell r="AC163"/>
          <cell r="AD163"/>
          <cell r="AE163"/>
        </row>
        <row r="164">
          <cell r="G164"/>
          <cell r="H164"/>
          <cell r="I164"/>
          <cell r="J164"/>
          <cell r="K164"/>
          <cell r="L164"/>
          <cell r="M164"/>
          <cell r="N164"/>
          <cell r="O164"/>
          <cell r="P164"/>
          <cell r="Q164"/>
          <cell r="R164"/>
          <cell r="S164"/>
          <cell r="T164"/>
          <cell r="U164"/>
          <cell r="V164"/>
          <cell r="W164"/>
          <cell r="X164"/>
          <cell r="Y164"/>
          <cell r="Z164"/>
          <cell r="AA164"/>
          <cell r="AB164"/>
          <cell r="AC164"/>
          <cell r="AD164"/>
          <cell r="AE164"/>
        </row>
        <row r="165">
          <cell r="G165"/>
          <cell r="H165"/>
          <cell r="I165"/>
          <cell r="J165"/>
          <cell r="K165"/>
          <cell r="L165"/>
          <cell r="M165"/>
          <cell r="N165"/>
          <cell r="O165"/>
          <cell r="P165"/>
          <cell r="Q165"/>
          <cell r="R165"/>
          <cell r="S165"/>
          <cell r="T165"/>
          <cell r="U165"/>
          <cell r="V165"/>
          <cell r="W165"/>
          <cell r="X165"/>
          <cell r="Y165"/>
          <cell r="Z165"/>
          <cell r="AA165"/>
          <cell r="AB165"/>
          <cell r="AC165"/>
          <cell r="AD165"/>
          <cell r="AE165"/>
        </row>
        <row r="166">
          <cell r="G166"/>
          <cell r="H166"/>
          <cell r="I166"/>
          <cell r="J166"/>
          <cell r="K166"/>
          <cell r="L166"/>
          <cell r="M166"/>
          <cell r="N166"/>
          <cell r="O166"/>
          <cell r="P166"/>
          <cell r="Q166"/>
          <cell r="R166"/>
          <cell r="S166"/>
          <cell r="T166"/>
          <cell r="U166"/>
          <cell r="V166"/>
          <cell r="W166"/>
          <cell r="X166"/>
          <cell r="Y166"/>
          <cell r="Z166"/>
          <cell r="AA166"/>
          <cell r="AB166"/>
          <cell r="AC166"/>
          <cell r="AD166"/>
          <cell r="AE166"/>
        </row>
        <row r="167">
          <cell r="G167"/>
          <cell r="H167"/>
          <cell r="I167"/>
          <cell r="J167"/>
          <cell r="K167"/>
          <cell r="L167"/>
          <cell r="M167"/>
          <cell r="N167"/>
          <cell r="O167"/>
          <cell r="P167"/>
          <cell r="Q167"/>
          <cell r="R167"/>
          <cell r="S167"/>
          <cell r="T167"/>
          <cell r="U167"/>
          <cell r="V167"/>
          <cell r="W167"/>
          <cell r="X167"/>
          <cell r="Y167"/>
          <cell r="Z167"/>
          <cell r="AA167"/>
          <cell r="AB167"/>
          <cell r="AC167"/>
          <cell r="AD167"/>
          <cell r="AE167"/>
        </row>
        <row r="168">
          <cell r="G168"/>
          <cell r="H168"/>
          <cell r="I168"/>
          <cell r="J168"/>
          <cell r="K168"/>
          <cell r="L168"/>
          <cell r="M168"/>
          <cell r="N168"/>
          <cell r="O168"/>
          <cell r="P168"/>
          <cell r="Q168"/>
          <cell r="R168"/>
          <cell r="S168"/>
          <cell r="T168"/>
          <cell r="U168"/>
          <cell r="V168"/>
          <cell r="W168"/>
          <cell r="X168"/>
          <cell r="Y168"/>
          <cell r="Z168"/>
          <cell r="AA168"/>
          <cell r="AB168"/>
          <cell r="AC168"/>
          <cell r="AD168"/>
          <cell r="AE168"/>
        </row>
        <row r="169">
          <cell r="G169"/>
          <cell r="H169"/>
          <cell r="I169"/>
          <cell r="J169"/>
          <cell r="K169"/>
          <cell r="L169"/>
          <cell r="M169"/>
          <cell r="N169"/>
          <cell r="O169"/>
          <cell r="P169"/>
          <cell r="Q169"/>
          <cell r="R169"/>
          <cell r="S169"/>
          <cell r="T169"/>
          <cell r="U169"/>
          <cell r="V169"/>
          <cell r="W169"/>
          <cell r="X169"/>
          <cell r="Y169"/>
          <cell r="Z169"/>
          <cell r="AA169"/>
          <cell r="AB169"/>
          <cell r="AC169"/>
          <cell r="AD169"/>
          <cell r="AE169"/>
        </row>
        <row r="170">
          <cell r="G170"/>
          <cell r="H170"/>
          <cell r="I170"/>
          <cell r="J170"/>
          <cell r="K170"/>
          <cell r="L170"/>
          <cell r="M170"/>
          <cell r="N170"/>
          <cell r="O170"/>
          <cell r="P170"/>
          <cell r="Q170"/>
          <cell r="R170"/>
          <cell r="S170"/>
          <cell r="T170"/>
          <cell r="U170"/>
          <cell r="V170"/>
          <cell r="W170"/>
          <cell r="X170"/>
          <cell r="Y170"/>
          <cell r="Z170"/>
          <cell r="AA170"/>
          <cell r="AB170"/>
          <cell r="AC170"/>
          <cell r="AD170"/>
          <cell r="AE170"/>
        </row>
        <row r="171">
          <cell r="G171"/>
          <cell r="H171"/>
          <cell r="I171"/>
          <cell r="J171"/>
          <cell r="K171"/>
          <cell r="L171"/>
          <cell r="M171"/>
          <cell r="N171"/>
          <cell r="O171"/>
          <cell r="P171"/>
          <cell r="Q171"/>
          <cell r="R171"/>
          <cell r="S171"/>
          <cell r="T171"/>
          <cell r="U171"/>
          <cell r="V171"/>
          <cell r="W171"/>
          <cell r="X171"/>
          <cell r="Y171"/>
          <cell r="Z171"/>
          <cell r="AA171"/>
          <cell r="AB171"/>
          <cell r="AC171"/>
          <cell r="AD171"/>
          <cell r="AE171"/>
        </row>
        <row r="172">
          <cell r="G172"/>
          <cell r="H172"/>
          <cell r="I172"/>
          <cell r="J172"/>
          <cell r="K172"/>
          <cell r="L172"/>
          <cell r="M172"/>
          <cell r="N172"/>
          <cell r="O172"/>
          <cell r="P172"/>
          <cell r="Q172"/>
          <cell r="R172"/>
          <cell r="S172"/>
          <cell r="T172"/>
          <cell r="U172"/>
          <cell r="V172"/>
          <cell r="W172"/>
          <cell r="X172"/>
          <cell r="Y172"/>
          <cell r="Z172"/>
          <cell r="AA172"/>
          <cell r="AB172"/>
          <cell r="AC172"/>
          <cell r="AD172"/>
          <cell r="AE172"/>
        </row>
        <row r="173">
          <cell r="G173"/>
          <cell r="H173"/>
          <cell r="I173"/>
          <cell r="J173"/>
          <cell r="K173"/>
          <cell r="L173"/>
          <cell r="M173"/>
          <cell r="N173"/>
          <cell r="O173"/>
          <cell r="P173"/>
          <cell r="Q173"/>
          <cell r="R173"/>
          <cell r="S173"/>
          <cell r="T173"/>
          <cell r="U173"/>
          <cell r="V173"/>
          <cell r="W173"/>
          <cell r="X173"/>
          <cell r="Y173"/>
          <cell r="Z173"/>
          <cell r="AA173"/>
          <cell r="AB173"/>
          <cell r="AC173"/>
          <cell r="AD173"/>
          <cell r="AE173"/>
        </row>
        <row r="174">
          <cell r="G174"/>
          <cell r="H174"/>
          <cell r="I174"/>
          <cell r="J174"/>
          <cell r="K174"/>
          <cell r="L174"/>
          <cell r="M174"/>
          <cell r="N174"/>
          <cell r="O174"/>
          <cell r="P174"/>
          <cell r="Q174"/>
          <cell r="R174"/>
          <cell r="S174"/>
          <cell r="T174"/>
          <cell r="U174"/>
          <cell r="V174"/>
          <cell r="W174"/>
          <cell r="X174"/>
          <cell r="Y174"/>
          <cell r="Z174"/>
          <cell r="AA174"/>
          <cell r="AB174"/>
          <cell r="AC174"/>
          <cell r="AD174"/>
          <cell r="AE174"/>
        </row>
        <row r="175">
          <cell r="G175"/>
          <cell r="H175"/>
          <cell r="I175"/>
          <cell r="J175"/>
          <cell r="K175"/>
          <cell r="L175"/>
          <cell r="M175"/>
          <cell r="N175"/>
          <cell r="O175"/>
          <cell r="P175"/>
          <cell r="Q175"/>
          <cell r="R175"/>
          <cell r="S175"/>
          <cell r="T175"/>
          <cell r="U175"/>
          <cell r="V175"/>
          <cell r="W175"/>
          <cell r="X175"/>
          <cell r="Y175"/>
          <cell r="Z175"/>
          <cell r="AA175"/>
          <cell r="AB175"/>
          <cell r="AC175"/>
          <cell r="AD175"/>
          <cell r="AE175"/>
        </row>
        <row r="176">
          <cell r="G176"/>
          <cell r="H176"/>
          <cell r="I176"/>
          <cell r="J176"/>
          <cell r="K176"/>
          <cell r="L176"/>
          <cell r="M176"/>
          <cell r="N176"/>
          <cell r="O176"/>
          <cell r="P176"/>
          <cell r="Q176"/>
          <cell r="R176"/>
          <cell r="S176"/>
          <cell r="T176"/>
          <cell r="U176"/>
          <cell r="V176"/>
          <cell r="W176"/>
          <cell r="X176"/>
          <cell r="Y176"/>
          <cell r="Z176"/>
          <cell r="AA176"/>
          <cell r="AB176"/>
          <cell r="AC176"/>
          <cell r="AD176"/>
          <cell r="AE176"/>
        </row>
        <row r="177">
          <cell r="G177"/>
          <cell r="H177"/>
          <cell r="I177"/>
          <cell r="J177"/>
          <cell r="K177"/>
          <cell r="L177"/>
          <cell r="M177"/>
          <cell r="N177"/>
          <cell r="O177"/>
          <cell r="P177"/>
          <cell r="Q177"/>
          <cell r="R177"/>
          <cell r="S177"/>
          <cell r="T177"/>
          <cell r="U177"/>
          <cell r="V177"/>
          <cell r="W177"/>
          <cell r="X177"/>
          <cell r="Y177"/>
          <cell r="Z177"/>
          <cell r="AA177"/>
          <cell r="AB177"/>
          <cell r="AC177"/>
          <cell r="AD177"/>
          <cell r="AE177"/>
        </row>
        <row r="178">
          <cell r="G178"/>
          <cell r="H178"/>
          <cell r="I178"/>
          <cell r="J178"/>
          <cell r="K178"/>
          <cell r="L178"/>
          <cell r="M178"/>
          <cell r="N178"/>
          <cell r="O178"/>
          <cell r="P178"/>
          <cell r="Q178"/>
          <cell r="R178"/>
          <cell r="S178"/>
          <cell r="T178"/>
          <cell r="U178"/>
          <cell r="V178"/>
          <cell r="W178"/>
          <cell r="X178"/>
          <cell r="Y178"/>
          <cell r="Z178"/>
          <cell r="AA178"/>
          <cell r="AB178"/>
          <cell r="AC178"/>
          <cell r="AD178"/>
          <cell r="AE178"/>
        </row>
        <row r="179">
          <cell r="G179"/>
          <cell r="H179"/>
          <cell r="I179"/>
          <cell r="J179"/>
          <cell r="K179"/>
          <cell r="L179"/>
          <cell r="M179"/>
          <cell r="N179"/>
          <cell r="O179"/>
          <cell r="P179"/>
          <cell r="Q179"/>
          <cell r="R179"/>
          <cell r="S179"/>
          <cell r="T179"/>
          <cell r="U179"/>
          <cell r="V179"/>
          <cell r="W179"/>
          <cell r="X179"/>
          <cell r="Y179"/>
          <cell r="Z179"/>
          <cell r="AA179"/>
          <cell r="AB179"/>
          <cell r="AC179"/>
          <cell r="AD179"/>
          <cell r="AE179"/>
        </row>
        <row r="180">
          <cell r="G180"/>
          <cell r="H180"/>
          <cell r="I180"/>
          <cell r="J180"/>
          <cell r="K180"/>
          <cell r="L180"/>
          <cell r="M180"/>
          <cell r="N180"/>
          <cell r="O180"/>
          <cell r="P180"/>
          <cell r="Q180"/>
          <cell r="R180"/>
          <cell r="S180"/>
          <cell r="T180"/>
          <cell r="U180"/>
          <cell r="V180"/>
          <cell r="W180"/>
          <cell r="X180"/>
          <cell r="Y180"/>
          <cell r="Z180"/>
          <cell r="AA180"/>
          <cell r="AB180"/>
          <cell r="AC180"/>
          <cell r="AD180"/>
          <cell r="AE180"/>
        </row>
        <row r="181">
          <cell r="G181"/>
          <cell r="H181"/>
          <cell r="I181"/>
          <cell r="J181"/>
          <cell r="K181"/>
          <cell r="L181"/>
          <cell r="M181"/>
          <cell r="N181"/>
          <cell r="O181"/>
          <cell r="P181"/>
          <cell r="Q181"/>
          <cell r="R181"/>
          <cell r="S181"/>
          <cell r="T181"/>
          <cell r="U181"/>
          <cell r="V181"/>
          <cell r="W181"/>
          <cell r="X181"/>
          <cell r="Y181"/>
          <cell r="Z181"/>
          <cell r="AA181"/>
          <cell r="AB181"/>
          <cell r="AC181"/>
          <cell r="AD181"/>
          <cell r="AE181"/>
        </row>
        <row r="182">
          <cell r="G182"/>
          <cell r="H182"/>
          <cell r="I182"/>
          <cell r="J182"/>
          <cell r="K182"/>
          <cell r="L182"/>
          <cell r="M182"/>
          <cell r="N182"/>
          <cell r="O182"/>
          <cell r="P182"/>
          <cell r="Q182"/>
          <cell r="R182"/>
          <cell r="S182"/>
          <cell r="T182"/>
          <cell r="U182"/>
          <cell r="V182"/>
          <cell r="W182"/>
          <cell r="X182"/>
          <cell r="Y182"/>
          <cell r="Z182"/>
          <cell r="AA182"/>
          <cell r="AB182"/>
          <cell r="AC182"/>
          <cell r="AD182"/>
          <cell r="AE182"/>
        </row>
        <row r="183">
          <cell r="G183"/>
          <cell r="H183"/>
          <cell r="I183"/>
          <cell r="J183"/>
          <cell r="K183"/>
          <cell r="L183"/>
          <cell r="M183"/>
          <cell r="N183"/>
          <cell r="O183"/>
          <cell r="P183"/>
          <cell r="Q183"/>
          <cell r="R183"/>
          <cell r="S183"/>
          <cell r="T183"/>
          <cell r="U183"/>
          <cell r="V183"/>
          <cell r="W183"/>
          <cell r="X183"/>
          <cell r="Y183"/>
          <cell r="Z183"/>
          <cell r="AA183"/>
          <cell r="AB183"/>
          <cell r="AC183"/>
          <cell r="AD183"/>
          <cell r="AE183"/>
        </row>
        <row r="184">
          <cell r="G184"/>
          <cell r="H184"/>
          <cell r="I184"/>
          <cell r="J184"/>
          <cell r="K184"/>
          <cell r="L184"/>
          <cell r="M184"/>
          <cell r="N184"/>
          <cell r="O184"/>
          <cell r="P184"/>
          <cell r="Q184"/>
          <cell r="R184"/>
          <cell r="S184"/>
          <cell r="T184"/>
          <cell r="U184"/>
          <cell r="V184"/>
          <cell r="W184"/>
          <cell r="X184"/>
          <cell r="Y184"/>
          <cell r="Z184"/>
          <cell r="AA184"/>
          <cell r="AB184"/>
          <cell r="AC184"/>
          <cell r="AD184"/>
          <cell r="AE184"/>
        </row>
        <row r="185">
          <cell r="G185"/>
          <cell r="H185"/>
          <cell r="I185"/>
          <cell r="J185"/>
          <cell r="K185"/>
          <cell r="L185"/>
          <cell r="M185"/>
          <cell r="N185"/>
          <cell r="O185"/>
          <cell r="P185"/>
          <cell r="Q185"/>
          <cell r="R185"/>
          <cell r="S185"/>
          <cell r="T185"/>
          <cell r="U185"/>
          <cell r="V185"/>
          <cell r="W185"/>
          <cell r="X185"/>
          <cell r="Y185"/>
          <cell r="Z185"/>
          <cell r="AA185"/>
          <cell r="AB185"/>
          <cell r="AC185"/>
          <cell r="AD185"/>
          <cell r="AE185"/>
        </row>
        <row r="186">
          <cell r="G186"/>
          <cell r="H186"/>
          <cell r="I186"/>
          <cell r="J186"/>
          <cell r="K186"/>
          <cell r="L186"/>
          <cell r="M186"/>
          <cell r="N186"/>
          <cell r="O186"/>
          <cell r="P186"/>
          <cell r="Q186"/>
          <cell r="R186"/>
          <cell r="S186"/>
          <cell r="T186"/>
          <cell r="U186"/>
          <cell r="V186"/>
          <cell r="W186"/>
          <cell r="X186"/>
          <cell r="Y186"/>
          <cell r="Z186"/>
          <cell r="AA186"/>
          <cell r="AB186"/>
          <cell r="AC186"/>
          <cell r="AD186"/>
          <cell r="AE186"/>
        </row>
        <row r="187">
          <cell r="G187"/>
          <cell r="H187"/>
          <cell r="I187"/>
          <cell r="J187"/>
          <cell r="K187"/>
          <cell r="L187"/>
          <cell r="M187"/>
          <cell r="N187"/>
          <cell r="O187"/>
          <cell r="P187"/>
          <cell r="Q187"/>
          <cell r="R187"/>
          <cell r="S187"/>
          <cell r="T187"/>
          <cell r="U187"/>
          <cell r="V187"/>
          <cell r="W187"/>
          <cell r="X187"/>
          <cell r="Y187"/>
          <cell r="Z187"/>
          <cell r="AA187"/>
          <cell r="AB187"/>
          <cell r="AC187"/>
          <cell r="AD187"/>
          <cell r="AE187"/>
        </row>
        <row r="188">
          <cell r="G188"/>
          <cell r="H188"/>
          <cell r="I188"/>
          <cell r="J188"/>
          <cell r="K188"/>
          <cell r="L188"/>
          <cell r="M188"/>
          <cell r="N188"/>
          <cell r="O188"/>
          <cell r="P188"/>
          <cell r="Q188"/>
          <cell r="R188"/>
          <cell r="S188"/>
          <cell r="T188"/>
          <cell r="U188"/>
          <cell r="V188"/>
          <cell r="W188"/>
          <cell r="X188"/>
          <cell r="Y188"/>
          <cell r="Z188"/>
          <cell r="AA188"/>
          <cell r="AB188"/>
          <cell r="AC188"/>
          <cell r="AD188"/>
          <cell r="AE188"/>
        </row>
        <row r="189">
          <cell r="G189"/>
          <cell r="H189"/>
          <cell r="I189"/>
          <cell r="J189"/>
          <cell r="K189"/>
          <cell r="L189"/>
          <cell r="M189"/>
          <cell r="N189"/>
          <cell r="O189"/>
          <cell r="P189"/>
          <cell r="Q189"/>
          <cell r="R189"/>
          <cell r="S189"/>
          <cell r="T189"/>
          <cell r="U189"/>
          <cell r="V189"/>
          <cell r="W189"/>
          <cell r="X189"/>
          <cell r="Y189"/>
          <cell r="Z189"/>
          <cell r="AA189"/>
          <cell r="AB189"/>
          <cell r="AC189"/>
          <cell r="AD189"/>
          <cell r="AE189"/>
        </row>
        <row r="190">
          <cell r="G190"/>
          <cell r="H190"/>
          <cell r="I190"/>
          <cell r="J190"/>
          <cell r="K190"/>
          <cell r="L190"/>
          <cell r="M190"/>
          <cell r="N190"/>
          <cell r="O190"/>
          <cell r="P190"/>
          <cell r="Q190"/>
          <cell r="R190"/>
          <cell r="S190"/>
          <cell r="T190"/>
          <cell r="U190"/>
          <cell r="V190"/>
          <cell r="W190"/>
          <cell r="X190"/>
          <cell r="Y190"/>
          <cell r="Z190"/>
          <cell r="AA190"/>
          <cell r="AB190"/>
          <cell r="AC190"/>
          <cell r="AD190"/>
          <cell r="AE190"/>
        </row>
        <row r="191">
          <cell r="G191"/>
          <cell r="H191"/>
          <cell r="I191"/>
          <cell r="J191"/>
          <cell r="K191"/>
          <cell r="L191"/>
          <cell r="M191"/>
          <cell r="N191"/>
          <cell r="O191"/>
          <cell r="P191"/>
          <cell r="Q191"/>
          <cell r="R191"/>
          <cell r="S191"/>
          <cell r="T191"/>
          <cell r="U191"/>
          <cell r="V191"/>
          <cell r="W191"/>
          <cell r="X191"/>
          <cell r="Y191"/>
          <cell r="Z191"/>
          <cell r="AA191"/>
          <cell r="AB191"/>
          <cell r="AC191"/>
          <cell r="AD191"/>
          <cell r="AE191"/>
        </row>
        <row r="192">
          <cell r="G192"/>
          <cell r="H192"/>
          <cell r="I192"/>
          <cell r="J192"/>
          <cell r="K192"/>
          <cell r="L192"/>
          <cell r="M192"/>
          <cell r="N192"/>
          <cell r="O192"/>
          <cell r="P192"/>
          <cell r="Q192"/>
          <cell r="R192"/>
          <cell r="S192"/>
          <cell r="T192"/>
          <cell r="U192"/>
          <cell r="V192"/>
          <cell r="W192"/>
          <cell r="X192"/>
          <cell r="Y192"/>
          <cell r="Z192"/>
          <cell r="AA192"/>
          <cell r="AB192"/>
          <cell r="AC192"/>
          <cell r="AD192"/>
          <cell r="AE192"/>
        </row>
        <row r="193">
          <cell r="G193"/>
          <cell r="H193"/>
          <cell r="I193"/>
          <cell r="J193"/>
          <cell r="K193"/>
          <cell r="L193"/>
          <cell r="M193"/>
          <cell r="N193"/>
          <cell r="O193"/>
          <cell r="P193"/>
          <cell r="Q193"/>
          <cell r="R193"/>
          <cell r="S193"/>
          <cell r="T193"/>
          <cell r="U193"/>
          <cell r="V193"/>
          <cell r="W193"/>
          <cell r="X193"/>
          <cell r="Y193"/>
          <cell r="Z193"/>
          <cell r="AA193"/>
          <cell r="AB193"/>
          <cell r="AC193"/>
          <cell r="AD193"/>
          <cell r="AE193"/>
        </row>
        <row r="194">
          <cell r="G194"/>
          <cell r="H194"/>
          <cell r="I194"/>
          <cell r="J194"/>
          <cell r="K194"/>
          <cell r="L194"/>
          <cell r="M194"/>
          <cell r="N194"/>
          <cell r="O194"/>
          <cell r="P194"/>
          <cell r="Q194"/>
          <cell r="R194"/>
          <cell r="S194"/>
          <cell r="T194"/>
          <cell r="U194"/>
          <cell r="V194"/>
          <cell r="W194"/>
          <cell r="X194"/>
          <cell r="Y194"/>
          <cell r="Z194"/>
          <cell r="AA194"/>
          <cell r="AB194"/>
          <cell r="AC194"/>
          <cell r="AD194"/>
          <cell r="AE194"/>
        </row>
        <row r="195">
          <cell r="G195"/>
          <cell r="H195"/>
          <cell r="I195"/>
          <cell r="J195"/>
          <cell r="K195"/>
          <cell r="L195"/>
          <cell r="M195"/>
          <cell r="N195"/>
          <cell r="O195"/>
          <cell r="P195"/>
          <cell r="Q195"/>
          <cell r="R195"/>
          <cell r="S195"/>
          <cell r="T195"/>
          <cell r="U195"/>
          <cell r="V195"/>
          <cell r="W195"/>
          <cell r="X195"/>
          <cell r="Y195"/>
          <cell r="Z195"/>
          <cell r="AA195"/>
          <cell r="AB195"/>
          <cell r="AC195"/>
          <cell r="AD195"/>
          <cell r="AE195"/>
        </row>
        <row r="196">
          <cell r="G196"/>
          <cell r="H196"/>
          <cell r="I196"/>
          <cell r="J196"/>
          <cell r="K196"/>
          <cell r="L196"/>
          <cell r="M196"/>
          <cell r="N196"/>
          <cell r="O196"/>
          <cell r="P196"/>
          <cell r="Q196"/>
          <cell r="R196"/>
          <cell r="S196"/>
          <cell r="T196"/>
          <cell r="U196"/>
          <cell r="V196"/>
          <cell r="W196"/>
          <cell r="X196"/>
          <cell r="Y196"/>
          <cell r="Z196"/>
          <cell r="AA196"/>
          <cell r="AB196"/>
          <cell r="AC196"/>
          <cell r="AD196"/>
          <cell r="AE196"/>
        </row>
        <row r="197">
          <cell r="G197"/>
          <cell r="H197"/>
          <cell r="I197"/>
          <cell r="J197"/>
          <cell r="K197"/>
          <cell r="L197"/>
          <cell r="M197"/>
          <cell r="N197"/>
          <cell r="O197"/>
          <cell r="P197"/>
          <cell r="Q197"/>
          <cell r="R197"/>
          <cell r="S197"/>
          <cell r="T197"/>
          <cell r="U197"/>
          <cell r="V197"/>
          <cell r="W197"/>
          <cell r="X197"/>
          <cell r="Y197"/>
          <cell r="Z197"/>
          <cell r="AA197"/>
          <cell r="AB197"/>
          <cell r="AC197"/>
          <cell r="AD197"/>
          <cell r="AE197"/>
        </row>
        <row r="198">
          <cell r="G198"/>
          <cell r="H198"/>
          <cell r="I198"/>
          <cell r="J198"/>
          <cell r="K198"/>
          <cell r="L198"/>
          <cell r="M198"/>
          <cell r="N198"/>
          <cell r="O198"/>
          <cell r="P198"/>
          <cell r="Q198"/>
          <cell r="R198"/>
          <cell r="S198"/>
          <cell r="T198"/>
          <cell r="U198"/>
          <cell r="V198"/>
          <cell r="W198"/>
          <cell r="X198"/>
          <cell r="Y198"/>
          <cell r="Z198"/>
          <cell r="AA198"/>
          <cell r="AB198"/>
          <cell r="AC198"/>
          <cell r="AD198"/>
          <cell r="AE198"/>
        </row>
        <row r="199">
          <cell r="G199"/>
          <cell r="H199"/>
          <cell r="I199"/>
          <cell r="J199"/>
          <cell r="K199"/>
          <cell r="L199"/>
          <cell r="M199"/>
          <cell r="N199"/>
          <cell r="O199"/>
          <cell r="P199"/>
          <cell r="Q199"/>
          <cell r="R199"/>
          <cell r="S199"/>
          <cell r="T199"/>
          <cell r="U199"/>
          <cell r="V199"/>
          <cell r="W199"/>
          <cell r="X199"/>
          <cell r="Y199"/>
          <cell r="Z199"/>
          <cell r="AA199"/>
          <cell r="AB199"/>
          <cell r="AC199"/>
          <cell r="AD199"/>
          <cell r="AE199"/>
        </row>
        <row r="200">
          <cell r="G200"/>
          <cell r="H200"/>
          <cell r="I200"/>
          <cell r="J200"/>
          <cell r="K200"/>
          <cell r="L200"/>
          <cell r="M200"/>
          <cell r="N200"/>
          <cell r="O200"/>
          <cell r="P200"/>
          <cell r="Q200"/>
          <cell r="R200"/>
          <cell r="S200"/>
          <cell r="T200"/>
          <cell r="U200"/>
          <cell r="V200"/>
          <cell r="W200"/>
          <cell r="X200"/>
          <cell r="Y200"/>
          <cell r="Z200"/>
          <cell r="AA200"/>
          <cell r="AB200"/>
          <cell r="AC200"/>
          <cell r="AD200"/>
          <cell r="AE200"/>
        </row>
        <row r="201">
          <cell r="G201"/>
          <cell r="H201"/>
          <cell r="I201"/>
          <cell r="J201"/>
          <cell r="K201"/>
          <cell r="L201"/>
          <cell r="M201"/>
          <cell r="N201"/>
          <cell r="O201"/>
          <cell r="P201"/>
          <cell r="Q201"/>
          <cell r="R201"/>
          <cell r="S201"/>
          <cell r="T201"/>
          <cell r="U201"/>
          <cell r="V201"/>
          <cell r="W201"/>
          <cell r="X201"/>
          <cell r="Y201"/>
          <cell r="Z201"/>
          <cell r="AA201"/>
          <cell r="AB201"/>
          <cell r="AC201"/>
          <cell r="AD201"/>
          <cell r="AE201"/>
        </row>
        <row r="202">
          <cell r="G202"/>
          <cell r="H202"/>
          <cell r="I202"/>
          <cell r="J202"/>
          <cell r="K202"/>
          <cell r="L202"/>
          <cell r="M202"/>
          <cell r="N202"/>
          <cell r="O202"/>
          <cell r="P202"/>
          <cell r="Q202"/>
          <cell r="R202"/>
          <cell r="S202"/>
          <cell r="T202"/>
          <cell r="U202"/>
          <cell r="V202"/>
          <cell r="W202"/>
          <cell r="X202"/>
          <cell r="Y202"/>
          <cell r="Z202"/>
          <cell r="AA202"/>
          <cell r="AB202"/>
          <cell r="AC202"/>
          <cell r="AD202"/>
          <cell r="AE202"/>
        </row>
        <row r="203">
          <cell r="G203"/>
          <cell r="H203"/>
          <cell r="I203"/>
          <cell r="J203"/>
          <cell r="K203"/>
          <cell r="L203"/>
          <cell r="M203"/>
          <cell r="N203"/>
          <cell r="O203"/>
          <cell r="P203"/>
          <cell r="Q203"/>
          <cell r="R203"/>
          <cell r="S203"/>
          <cell r="T203"/>
          <cell r="U203"/>
          <cell r="V203"/>
          <cell r="W203"/>
          <cell r="X203"/>
          <cell r="Y203"/>
          <cell r="Z203"/>
          <cell r="AA203"/>
          <cell r="AB203"/>
          <cell r="AC203"/>
          <cell r="AD203"/>
          <cell r="AE203"/>
        </row>
        <row r="204">
          <cell r="G204"/>
          <cell r="H204"/>
          <cell r="I204"/>
          <cell r="J204"/>
          <cell r="K204"/>
          <cell r="L204"/>
          <cell r="M204"/>
          <cell r="N204"/>
          <cell r="O204"/>
          <cell r="P204"/>
          <cell r="Q204"/>
          <cell r="R204"/>
          <cell r="S204"/>
          <cell r="T204"/>
          <cell r="U204"/>
          <cell r="V204"/>
          <cell r="W204"/>
          <cell r="X204"/>
          <cell r="Y204"/>
          <cell r="Z204"/>
          <cell r="AA204"/>
          <cell r="AB204"/>
          <cell r="AC204"/>
          <cell r="AD204"/>
          <cell r="AE204"/>
        </row>
        <row r="205">
          <cell r="G205"/>
          <cell r="H205"/>
          <cell r="I205"/>
          <cell r="J205"/>
          <cell r="K205"/>
          <cell r="L205"/>
          <cell r="M205"/>
          <cell r="N205"/>
          <cell r="O205"/>
          <cell r="P205"/>
          <cell r="Q205"/>
          <cell r="R205"/>
          <cell r="S205"/>
          <cell r="T205"/>
          <cell r="U205"/>
          <cell r="V205"/>
          <cell r="W205"/>
          <cell r="X205"/>
          <cell r="Y205"/>
          <cell r="Z205"/>
          <cell r="AA205"/>
          <cell r="AB205"/>
          <cell r="AC205"/>
          <cell r="AD205"/>
          <cell r="AE205"/>
        </row>
        <row r="206">
          <cell r="G206"/>
          <cell r="H206"/>
          <cell r="I206"/>
          <cell r="J206"/>
          <cell r="K206"/>
          <cell r="L206"/>
          <cell r="M206"/>
          <cell r="N206"/>
          <cell r="O206"/>
          <cell r="P206"/>
          <cell r="Q206"/>
          <cell r="R206"/>
          <cell r="S206"/>
          <cell r="T206"/>
          <cell r="U206"/>
          <cell r="V206"/>
          <cell r="W206"/>
          <cell r="X206"/>
          <cell r="Y206"/>
          <cell r="Z206"/>
          <cell r="AA206"/>
          <cell r="AB206"/>
          <cell r="AC206"/>
          <cell r="AD206"/>
          <cell r="AE206"/>
        </row>
        <row r="207">
          <cell r="G207"/>
          <cell r="H207"/>
          <cell r="I207"/>
          <cell r="J207"/>
          <cell r="K207"/>
          <cell r="L207"/>
          <cell r="M207"/>
          <cell r="N207"/>
          <cell r="O207"/>
          <cell r="P207"/>
          <cell r="Q207"/>
          <cell r="R207"/>
          <cell r="S207"/>
          <cell r="T207"/>
          <cell r="U207"/>
          <cell r="V207"/>
          <cell r="W207"/>
          <cell r="X207"/>
          <cell r="Y207"/>
          <cell r="Z207"/>
          <cell r="AA207"/>
          <cell r="AB207"/>
          <cell r="AC207"/>
          <cell r="AD207"/>
          <cell r="AE207"/>
        </row>
        <row r="208">
          <cell r="G208"/>
          <cell r="H208"/>
          <cell r="I208"/>
          <cell r="J208"/>
          <cell r="K208"/>
          <cell r="L208"/>
          <cell r="M208"/>
          <cell r="N208"/>
          <cell r="O208"/>
          <cell r="P208"/>
          <cell r="Q208"/>
          <cell r="R208"/>
          <cell r="S208"/>
          <cell r="T208"/>
          <cell r="U208"/>
          <cell r="V208"/>
          <cell r="W208"/>
          <cell r="X208"/>
          <cell r="Y208"/>
          <cell r="Z208"/>
          <cell r="AA208"/>
          <cell r="AB208"/>
          <cell r="AC208"/>
          <cell r="AD208"/>
          <cell r="AE208"/>
        </row>
        <row r="209">
          <cell r="G209"/>
          <cell r="H209"/>
          <cell r="I209"/>
          <cell r="J209"/>
          <cell r="K209"/>
          <cell r="L209"/>
          <cell r="M209"/>
          <cell r="N209"/>
          <cell r="O209"/>
          <cell r="P209"/>
          <cell r="Q209"/>
          <cell r="R209"/>
          <cell r="S209"/>
          <cell r="T209"/>
          <cell r="U209"/>
          <cell r="V209"/>
          <cell r="W209"/>
          <cell r="X209"/>
          <cell r="Y209"/>
          <cell r="Z209"/>
          <cell r="AA209"/>
          <cell r="AB209"/>
          <cell r="AC209"/>
          <cell r="AD209"/>
          <cell r="AE209"/>
        </row>
        <row r="210">
          <cell r="G210"/>
          <cell r="H210"/>
          <cell r="I210"/>
          <cell r="J210"/>
          <cell r="K210"/>
          <cell r="L210"/>
          <cell r="M210"/>
          <cell r="N210"/>
          <cell r="O210"/>
          <cell r="P210"/>
          <cell r="Q210"/>
          <cell r="R210"/>
          <cell r="S210"/>
          <cell r="T210"/>
          <cell r="U210"/>
          <cell r="V210"/>
          <cell r="W210"/>
          <cell r="X210"/>
          <cell r="Y210"/>
          <cell r="Z210"/>
          <cell r="AA210"/>
          <cell r="AB210"/>
          <cell r="AC210"/>
          <cell r="AD210"/>
          <cell r="AE210"/>
        </row>
        <row r="211">
          <cell r="G211"/>
          <cell r="H211"/>
          <cell r="I211"/>
          <cell r="J211"/>
          <cell r="K211"/>
          <cell r="L211"/>
          <cell r="M211"/>
          <cell r="N211"/>
          <cell r="O211"/>
          <cell r="P211"/>
          <cell r="Q211"/>
          <cell r="R211"/>
          <cell r="S211"/>
          <cell r="T211"/>
          <cell r="U211"/>
          <cell r="V211"/>
          <cell r="W211"/>
          <cell r="X211"/>
          <cell r="Y211"/>
          <cell r="Z211"/>
          <cell r="AA211"/>
          <cell r="AB211"/>
          <cell r="AC211"/>
          <cell r="AD211"/>
          <cell r="AE211"/>
        </row>
        <row r="212">
          <cell r="G212"/>
          <cell r="H212"/>
          <cell r="I212"/>
          <cell r="J212"/>
          <cell r="K212"/>
          <cell r="L212"/>
          <cell r="M212"/>
          <cell r="N212"/>
          <cell r="O212"/>
          <cell r="P212"/>
          <cell r="Q212"/>
          <cell r="R212"/>
          <cell r="S212"/>
          <cell r="T212"/>
          <cell r="U212"/>
          <cell r="V212"/>
          <cell r="W212"/>
          <cell r="X212"/>
          <cell r="Y212"/>
          <cell r="Z212"/>
          <cell r="AA212"/>
          <cell r="AB212"/>
          <cell r="AC212"/>
          <cell r="AD212"/>
          <cell r="AE212"/>
        </row>
        <row r="213">
          <cell r="G213"/>
          <cell r="H213"/>
          <cell r="I213"/>
          <cell r="J213"/>
          <cell r="K213"/>
          <cell r="L213"/>
          <cell r="M213"/>
          <cell r="N213"/>
          <cell r="O213"/>
          <cell r="P213"/>
          <cell r="Q213"/>
          <cell r="R213"/>
          <cell r="S213"/>
          <cell r="T213"/>
          <cell r="U213"/>
          <cell r="V213"/>
          <cell r="W213"/>
          <cell r="X213"/>
          <cell r="Y213"/>
          <cell r="Z213"/>
          <cell r="AA213"/>
          <cell r="AB213"/>
          <cell r="AC213"/>
          <cell r="AD213"/>
          <cell r="AE213"/>
        </row>
        <row r="214">
          <cell r="G214"/>
          <cell r="H214"/>
          <cell r="I214"/>
          <cell r="J214"/>
          <cell r="K214"/>
          <cell r="L214"/>
          <cell r="M214"/>
          <cell r="N214"/>
          <cell r="O214"/>
          <cell r="P214"/>
          <cell r="Q214"/>
          <cell r="R214"/>
          <cell r="S214"/>
          <cell r="T214"/>
          <cell r="U214"/>
          <cell r="V214"/>
          <cell r="W214"/>
          <cell r="X214"/>
          <cell r="Y214"/>
          <cell r="Z214"/>
          <cell r="AA214"/>
          <cell r="AB214"/>
          <cell r="AC214"/>
          <cell r="AD214"/>
          <cell r="AE214"/>
        </row>
        <row r="215">
          <cell r="G215"/>
          <cell r="H215"/>
          <cell r="I215"/>
          <cell r="J215"/>
          <cell r="K215"/>
          <cell r="L215"/>
          <cell r="M215"/>
          <cell r="N215"/>
          <cell r="O215"/>
          <cell r="P215"/>
          <cell r="Q215"/>
          <cell r="R215"/>
          <cell r="S215"/>
          <cell r="T215"/>
          <cell r="U215"/>
          <cell r="V215"/>
          <cell r="W215"/>
          <cell r="X215"/>
          <cell r="Y215"/>
          <cell r="Z215"/>
          <cell r="AA215"/>
          <cell r="AB215"/>
          <cell r="AC215"/>
          <cell r="AD215"/>
          <cell r="AE215"/>
        </row>
        <row r="216">
          <cell r="G216"/>
          <cell r="H216"/>
          <cell r="I216"/>
          <cell r="J216"/>
          <cell r="K216"/>
          <cell r="L216"/>
          <cell r="M216"/>
          <cell r="N216"/>
          <cell r="O216"/>
          <cell r="P216"/>
          <cell r="Q216"/>
          <cell r="R216"/>
          <cell r="S216"/>
          <cell r="T216"/>
          <cell r="U216"/>
          <cell r="V216"/>
          <cell r="W216"/>
          <cell r="X216"/>
          <cell r="Y216"/>
          <cell r="Z216"/>
          <cell r="AA216"/>
          <cell r="AB216"/>
          <cell r="AC216"/>
          <cell r="AD216"/>
          <cell r="AE216"/>
        </row>
        <row r="217">
          <cell r="G217"/>
          <cell r="H217"/>
          <cell r="I217"/>
          <cell r="J217"/>
          <cell r="K217"/>
          <cell r="L217"/>
          <cell r="M217"/>
          <cell r="N217"/>
          <cell r="O217"/>
          <cell r="P217"/>
          <cell r="Q217"/>
          <cell r="R217"/>
          <cell r="S217"/>
          <cell r="T217"/>
          <cell r="U217"/>
          <cell r="V217"/>
          <cell r="W217"/>
          <cell r="X217"/>
          <cell r="Y217"/>
          <cell r="Z217"/>
          <cell r="AA217"/>
          <cell r="AB217"/>
          <cell r="AC217"/>
          <cell r="AD217"/>
          <cell r="AE217"/>
        </row>
        <row r="218">
          <cell r="G218"/>
          <cell r="H218"/>
          <cell r="I218"/>
          <cell r="J218"/>
          <cell r="K218"/>
          <cell r="L218"/>
          <cell r="M218"/>
          <cell r="N218"/>
          <cell r="O218"/>
          <cell r="P218"/>
          <cell r="Q218"/>
          <cell r="R218"/>
          <cell r="S218"/>
          <cell r="T218"/>
          <cell r="U218"/>
          <cell r="V218"/>
          <cell r="W218"/>
          <cell r="X218"/>
          <cell r="Y218"/>
          <cell r="Z218"/>
          <cell r="AA218"/>
          <cell r="AB218"/>
          <cell r="AC218"/>
          <cell r="AD218"/>
          <cell r="AE218"/>
        </row>
        <row r="219">
          <cell r="G219"/>
          <cell r="H219"/>
          <cell r="I219"/>
          <cell r="J219"/>
          <cell r="K219"/>
          <cell r="L219"/>
          <cell r="M219"/>
          <cell r="N219"/>
          <cell r="O219"/>
          <cell r="P219"/>
          <cell r="Q219"/>
          <cell r="R219"/>
          <cell r="S219"/>
          <cell r="T219"/>
          <cell r="U219"/>
          <cell r="V219"/>
          <cell r="W219"/>
          <cell r="X219"/>
          <cell r="Y219"/>
          <cell r="Z219"/>
          <cell r="AA219"/>
          <cell r="AB219"/>
          <cell r="AC219"/>
          <cell r="AD219"/>
          <cell r="AE219"/>
        </row>
        <row r="220">
          <cell r="G220"/>
          <cell r="H220"/>
          <cell r="I220"/>
          <cell r="J220"/>
          <cell r="K220"/>
          <cell r="L220"/>
          <cell r="M220"/>
          <cell r="N220"/>
          <cell r="O220"/>
          <cell r="P220"/>
          <cell r="Q220"/>
          <cell r="R220"/>
          <cell r="S220"/>
          <cell r="T220"/>
          <cell r="U220"/>
          <cell r="V220"/>
          <cell r="W220"/>
          <cell r="X220"/>
          <cell r="Y220"/>
          <cell r="Z220"/>
          <cell r="AA220"/>
          <cell r="AB220"/>
          <cell r="AC220"/>
          <cell r="AD220"/>
          <cell r="AE220"/>
        </row>
        <row r="221">
          <cell r="G221"/>
          <cell r="H221"/>
          <cell r="I221"/>
          <cell r="J221"/>
          <cell r="K221"/>
          <cell r="L221"/>
          <cell r="M221"/>
          <cell r="N221"/>
          <cell r="O221"/>
          <cell r="P221"/>
          <cell r="Q221"/>
          <cell r="R221"/>
          <cell r="S221"/>
          <cell r="T221"/>
          <cell r="U221"/>
          <cell r="V221"/>
          <cell r="W221"/>
          <cell r="X221"/>
          <cell r="Y221"/>
          <cell r="Z221"/>
          <cell r="AA221"/>
          <cell r="AB221"/>
          <cell r="AC221"/>
          <cell r="AD221"/>
          <cell r="AE221"/>
        </row>
        <row r="222">
          <cell r="G222"/>
          <cell r="H222"/>
          <cell r="I222"/>
          <cell r="J222"/>
          <cell r="K222"/>
          <cell r="L222"/>
          <cell r="M222"/>
          <cell r="N222"/>
          <cell r="O222"/>
          <cell r="P222"/>
          <cell r="Q222"/>
          <cell r="R222"/>
          <cell r="S222"/>
          <cell r="T222"/>
          <cell r="U222"/>
          <cell r="V222"/>
          <cell r="W222"/>
          <cell r="X222"/>
          <cell r="Y222"/>
          <cell r="Z222"/>
          <cell r="AA222"/>
          <cell r="AB222"/>
          <cell r="AC222"/>
          <cell r="AD222"/>
          <cell r="AE222"/>
        </row>
        <row r="223">
          <cell r="G223"/>
          <cell r="H223"/>
          <cell r="I223"/>
          <cell r="J223"/>
          <cell r="K223"/>
          <cell r="L223"/>
          <cell r="M223"/>
          <cell r="N223"/>
          <cell r="O223"/>
          <cell r="P223"/>
          <cell r="Q223"/>
          <cell r="R223"/>
          <cell r="S223"/>
          <cell r="T223"/>
          <cell r="U223"/>
          <cell r="V223"/>
          <cell r="W223"/>
          <cell r="X223"/>
          <cell r="Y223"/>
          <cell r="Z223"/>
          <cell r="AA223"/>
          <cell r="AB223"/>
          <cell r="AC223"/>
          <cell r="AD223"/>
          <cell r="AE223"/>
        </row>
        <row r="224">
          <cell r="G224"/>
          <cell r="H224"/>
          <cell r="I224"/>
          <cell r="J224"/>
          <cell r="K224"/>
          <cell r="L224"/>
          <cell r="M224"/>
          <cell r="N224"/>
          <cell r="O224"/>
          <cell r="P224"/>
          <cell r="Q224"/>
          <cell r="R224"/>
          <cell r="S224"/>
          <cell r="T224"/>
          <cell r="U224"/>
          <cell r="V224"/>
          <cell r="W224"/>
          <cell r="X224"/>
          <cell r="Y224"/>
          <cell r="Z224"/>
          <cell r="AA224"/>
          <cell r="AB224"/>
          <cell r="AC224"/>
          <cell r="AD224"/>
          <cell r="AE224"/>
        </row>
        <row r="225">
          <cell r="G225"/>
          <cell r="H225"/>
          <cell r="I225"/>
          <cell r="J225"/>
          <cell r="K225"/>
          <cell r="L225"/>
          <cell r="M225"/>
          <cell r="N225"/>
          <cell r="O225"/>
          <cell r="P225"/>
          <cell r="Q225"/>
          <cell r="R225"/>
          <cell r="S225"/>
          <cell r="T225"/>
          <cell r="U225"/>
          <cell r="V225"/>
          <cell r="W225"/>
          <cell r="X225"/>
          <cell r="Y225"/>
          <cell r="Z225"/>
          <cell r="AA225"/>
          <cell r="AB225"/>
          <cell r="AC225"/>
          <cell r="AD225"/>
          <cell r="AE225"/>
        </row>
        <row r="226">
          <cell r="G226"/>
          <cell r="H226"/>
          <cell r="I226"/>
          <cell r="J226"/>
          <cell r="K226"/>
          <cell r="L226"/>
          <cell r="M226"/>
          <cell r="N226"/>
          <cell r="O226"/>
          <cell r="P226"/>
          <cell r="Q226"/>
          <cell r="R226"/>
          <cell r="S226"/>
          <cell r="T226"/>
          <cell r="U226"/>
          <cell r="V226"/>
          <cell r="W226"/>
          <cell r="X226"/>
          <cell r="Y226"/>
          <cell r="Z226"/>
          <cell r="AA226"/>
          <cell r="AB226"/>
          <cell r="AC226"/>
          <cell r="AD226"/>
          <cell r="AE226"/>
        </row>
        <row r="227">
          <cell r="G227"/>
          <cell r="H227"/>
          <cell r="I227"/>
          <cell r="J227"/>
          <cell r="K227"/>
          <cell r="L227"/>
          <cell r="M227"/>
          <cell r="N227"/>
          <cell r="O227"/>
          <cell r="P227"/>
          <cell r="Q227"/>
          <cell r="R227"/>
          <cell r="S227"/>
          <cell r="T227"/>
          <cell r="U227"/>
          <cell r="V227"/>
          <cell r="W227"/>
          <cell r="X227"/>
          <cell r="Y227"/>
          <cell r="Z227"/>
          <cell r="AA227"/>
          <cell r="AB227"/>
          <cell r="AC227"/>
          <cell r="AD227"/>
          <cell r="AE227"/>
        </row>
        <row r="228">
          <cell r="G228"/>
          <cell r="H228"/>
          <cell r="I228"/>
          <cell r="J228"/>
          <cell r="K228"/>
          <cell r="L228"/>
          <cell r="M228"/>
          <cell r="N228"/>
          <cell r="O228"/>
          <cell r="P228"/>
          <cell r="Q228"/>
          <cell r="R228"/>
          <cell r="S228"/>
          <cell r="T228"/>
          <cell r="U228"/>
          <cell r="V228"/>
          <cell r="W228"/>
          <cell r="X228"/>
          <cell r="Y228"/>
          <cell r="Z228"/>
          <cell r="AA228"/>
          <cell r="AB228"/>
          <cell r="AC228"/>
          <cell r="AD228"/>
          <cell r="AE228"/>
        </row>
        <row r="229">
          <cell r="G229"/>
          <cell r="H229"/>
          <cell r="I229"/>
          <cell r="J229"/>
          <cell r="K229"/>
          <cell r="L229"/>
          <cell r="M229"/>
          <cell r="N229"/>
          <cell r="O229"/>
          <cell r="P229"/>
          <cell r="Q229"/>
          <cell r="R229"/>
          <cell r="S229"/>
          <cell r="T229"/>
          <cell r="U229"/>
          <cell r="V229"/>
          <cell r="W229"/>
          <cell r="X229"/>
          <cell r="Y229"/>
          <cell r="Z229"/>
          <cell r="AA229"/>
          <cell r="AB229"/>
          <cell r="AC229"/>
          <cell r="AD229"/>
          <cell r="AE229"/>
        </row>
        <row r="230">
          <cell r="G230"/>
          <cell r="H230"/>
          <cell r="I230"/>
          <cell r="J230"/>
          <cell r="K230"/>
          <cell r="L230"/>
          <cell r="M230"/>
          <cell r="N230"/>
          <cell r="O230"/>
          <cell r="P230"/>
          <cell r="Q230"/>
          <cell r="R230"/>
          <cell r="S230"/>
          <cell r="T230"/>
          <cell r="U230"/>
          <cell r="V230"/>
          <cell r="W230"/>
          <cell r="X230"/>
          <cell r="Y230"/>
          <cell r="Z230"/>
          <cell r="AA230"/>
          <cell r="AB230"/>
          <cell r="AC230"/>
          <cell r="AD230"/>
          <cell r="AE230"/>
        </row>
        <row r="231">
          <cell r="G231"/>
          <cell r="H231"/>
          <cell r="I231"/>
          <cell r="J231"/>
          <cell r="K231"/>
          <cell r="L231"/>
          <cell r="M231"/>
          <cell r="N231"/>
          <cell r="O231"/>
          <cell r="P231"/>
          <cell r="Q231"/>
          <cell r="R231"/>
          <cell r="S231"/>
          <cell r="T231"/>
          <cell r="U231"/>
          <cell r="V231"/>
          <cell r="W231"/>
          <cell r="X231"/>
          <cell r="Y231"/>
          <cell r="Z231"/>
          <cell r="AA231"/>
          <cell r="AB231"/>
          <cell r="AC231"/>
          <cell r="AD231"/>
          <cell r="AE231"/>
        </row>
        <row r="232">
          <cell r="G232"/>
          <cell r="H232"/>
          <cell r="I232"/>
          <cell r="J232"/>
          <cell r="K232"/>
          <cell r="L232"/>
          <cell r="M232"/>
          <cell r="N232"/>
          <cell r="O232"/>
          <cell r="P232"/>
          <cell r="Q232"/>
          <cell r="R232"/>
          <cell r="S232"/>
          <cell r="T232"/>
          <cell r="U232"/>
          <cell r="V232"/>
          <cell r="W232"/>
          <cell r="X232"/>
          <cell r="Y232"/>
          <cell r="Z232"/>
          <cell r="AA232"/>
          <cell r="AB232"/>
          <cell r="AC232"/>
          <cell r="AD232"/>
          <cell r="AE232"/>
        </row>
        <row r="233">
          <cell r="G233"/>
          <cell r="H233"/>
          <cell r="I233"/>
          <cell r="J233"/>
          <cell r="K233"/>
          <cell r="L233"/>
          <cell r="M233"/>
          <cell r="N233"/>
          <cell r="O233"/>
          <cell r="P233"/>
          <cell r="Q233"/>
          <cell r="R233"/>
          <cell r="S233"/>
          <cell r="T233"/>
          <cell r="U233"/>
          <cell r="V233"/>
          <cell r="W233"/>
          <cell r="X233"/>
          <cell r="Y233"/>
          <cell r="Z233"/>
          <cell r="AA233"/>
          <cell r="AB233"/>
          <cell r="AC233"/>
          <cell r="AD233"/>
          <cell r="AE233"/>
        </row>
        <row r="234">
          <cell r="G234"/>
          <cell r="H234"/>
          <cell r="I234"/>
          <cell r="J234"/>
          <cell r="K234"/>
          <cell r="L234"/>
          <cell r="M234"/>
          <cell r="N234"/>
          <cell r="O234"/>
          <cell r="P234"/>
          <cell r="Q234"/>
          <cell r="R234"/>
          <cell r="S234"/>
          <cell r="T234"/>
          <cell r="U234"/>
          <cell r="V234"/>
          <cell r="W234"/>
          <cell r="X234"/>
          <cell r="Y234"/>
          <cell r="Z234"/>
          <cell r="AA234"/>
          <cell r="AB234"/>
          <cell r="AC234"/>
          <cell r="AD234"/>
          <cell r="AE234"/>
        </row>
        <row r="235">
          <cell r="G235"/>
          <cell r="H235"/>
          <cell r="I235"/>
          <cell r="J235"/>
          <cell r="K235"/>
          <cell r="L235"/>
          <cell r="M235"/>
          <cell r="N235"/>
          <cell r="O235"/>
          <cell r="P235"/>
          <cell r="Q235"/>
          <cell r="R235"/>
          <cell r="S235"/>
          <cell r="T235"/>
          <cell r="U235"/>
          <cell r="V235"/>
          <cell r="W235"/>
          <cell r="X235"/>
          <cell r="Y235"/>
          <cell r="Z235"/>
          <cell r="AA235"/>
          <cell r="AB235"/>
          <cell r="AC235"/>
          <cell r="AD235"/>
          <cell r="AE235"/>
        </row>
        <row r="236">
          <cell r="G236"/>
          <cell r="H236"/>
          <cell r="I236"/>
          <cell r="J236"/>
          <cell r="K236"/>
          <cell r="L236"/>
          <cell r="M236"/>
          <cell r="N236"/>
          <cell r="O236"/>
          <cell r="P236"/>
          <cell r="Q236"/>
          <cell r="R236"/>
          <cell r="S236"/>
          <cell r="T236"/>
          <cell r="U236"/>
          <cell r="V236"/>
          <cell r="W236"/>
          <cell r="X236"/>
          <cell r="Y236"/>
          <cell r="Z236"/>
          <cell r="AA236"/>
          <cell r="AB236"/>
          <cell r="AC236"/>
          <cell r="AD236"/>
          <cell r="AE236"/>
        </row>
        <row r="237">
          <cell r="G237"/>
          <cell r="H237"/>
          <cell r="I237"/>
          <cell r="J237"/>
          <cell r="K237"/>
          <cell r="L237"/>
          <cell r="M237"/>
          <cell r="N237"/>
          <cell r="O237"/>
          <cell r="P237"/>
          <cell r="Q237"/>
          <cell r="R237"/>
          <cell r="S237"/>
          <cell r="T237"/>
          <cell r="U237"/>
          <cell r="V237"/>
          <cell r="W237"/>
          <cell r="X237"/>
          <cell r="Y237"/>
          <cell r="Z237"/>
          <cell r="AA237"/>
          <cell r="AB237"/>
          <cell r="AC237"/>
          <cell r="AD237"/>
          <cell r="AE237"/>
        </row>
        <row r="238">
          <cell r="G238"/>
          <cell r="H238"/>
          <cell r="I238"/>
          <cell r="J238"/>
          <cell r="K238"/>
          <cell r="L238"/>
          <cell r="M238"/>
          <cell r="N238"/>
          <cell r="O238"/>
          <cell r="P238"/>
          <cell r="Q238"/>
          <cell r="R238"/>
          <cell r="S238"/>
          <cell r="T238"/>
          <cell r="U238"/>
          <cell r="V238"/>
          <cell r="W238"/>
          <cell r="X238"/>
          <cell r="Y238"/>
          <cell r="Z238"/>
          <cell r="AA238"/>
          <cell r="AB238"/>
          <cell r="AC238"/>
          <cell r="AD238"/>
          <cell r="AE238"/>
        </row>
        <row r="239">
          <cell r="G239"/>
          <cell r="H239"/>
          <cell r="I239"/>
          <cell r="J239"/>
          <cell r="K239"/>
          <cell r="L239"/>
          <cell r="M239"/>
          <cell r="N239"/>
          <cell r="O239"/>
          <cell r="P239"/>
          <cell r="Q239"/>
          <cell r="R239"/>
          <cell r="S239"/>
          <cell r="T239"/>
          <cell r="U239"/>
          <cell r="V239"/>
          <cell r="W239"/>
          <cell r="X239"/>
          <cell r="Y239"/>
          <cell r="Z239"/>
          <cell r="AA239"/>
          <cell r="AB239"/>
          <cell r="AC239"/>
          <cell r="AD239"/>
          <cell r="AE239"/>
        </row>
        <row r="240">
          <cell r="G240"/>
          <cell r="H240"/>
          <cell r="I240"/>
          <cell r="J240"/>
          <cell r="K240"/>
          <cell r="L240"/>
          <cell r="M240"/>
          <cell r="N240"/>
          <cell r="O240"/>
          <cell r="P240"/>
          <cell r="Q240"/>
          <cell r="R240"/>
          <cell r="S240"/>
          <cell r="T240"/>
          <cell r="U240"/>
          <cell r="V240"/>
          <cell r="W240"/>
          <cell r="X240"/>
          <cell r="Y240"/>
          <cell r="Z240"/>
          <cell r="AA240"/>
          <cell r="AB240"/>
          <cell r="AC240"/>
          <cell r="AD240"/>
          <cell r="AE240"/>
        </row>
        <row r="241">
          <cell r="G241"/>
          <cell r="H241"/>
          <cell r="I241"/>
          <cell r="J241"/>
          <cell r="K241"/>
          <cell r="L241"/>
          <cell r="M241"/>
          <cell r="N241"/>
          <cell r="O241"/>
          <cell r="P241"/>
          <cell r="Q241"/>
          <cell r="R241"/>
          <cell r="S241"/>
          <cell r="T241"/>
          <cell r="U241"/>
          <cell r="V241"/>
          <cell r="W241"/>
          <cell r="X241"/>
          <cell r="Y241"/>
          <cell r="Z241"/>
          <cell r="AA241"/>
          <cell r="AB241"/>
          <cell r="AC241"/>
          <cell r="AD241"/>
          <cell r="AE241"/>
        </row>
        <row r="242">
          <cell r="G242"/>
          <cell r="H242"/>
          <cell r="I242"/>
          <cell r="J242"/>
          <cell r="K242"/>
          <cell r="L242"/>
          <cell r="M242"/>
          <cell r="N242"/>
          <cell r="O242"/>
          <cell r="P242"/>
          <cell r="Q242"/>
          <cell r="R242"/>
          <cell r="S242"/>
          <cell r="T242"/>
          <cell r="U242"/>
          <cell r="V242"/>
          <cell r="W242"/>
          <cell r="X242"/>
          <cell r="Y242"/>
          <cell r="Z242"/>
          <cell r="AA242"/>
          <cell r="AB242"/>
          <cell r="AC242"/>
          <cell r="AD242"/>
          <cell r="AE242"/>
        </row>
        <row r="243">
          <cell r="G243"/>
          <cell r="H243"/>
          <cell r="I243"/>
          <cell r="J243"/>
          <cell r="K243"/>
          <cell r="L243"/>
          <cell r="M243"/>
          <cell r="N243"/>
          <cell r="O243"/>
          <cell r="P243"/>
          <cell r="Q243"/>
          <cell r="R243"/>
          <cell r="S243"/>
          <cell r="T243"/>
          <cell r="U243"/>
          <cell r="V243"/>
          <cell r="W243"/>
          <cell r="X243"/>
          <cell r="Y243"/>
          <cell r="Z243"/>
          <cell r="AA243"/>
          <cell r="AB243"/>
          <cell r="AC243"/>
          <cell r="AD243"/>
          <cell r="AE243"/>
        </row>
        <row r="244">
          <cell r="G244"/>
          <cell r="H244"/>
          <cell r="I244"/>
          <cell r="J244"/>
          <cell r="K244"/>
          <cell r="L244"/>
          <cell r="M244"/>
          <cell r="N244"/>
          <cell r="O244"/>
          <cell r="P244"/>
          <cell r="Q244"/>
          <cell r="R244"/>
          <cell r="S244"/>
          <cell r="T244"/>
          <cell r="U244"/>
          <cell r="V244"/>
          <cell r="W244"/>
          <cell r="X244"/>
          <cell r="Y244"/>
          <cell r="Z244"/>
          <cell r="AA244"/>
          <cell r="AB244"/>
          <cell r="AC244"/>
          <cell r="AD244"/>
          <cell r="AE244"/>
        </row>
        <row r="245">
          <cell r="G245"/>
          <cell r="H245"/>
          <cell r="I245"/>
          <cell r="J245"/>
          <cell r="K245"/>
          <cell r="L245"/>
          <cell r="M245"/>
          <cell r="N245"/>
          <cell r="O245"/>
          <cell r="P245"/>
          <cell r="Q245"/>
          <cell r="R245"/>
          <cell r="S245"/>
          <cell r="T245"/>
          <cell r="U245"/>
          <cell r="V245"/>
          <cell r="W245"/>
          <cell r="X245"/>
          <cell r="Y245"/>
          <cell r="Z245"/>
          <cell r="AA245"/>
          <cell r="AB245"/>
          <cell r="AC245"/>
          <cell r="AD245"/>
          <cell r="AE245"/>
        </row>
        <row r="246">
          <cell r="G246"/>
          <cell r="H246"/>
          <cell r="I246"/>
          <cell r="J246"/>
          <cell r="K246"/>
          <cell r="L246"/>
          <cell r="M246"/>
          <cell r="N246"/>
          <cell r="O246"/>
          <cell r="P246"/>
          <cell r="Q246"/>
          <cell r="R246"/>
          <cell r="S246"/>
          <cell r="T246"/>
          <cell r="U246"/>
          <cell r="V246"/>
          <cell r="W246"/>
          <cell r="X246"/>
          <cell r="Y246"/>
          <cell r="Z246"/>
          <cell r="AA246"/>
          <cell r="AB246"/>
          <cell r="AC246"/>
          <cell r="AD246"/>
          <cell r="AE246"/>
        </row>
        <row r="247">
          <cell r="G247"/>
          <cell r="H247"/>
          <cell r="I247"/>
          <cell r="J247"/>
          <cell r="K247"/>
          <cell r="L247"/>
          <cell r="M247"/>
          <cell r="N247"/>
          <cell r="O247"/>
          <cell r="P247"/>
          <cell r="Q247"/>
          <cell r="R247"/>
          <cell r="S247"/>
          <cell r="T247"/>
          <cell r="U247"/>
          <cell r="V247"/>
          <cell r="W247"/>
          <cell r="X247"/>
          <cell r="Y247"/>
          <cell r="Z247"/>
          <cell r="AA247"/>
          <cell r="AB247"/>
          <cell r="AC247"/>
          <cell r="AD247"/>
          <cell r="AE247"/>
        </row>
        <row r="248">
          <cell r="G248"/>
          <cell r="H248"/>
          <cell r="I248"/>
          <cell r="J248"/>
          <cell r="K248"/>
          <cell r="L248"/>
          <cell r="M248"/>
          <cell r="N248"/>
          <cell r="O248"/>
          <cell r="P248"/>
          <cell r="Q248"/>
          <cell r="R248"/>
          <cell r="S248"/>
          <cell r="T248"/>
          <cell r="U248"/>
          <cell r="V248"/>
          <cell r="W248"/>
          <cell r="X248"/>
          <cell r="Y248"/>
          <cell r="Z248"/>
          <cell r="AA248"/>
          <cell r="AB248"/>
          <cell r="AC248"/>
          <cell r="AD248"/>
          <cell r="AE248"/>
        </row>
        <row r="249">
          <cell r="G249"/>
          <cell r="H249"/>
          <cell r="I249"/>
          <cell r="J249"/>
          <cell r="K249"/>
          <cell r="L249"/>
          <cell r="M249"/>
          <cell r="N249"/>
          <cell r="O249"/>
          <cell r="P249"/>
          <cell r="Q249"/>
          <cell r="R249"/>
          <cell r="S249"/>
          <cell r="T249"/>
          <cell r="U249"/>
          <cell r="V249"/>
          <cell r="W249"/>
          <cell r="X249"/>
          <cell r="Y249"/>
          <cell r="Z249"/>
          <cell r="AA249"/>
          <cell r="AB249"/>
          <cell r="AC249"/>
          <cell r="AD249"/>
          <cell r="AE249"/>
        </row>
        <row r="250">
          <cell r="G250"/>
          <cell r="H250"/>
          <cell r="I250"/>
          <cell r="J250"/>
          <cell r="K250"/>
          <cell r="L250"/>
          <cell r="M250"/>
          <cell r="N250"/>
          <cell r="O250"/>
          <cell r="P250"/>
          <cell r="Q250"/>
          <cell r="R250"/>
          <cell r="S250"/>
          <cell r="T250"/>
          <cell r="U250"/>
          <cell r="V250"/>
          <cell r="W250"/>
          <cell r="X250"/>
          <cell r="Y250"/>
          <cell r="Z250"/>
          <cell r="AA250"/>
          <cell r="AB250"/>
          <cell r="AC250"/>
          <cell r="AD250"/>
          <cell r="AE250"/>
        </row>
        <row r="251">
          <cell r="G251"/>
          <cell r="H251"/>
          <cell r="I251"/>
          <cell r="J251"/>
          <cell r="K251"/>
          <cell r="L251"/>
          <cell r="M251"/>
          <cell r="N251"/>
          <cell r="O251"/>
          <cell r="P251"/>
          <cell r="Q251"/>
          <cell r="R251"/>
          <cell r="S251"/>
          <cell r="T251"/>
          <cell r="U251"/>
          <cell r="V251"/>
          <cell r="W251"/>
          <cell r="X251"/>
          <cell r="Y251"/>
          <cell r="Z251"/>
          <cell r="AA251"/>
          <cell r="AB251"/>
          <cell r="AC251"/>
          <cell r="AD251"/>
          <cell r="AE251"/>
        </row>
        <row r="252">
          <cell r="G252"/>
          <cell r="H252"/>
          <cell r="I252"/>
          <cell r="J252"/>
          <cell r="K252"/>
          <cell r="L252"/>
          <cell r="M252"/>
          <cell r="N252"/>
          <cell r="O252"/>
          <cell r="P252"/>
          <cell r="Q252"/>
          <cell r="R252"/>
          <cell r="S252"/>
          <cell r="T252"/>
          <cell r="U252"/>
          <cell r="V252"/>
          <cell r="W252"/>
          <cell r="X252"/>
          <cell r="Y252"/>
          <cell r="Z252"/>
          <cell r="AA252"/>
          <cell r="AB252"/>
          <cell r="AC252"/>
          <cell r="AD252"/>
          <cell r="AE252"/>
        </row>
        <row r="253">
          <cell r="G253"/>
          <cell r="H253"/>
          <cell r="I253"/>
          <cell r="J253"/>
          <cell r="K253"/>
          <cell r="L253"/>
          <cell r="M253"/>
          <cell r="N253"/>
          <cell r="O253"/>
          <cell r="P253"/>
          <cell r="Q253"/>
          <cell r="R253"/>
          <cell r="S253"/>
          <cell r="T253"/>
          <cell r="U253"/>
          <cell r="V253"/>
          <cell r="W253"/>
          <cell r="X253"/>
          <cell r="Y253"/>
          <cell r="Z253"/>
          <cell r="AA253"/>
          <cell r="AB253"/>
          <cell r="AC253"/>
          <cell r="AD253"/>
          <cell r="AE253"/>
        </row>
        <row r="254">
          <cell r="G254"/>
          <cell r="H254"/>
          <cell r="I254"/>
          <cell r="J254"/>
          <cell r="K254"/>
          <cell r="L254"/>
          <cell r="M254"/>
          <cell r="N254"/>
          <cell r="O254"/>
          <cell r="P254"/>
          <cell r="Q254"/>
          <cell r="R254"/>
          <cell r="S254"/>
          <cell r="T254"/>
          <cell r="U254"/>
          <cell r="V254"/>
          <cell r="W254"/>
          <cell r="X254"/>
          <cell r="Y254"/>
          <cell r="Z254"/>
          <cell r="AA254"/>
          <cell r="AB254"/>
          <cell r="AC254"/>
          <cell r="AD254"/>
          <cell r="AE254"/>
        </row>
        <row r="255">
          <cell r="G255"/>
          <cell r="H255"/>
          <cell r="I255"/>
          <cell r="J255"/>
          <cell r="K255"/>
          <cell r="L255"/>
          <cell r="M255"/>
          <cell r="N255"/>
          <cell r="O255"/>
          <cell r="P255"/>
          <cell r="Q255"/>
          <cell r="R255"/>
          <cell r="S255"/>
          <cell r="T255"/>
          <cell r="U255"/>
          <cell r="V255"/>
          <cell r="W255"/>
          <cell r="X255"/>
          <cell r="Y255"/>
          <cell r="Z255"/>
          <cell r="AA255"/>
          <cell r="AB255"/>
          <cell r="AC255"/>
          <cell r="AD255"/>
          <cell r="AE255"/>
        </row>
        <row r="256">
          <cell r="G256"/>
          <cell r="H256"/>
          <cell r="I256"/>
          <cell r="J256"/>
          <cell r="K256"/>
          <cell r="L256"/>
          <cell r="M256"/>
          <cell r="N256"/>
          <cell r="O256"/>
          <cell r="P256"/>
          <cell r="Q256"/>
          <cell r="R256"/>
          <cell r="S256"/>
          <cell r="T256"/>
          <cell r="U256"/>
          <cell r="V256"/>
          <cell r="W256"/>
          <cell r="X256"/>
          <cell r="Y256"/>
          <cell r="Z256"/>
          <cell r="AA256"/>
          <cell r="AB256"/>
          <cell r="AC256"/>
          <cell r="AD256"/>
          <cell r="AE256"/>
        </row>
        <row r="257">
          <cell r="G257"/>
          <cell r="H257"/>
          <cell r="I257"/>
          <cell r="J257"/>
          <cell r="K257"/>
          <cell r="L257"/>
          <cell r="M257"/>
          <cell r="N257"/>
          <cell r="O257"/>
          <cell r="P257"/>
          <cell r="Q257"/>
          <cell r="R257"/>
          <cell r="S257"/>
          <cell r="T257"/>
          <cell r="U257"/>
          <cell r="V257"/>
          <cell r="W257"/>
          <cell r="X257"/>
          <cell r="Y257"/>
          <cell r="Z257"/>
          <cell r="AA257"/>
          <cell r="AB257"/>
          <cell r="AC257"/>
          <cell r="AD257"/>
          <cell r="AE257"/>
        </row>
        <row r="258">
          <cell r="G258"/>
          <cell r="H258"/>
          <cell r="I258"/>
          <cell r="J258"/>
          <cell r="K258"/>
          <cell r="L258"/>
          <cell r="M258"/>
          <cell r="N258"/>
          <cell r="O258"/>
          <cell r="P258"/>
          <cell r="Q258"/>
          <cell r="R258"/>
          <cell r="S258"/>
          <cell r="T258"/>
          <cell r="U258"/>
          <cell r="V258"/>
          <cell r="W258"/>
          <cell r="X258"/>
          <cell r="Y258"/>
          <cell r="Z258"/>
          <cell r="AA258"/>
          <cell r="AB258"/>
          <cell r="AC258"/>
          <cell r="AD258"/>
          <cell r="AE258"/>
        </row>
        <row r="259">
          <cell r="G259"/>
          <cell r="H259"/>
          <cell r="I259"/>
          <cell r="J259"/>
          <cell r="K259"/>
          <cell r="L259"/>
          <cell r="M259"/>
          <cell r="N259"/>
          <cell r="O259"/>
          <cell r="P259"/>
          <cell r="Q259"/>
          <cell r="R259"/>
          <cell r="S259"/>
          <cell r="T259"/>
          <cell r="U259"/>
          <cell r="V259"/>
          <cell r="W259"/>
          <cell r="X259"/>
          <cell r="Y259"/>
          <cell r="Z259"/>
          <cell r="AA259"/>
          <cell r="AB259"/>
          <cell r="AC259"/>
          <cell r="AD259"/>
          <cell r="AE259"/>
        </row>
        <row r="260">
          <cell r="G260"/>
          <cell r="H260"/>
          <cell r="I260"/>
          <cell r="J260"/>
          <cell r="K260"/>
          <cell r="L260"/>
          <cell r="M260"/>
          <cell r="N260"/>
          <cell r="O260"/>
          <cell r="P260"/>
          <cell r="Q260"/>
          <cell r="R260"/>
          <cell r="S260"/>
          <cell r="T260"/>
          <cell r="U260"/>
          <cell r="V260"/>
          <cell r="W260"/>
          <cell r="X260"/>
          <cell r="Y260"/>
          <cell r="Z260"/>
          <cell r="AA260"/>
          <cell r="AB260"/>
          <cell r="AC260"/>
          <cell r="AD260"/>
          <cell r="AE260"/>
        </row>
        <row r="261">
          <cell r="G261"/>
          <cell r="H261"/>
          <cell r="I261"/>
          <cell r="J261"/>
          <cell r="K261"/>
          <cell r="L261"/>
          <cell r="M261"/>
          <cell r="N261"/>
          <cell r="O261"/>
          <cell r="P261"/>
          <cell r="Q261"/>
          <cell r="R261"/>
          <cell r="S261"/>
          <cell r="T261"/>
          <cell r="U261"/>
          <cell r="V261"/>
          <cell r="W261"/>
          <cell r="X261"/>
          <cell r="Y261"/>
          <cell r="Z261"/>
          <cell r="AA261"/>
          <cell r="AB261"/>
          <cell r="AC261"/>
          <cell r="AD261"/>
          <cell r="AE261"/>
        </row>
        <row r="262">
          <cell r="G262"/>
          <cell r="H262"/>
          <cell r="I262"/>
          <cell r="J262"/>
          <cell r="K262"/>
          <cell r="L262"/>
          <cell r="M262"/>
          <cell r="N262"/>
          <cell r="O262"/>
          <cell r="P262"/>
          <cell r="Q262"/>
          <cell r="R262"/>
          <cell r="S262"/>
          <cell r="T262"/>
          <cell r="U262"/>
          <cell r="V262"/>
          <cell r="W262"/>
          <cell r="X262"/>
          <cell r="Y262"/>
          <cell r="Z262"/>
          <cell r="AA262"/>
          <cell r="AB262"/>
          <cell r="AC262"/>
          <cell r="AD262"/>
          <cell r="AE262"/>
        </row>
        <row r="263">
          <cell r="G263"/>
          <cell r="H263"/>
          <cell r="I263"/>
          <cell r="J263"/>
          <cell r="K263"/>
          <cell r="L263"/>
          <cell r="M263"/>
          <cell r="N263"/>
          <cell r="O263"/>
          <cell r="P263"/>
          <cell r="Q263"/>
          <cell r="R263"/>
          <cell r="S263"/>
          <cell r="T263"/>
          <cell r="U263"/>
          <cell r="V263"/>
          <cell r="W263"/>
          <cell r="X263"/>
          <cell r="Y263"/>
          <cell r="Z263"/>
          <cell r="AA263"/>
          <cell r="AB263"/>
          <cell r="AC263"/>
          <cell r="AD263"/>
          <cell r="AE263"/>
        </row>
        <row r="264">
          <cell r="G264"/>
          <cell r="H264"/>
          <cell r="I264"/>
          <cell r="J264"/>
          <cell r="K264"/>
          <cell r="L264"/>
          <cell r="M264"/>
          <cell r="N264"/>
          <cell r="O264"/>
          <cell r="P264"/>
          <cell r="Q264"/>
          <cell r="R264"/>
          <cell r="S264"/>
          <cell r="T264"/>
          <cell r="U264"/>
          <cell r="V264"/>
          <cell r="W264"/>
          <cell r="X264"/>
          <cell r="Y264"/>
          <cell r="Z264"/>
          <cell r="AA264"/>
          <cell r="AB264"/>
          <cell r="AC264"/>
          <cell r="AD264"/>
          <cell r="AE264"/>
        </row>
        <row r="265">
          <cell r="G265"/>
          <cell r="H265"/>
          <cell r="I265"/>
          <cell r="J265"/>
          <cell r="K265"/>
          <cell r="L265"/>
          <cell r="M265"/>
          <cell r="N265"/>
          <cell r="O265"/>
          <cell r="P265"/>
          <cell r="Q265"/>
          <cell r="R265"/>
          <cell r="S265"/>
          <cell r="T265"/>
          <cell r="U265"/>
          <cell r="V265"/>
          <cell r="W265"/>
          <cell r="X265"/>
          <cell r="Y265"/>
          <cell r="Z265"/>
          <cell r="AA265"/>
          <cell r="AB265"/>
          <cell r="AC265"/>
          <cell r="AD265"/>
          <cell r="AE265"/>
        </row>
        <row r="266">
          <cell r="G266"/>
          <cell r="H266"/>
          <cell r="I266"/>
          <cell r="J266"/>
          <cell r="K266"/>
          <cell r="L266"/>
          <cell r="M266"/>
          <cell r="N266"/>
          <cell r="O266"/>
          <cell r="P266"/>
          <cell r="Q266"/>
          <cell r="R266"/>
          <cell r="S266"/>
          <cell r="T266"/>
          <cell r="U266"/>
          <cell r="V266"/>
          <cell r="W266"/>
          <cell r="X266"/>
          <cell r="Y266"/>
          <cell r="Z266"/>
          <cell r="AA266"/>
          <cell r="AB266"/>
          <cell r="AC266"/>
          <cell r="AD266"/>
          <cell r="AE266"/>
        </row>
        <row r="267">
          <cell r="G267"/>
          <cell r="H267"/>
          <cell r="I267"/>
          <cell r="J267"/>
          <cell r="K267"/>
          <cell r="L267"/>
          <cell r="M267"/>
          <cell r="N267"/>
          <cell r="O267"/>
          <cell r="P267"/>
          <cell r="Q267"/>
          <cell r="R267"/>
          <cell r="S267"/>
          <cell r="T267"/>
          <cell r="U267"/>
          <cell r="V267"/>
          <cell r="W267"/>
          <cell r="X267"/>
          <cell r="Y267"/>
          <cell r="Z267"/>
          <cell r="AA267"/>
          <cell r="AB267"/>
          <cell r="AC267"/>
          <cell r="AD267"/>
          <cell r="AE267"/>
        </row>
        <row r="268">
          <cell r="G268"/>
          <cell r="H268"/>
          <cell r="I268"/>
          <cell r="J268"/>
          <cell r="K268"/>
          <cell r="L268"/>
          <cell r="M268"/>
          <cell r="N268"/>
          <cell r="O268"/>
          <cell r="P268"/>
          <cell r="Q268"/>
          <cell r="R268"/>
          <cell r="S268"/>
          <cell r="T268"/>
          <cell r="U268"/>
          <cell r="V268"/>
          <cell r="W268"/>
          <cell r="X268"/>
          <cell r="Y268"/>
          <cell r="Z268"/>
          <cell r="AA268"/>
          <cell r="AB268"/>
          <cell r="AC268"/>
          <cell r="AD268"/>
          <cell r="AE268"/>
        </row>
        <row r="269">
          <cell r="G269"/>
          <cell r="H269"/>
          <cell r="I269"/>
          <cell r="J269"/>
          <cell r="K269"/>
          <cell r="L269"/>
          <cell r="M269"/>
          <cell r="N269"/>
          <cell r="O269"/>
          <cell r="P269"/>
          <cell r="Q269"/>
          <cell r="R269"/>
          <cell r="S269"/>
          <cell r="T269"/>
          <cell r="U269"/>
          <cell r="V269"/>
          <cell r="W269"/>
          <cell r="X269"/>
          <cell r="Y269"/>
          <cell r="Z269"/>
          <cell r="AA269"/>
          <cell r="AB269"/>
          <cell r="AC269"/>
          <cell r="AD269"/>
          <cell r="AE269"/>
        </row>
        <row r="270">
          <cell r="G270"/>
          <cell r="H270"/>
          <cell r="I270"/>
          <cell r="J270"/>
          <cell r="K270"/>
          <cell r="L270"/>
          <cell r="M270"/>
          <cell r="N270"/>
          <cell r="O270"/>
          <cell r="P270"/>
          <cell r="Q270"/>
          <cell r="R270"/>
          <cell r="S270"/>
          <cell r="T270"/>
          <cell r="U270"/>
          <cell r="V270"/>
          <cell r="W270"/>
          <cell r="X270"/>
          <cell r="Y270"/>
          <cell r="Z270"/>
          <cell r="AA270"/>
          <cell r="AB270"/>
          <cell r="AC270"/>
          <cell r="AD270"/>
          <cell r="AE270"/>
        </row>
        <row r="271">
          <cell r="G271"/>
          <cell r="H271"/>
          <cell r="I271"/>
          <cell r="J271"/>
          <cell r="K271"/>
          <cell r="L271"/>
          <cell r="M271"/>
          <cell r="N271"/>
          <cell r="O271"/>
          <cell r="P271"/>
          <cell r="Q271"/>
          <cell r="R271"/>
          <cell r="S271"/>
          <cell r="T271"/>
          <cell r="U271"/>
          <cell r="V271"/>
          <cell r="W271"/>
          <cell r="X271"/>
          <cell r="Y271"/>
          <cell r="Z271"/>
          <cell r="AA271"/>
          <cell r="AB271"/>
          <cell r="AC271"/>
          <cell r="AD271"/>
          <cell r="AE271"/>
        </row>
        <row r="272">
          <cell r="G272"/>
          <cell r="H272"/>
          <cell r="I272"/>
          <cell r="J272"/>
          <cell r="K272"/>
          <cell r="L272"/>
          <cell r="M272"/>
          <cell r="N272"/>
          <cell r="O272"/>
          <cell r="P272"/>
          <cell r="Q272"/>
          <cell r="R272"/>
          <cell r="S272"/>
          <cell r="T272"/>
          <cell r="U272"/>
          <cell r="V272"/>
          <cell r="W272"/>
          <cell r="X272"/>
          <cell r="Y272"/>
          <cell r="Z272"/>
          <cell r="AA272"/>
          <cell r="AB272"/>
          <cell r="AC272"/>
          <cell r="AD272"/>
          <cell r="AE272"/>
        </row>
        <row r="273">
          <cell r="G273"/>
          <cell r="H273"/>
          <cell r="I273"/>
          <cell r="J273"/>
          <cell r="K273"/>
          <cell r="L273"/>
          <cell r="M273"/>
          <cell r="N273"/>
          <cell r="O273"/>
          <cell r="P273"/>
          <cell r="Q273"/>
          <cell r="R273"/>
          <cell r="S273"/>
          <cell r="T273"/>
          <cell r="U273"/>
          <cell r="V273"/>
          <cell r="W273"/>
          <cell r="X273"/>
          <cell r="Y273"/>
          <cell r="Z273"/>
          <cell r="AA273"/>
          <cell r="AB273"/>
          <cell r="AC273"/>
          <cell r="AD273"/>
          <cell r="AE273"/>
        </row>
        <row r="274">
          <cell r="G274"/>
          <cell r="H274"/>
          <cell r="I274"/>
          <cell r="J274"/>
          <cell r="K274"/>
          <cell r="L274"/>
          <cell r="M274"/>
          <cell r="N274"/>
          <cell r="O274"/>
          <cell r="P274"/>
          <cell r="Q274"/>
          <cell r="R274"/>
          <cell r="S274"/>
          <cell r="T274"/>
          <cell r="U274"/>
          <cell r="V274"/>
          <cell r="W274"/>
          <cell r="X274"/>
          <cell r="Y274"/>
          <cell r="Z274"/>
          <cell r="AA274"/>
          <cell r="AB274"/>
          <cell r="AC274"/>
          <cell r="AD274"/>
          <cell r="AE274"/>
        </row>
        <row r="275">
          <cell r="G275"/>
          <cell r="H275"/>
          <cell r="I275"/>
          <cell r="J275"/>
          <cell r="K275"/>
          <cell r="L275"/>
          <cell r="M275"/>
          <cell r="N275"/>
          <cell r="O275"/>
          <cell r="P275"/>
          <cell r="Q275"/>
          <cell r="R275"/>
          <cell r="S275"/>
          <cell r="T275"/>
          <cell r="U275"/>
          <cell r="V275"/>
          <cell r="W275"/>
          <cell r="X275"/>
          <cell r="Y275"/>
          <cell r="Z275"/>
          <cell r="AA275"/>
          <cell r="AB275"/>
          <cell r="AC275"/>
          <cell r="AD275"/>
          <cell r="AE275"/>
        </row>
        <row r="276">
          <cell r="G276"/>
          <cell r="H276"/>
          <cell r="I276"/>
          <cell r="J276"/>
          <cell r="K276"/>
          <cell r="L276"/>
          <cell r="M276"/>
          <cell r="N276"/>
          <cell r="O276"/>
          <cell r="P276"/>
          <cell r="Q276"/>
          <cell r="R276"/>
          <cell r="S276"/>
          <cell r="T276"/>
          <cell r="U276"/>
          <cell r="V276"/>
          <cell r="W276"/>
          <cell r="X276"/>
          <cell r="Y276"/>
          <cell r="Z276"/>
          <cell r="AA276"/>
          <cell r="AB276"/>
          <cell r="AC276"/>
          <cell r="AD276"/>
          <cell r="AE276"/>
        </row>
        <row r="277">
          <cell r="G277"/>
          <cell r="H277"/>
          <cell r="I277"/>
          <cell r="J277"/>
          <cell r="K277"/>
          <cell r="L277"/>
          <cell r="M277"/>
          <cell r="N277"/>
          <cell r="O277"/>
          <cell r="P277"/>
          <cell r="Q277"/>
          <cell r="R277"/>
          <cell r="S277"/>
          <cell r="T277"/>
          <cell r="U277"/>
          <cell r="V277"/>
          <cell r="W277"/>
          <cell r="X277"/>
          <cell r="Y277"/>
          <cell r="Z277"/>
          <cell r="AA277"/>
          <cell r="AB277"/>
          <cell r="AC277"/>
          <cell r="AD277"/>
          <cell r="AE277"/>
        </row>
        <row r="278">
          <cell r="G278"/>
          <cell r="H278"/>
          <cell r="I278"/>
          <cell r="J278"/>
          <cell r="K278"/>
          <cell r="L278"/>
          <cell r="M278"/>
          <cell r="N278"/>
          <cell r="O278"/>
          <cell r="P278"/>
          <cell r="Q278"/>
          <cell r="R278"/>
          <cell r="S278"/>
          <cell r="T278"/>
          <cell r="U278"/>
          <cell r="V278"/>
          <cell r="W278"/>
          <cell r="X278"/>
          <cell r="Y278"/>
          <cell r="Z278"/>
          <cell r="AA278"/>
          <cell r="AB278"/>
          <cell r="AC278"/>
          <cell r="AD278"/>
          <cell r="AE278"/>
        </row>
        <row r="279">
          <cell r="G279"/>
          <cell r="H279"/>
          <cell r="I279"/>
          <cell r="J279"/>
          <cell r="K279"/>
          <cell r="L279"/>
          <cell r="M279"/>
          <cell r="N279"/>
          <cell r="O279"/>
          <cell r="P279"/>
          <cell r="Q279"/>
          <cell r="R279"/>
          <cell r="S279"/>
          <cell r="T279"/>
          <cell r="U279"/>
          <cell r="V279"/>
          <cell r="W279"/>
          <cell r="X279"/>
          <cell r="Y279"/>
          <cell r="Z279"/>
          <cell r="AA279"/>
          <cell r="AB279"/>
          <cell r="AC279"/>
          <cell r="AD279"/>
          <cell r="AE279"/>
        </row>
        <row r="280">
          <cell r="G280"/>
          <cell r="H280"/>
          <cell r="I280"/>
          <cell r="J280"/>
          <cell r="K280"/>
          <cell r="L280"/>
          <cell r="M280"/>
          <cell r="N280"/>
          <cell r="O280"/>
          <cell r="P280"/>
          <cell r="Q280"/>
          <cell r="R280"/>
          <cell r="S280"/>
          <cell r="T280"/>
          <cell r="U280"/>
          <cell r="V280"/>
          <cell r="W280"/>
          <cell r="X280"/>
          <cell r="Y280"/>
          <cell r="Z280"/>
          <cell r="AA280"/>
          <cell r="AB280"/>
          <cell r="AC280"/>
          <cell r="AD280"/>
          <cell r="AE280"/>
        </row>
        <row r="281">
          <cell r="G281"/>
          <cell r="H281"/>
          <cell r="I281"/>
          <cell r="J281"/>
          <cell r="K281"/>
          <cell r="L281"/>
          <cell r="M281"/>
          <cell r="N281"/>
          <cell r="O281"/>
          <cell r="P281"/>
          <cell r="Q281"/>
          <cell r="R281"/>
          <cell r="S281"/>
          <cell r="T281"/>
          <cell r="U281"/>
          <cell r="V281"/>
          <cell r="W281"/>
          <cell r="X281"/>
          <cell r="Y281"/>
          <cell r="Z281"/>
          <cell r="AA281"/>
          <cell r="AB281"/>
          <cell r="AC281"/>
          <cell r="AD281"/>
          <cell r="AE281"/>
        </row>
        <row r="282">
          <cell r="G282"/>
          <cell r="H282"/>
          <cell r="I282"/>
          <cell r="J282"/>
          <cell r="K282"/>
          <cell r="L282"/>
          <cell r="M282"/>
          <cell r="N282"/>
          <cell r="O282"/>
          <cell r="P282"/>
          <cell r="Q282"/>
          <cell r="R282"/>
          <cell r="S282"/>
          <cell r="T282"/>
          <cell r="U282"/>
          <cell r="V282"/>
          <cell r="W282"/>
          <cell r="X282"/>
          <cell r="Y282"/>
          <cell r="Z282"/>
          <cell r="AA282"/>
          <cell r="AB282"/>
          <cell r="AC282"/>
          <cell r="AD282"/>
          <cell r="AE282"/>
        </row>
        <row r="283">
          <cell r="G283"/>
          <cell r="H283"/>
          <cell r="I283"/>
          <cell r="J283"/>
          <cell r="K283"/>
          <cell r="L283"/>
          <cell r="M283"/>
          <cell r="N283"/>
          <cell r="O283"/>
          <cell r="P283"/>
          <cell r="Q283"/>
          <cell r="R283"/>
          <cell r="S283"/>
          <cell r="T283"/>
          <cell r="U283"/>
          <cell r="V283"/>
          <cell r="W283"/>
          <cell r="X283"/>
          <cell r="Y283"/>
          <cell r="Z283"/>
          <cell r="AA283"/>
          <cell r="AB283"/>
          <cell r="AC283"/>
          <cell r="AD283"/>
          <cell r="AE283"/>
        </row>
        <row r="284">
          <cell r="G284"/>
          <cell r="H284"/>
          <cell r="I284"/>
          <cell r="J284"/>
          <cell r="K284"/>
          <cell r="L284"/>
          <cell r="M284"/>
          <cell r="N284"/>
          <cell r="O284"/>
          <cell r="P284"/>
          <cell r="Q284"/>
          <cell r="R284"/>
          <cell r="S284"/>
          <cell r="T284"/>
          <cell r="U284"/>
          <cell r="V284"/>
          <cell r="W284"/>
          <cell r="X284"/>
          <cell r="Y284"/>
          <cell r="Z284"/>
          <cell r="AA284"/>
          <cell r="AB284"/>
          <cell r="AC284"/>
          <cell r="AD284"/>
          <cell r="AE284"/>
        </row>
        <row r="285">
          <cell r="G285"/>
          <cell r="H285"/>
          <cell r="I285"/>
          <cell r="J285"/>
          <cell r="K285"/>
          <cell r="L285"/>
          <cell r="M285"/>
          <cell r="N285"/>
          <cell r="O285"/>
          <cell r="P285"/>
          <cell r="Q285"/>
          <cell r="R285"/>
          <cell r="S285"/>
          <cell r="T285"/>
          <cell r="U285"/>
          <cell r="V285"/>
          <cell r="W285"/>
          <cell r="X285"/>
          <cell r="Y285"/>
          <cell r="Z285"/>
          <cell r="AA285"/>
          <cell r="AB285"/>
          <cell r="AC285"/>
          <cell r="AD285"/>
          <cell r="AE285"/>
        </row>
        <row r="286">
          <cell r="G286"/>
          <cell r="H286"/>
          <cell r="I286"/>
          <cell r="J286"/>
          <cell r="K286"/>
          <cell r="L286"/>
          <cell r="M286"/>
          <cell r="N286"/>
          <cell r="O286"/>
          <cell r="P286"/>
          <cell r="Q286"/>
          <cell r="R286"/>
          <cell r="S286"/>
          <cell r="T286"/>
          <cell r="U286"/>
          <cell r="V286"/>
          <cell r="W286"/>
          <cell r="X286"/>
          <cell r="Y286"/>
          <cell r="Z286"/>
          <cell r="AA286"/>
          <cell r="AB286"/>
          <cell r="AC286"/>
          <cell r="AD286"/>
          <cell r="AE286"/>
        </row>
        <row r="287">
          <cell r="G287"/>
          <cell r="H287"/>
          <cell r="I287"/>
          <cell r="J287"/>
          <cell r="K287"/>
          <cell r="L287"/>
          <cell r="M287"/>
          <cell r="N287"/>
          <cell r="O287"/>
          <cell r="P287"/>
          <cell r="Q287"/>
          <cell r="R287"/>
          <cell r="S287"/>
          <cell r="T287"/>
          <cell r="U287"/>
          <cell r="V287"/>
          <cell r="W287"/>
          <cell r="X287"/>
          <cell r="Y287"/>
          <cell r="Z287"/>
          <cell r="AA287"/>
          <cell r="AB287"/>
          <cell r="AC287"/>
          <cell r="AD287"/>
          <cell r="AE287"/>
        </row>
        <row r="288">
          <cell r="G288"/>
          <cell r="H288"/>
          <cell r="I288"/>
          <cell r="J288"/>
          <cell r="K288"/>
          <cell r="L288"/>
          <cell r="M288"/>
          <cell r="N288"/>
          <cell r="O288"/>
          <cell r="P288"/>
          <cell r="Q288"/>
          <cell r="R288"/>
          <cell r="S288"/>
          <cell r="T288"/>
          <cell r="U288"/>
          <cell r="V288"/>
          <cell r="W288"/>
          <cell r="X288"/>
          <cell r="Y288"/>
          <cell r="Z288"/>
          <cell r="AA288"/>
          <cell r="AB288"/>
          <cell r="AC288"/>
          <cell r="AD288"/>
          <cell r="AE288"/>
        </row>
        <row r="289">
          <cell r="G289"/>
          <cell r="H289"/>
          <cell r="I289"/>
          <cell r="J289"/>
          <cell r="K289"/>
          <cell r="L289"/>
          <cell r="M289"/>
          <cell r="N289"/>
          <cell r="O289"/>
          <cell r="P289"/>
          <cell r="Q289"/>
          <cell r="R289"/>
          <cell r="S289"/>
          <cell r="T289"/>
          <cell r="U289"/>
          <cell r="V289"/>
          <cell r="W289"/>
          <cell r="X289"/>
          <cell r="Y289"/>
          <cell r="Z289"/>
          <cell r="AA289"/>
          <cell r="AB289"/>
          <cell r="AC289"/>
          <cell r="AD289"/>
          <cell r="AE289"/>
        </row>
        <row r="290">
          <cell r="G290"/>
          <cell r="H290"/>
          <cell r="I290"/>
          <cell r="J290"/>
          <cell r="K290"/>
          <cell r="L290"/>
          <cell r="M290"/>
          <cell r="N290"/>
          <cell r="O290"/>
          <cell r="P290"/>
          <cell r="Q290"/>
          <cell r="R290"/>
          <cell r="S290"/>
          <cell r="T290"/>
          <cell r="U290"/>
          <cell r="V290"/>
          <cell r="W290"/>
          <cell r="X290"/>
          <cell r="Y290"/>
          <cell r="Z290"/>
          <cell r="AA290"/>
          <cell r="AB290"/>
          <cell r="AC290"/>
          <cell r="AD290"/>
          <cell r="AE290"/>
        </row>
        <row r="291">
          <cell r="G291"/>
          <cell r="H291"/>
          <cell r="I291"/>
          <cell r="J291"/>
          <cell r="K291"/>
          <cell r="L291"/>
          <cell r="M291"/>
          <cell r="N291"/>
          <cell r="O291"/>
          <cell r="P291"/>
          <cell r="Q291"/>
          <cell r="R291"/>
          <cell r="S291"/>
          <cell r="T291"/>
          <cell r="U291"/>
          <cell r="V291"/>
          <cell r="W291"/>
          <cell r="X291"/>
          <cell r="Y291"/>
          <cell r="Z291"/>
          <cell r="AA291"/>
          <cell r="AB291"/>
          <cell r="AC291"/>
          <cell r="AD291"/>
          <cell r="AE291"/>
        </row>
        <row r="292">
          <cell r="G292"/>
          <cell r="H292"/>
          <cell r="I292"/>
          <cell r="J292"/>
          <cell r="K292"/>
          <cell r="L292"/>
          <cell r="M292"/>
          <cell r="N292"/>
          <cell r="O292"/>
          <cell r="P292"/>
          <cell r="Q292"/>
          <cell r="R292"/>
          <cell r="S292"/>
          <cell r="T292"/>
          <cell r="U292"/>
          <cell r="V292"/>
          <cell r="W292"/>
          <cell r="X292"/>
          <cell r="Y292"/>
          <cell r="Z292"/>
          <cell r="AA292"/>
          <cell r="AB292"/>
          <cell r="AC292"/>
          <cell r="AD292"/>
          <cell r="AE292"/>
        </row>
        <row r="293">
          <cell r="G293"/>
          <cell r="H293"/>
          <cell r="I293"/>
          <cell r="J293"/>
          <cell r="K293"/>
          <cell r="L293"/>
          <cell r="M293"/>
          <cell r="N293"/>
          <cell r="O293"/>
          <cell r="P293"/>
          <cell r="Q293"/>
          <cell r="R293"/>
          <cell r="S293"/>
          <cell r="T293"/>
          <cell r="U293"/>
          <cell r="V293"/>
          <cell r="W293"/>
          <cell r="X293"/>
          <cell r="Y293"/>
          <cell r="Z293"/>
          <cell r="AA293"/>
          <cell r="AB293"/>
          <cell r="AC293"/>
          <cell r="AD293"/>
          <cell r="AE293"/>
        </row>
        <row r="294">
          <cell r="G294"/>
          <cell r="H294"/>
          <cell r="I294"/>
          <cell r="J294"/>
          <cell r="K294"/>
          <cell r="L294"/>
          <cell r="M294"/>
          <cell r="N294"/>
          <cell r="O294"/>
          <cell r="P294"/>
          <cell r="Q294"/>
          <cell r="R294"/>
          <cell r="S294"/>
          <cell r="T294"/>
          <cell r="U294"/>
          <cell r="V294"/>
          <cell r="W294"/>
          <cell r="X294"/>
          <cell r="Y294"/>
          <cell r="Z294"/>
          <cell r="AA294"/>
          <cell r="AB294"/>
          <cell r="AC294"/>
          <cell r="AD294"/>
          <cell r="AE294"/>
        </row>
        <row r="295">
          <cell r="G295"/>
          <cell r="H295"/>
          <cell r="I295"/>
          <cell r="J295"/>
          <cell r="K295"/>
          <cell r="L295"/>
          <cell r="M295"/>
          <cell r="N295"/>
          <cell r="O295"/>
          <cell r="P295"/>
          <cell r="Q295"/>
          <cell r="R295"/>
          <cell r="S295"/>
          <cell r="T295"/>
          <cell r="U295"/>
          <cell r="V295"/>
          <cell r="W295"/>
          <cell r="X295"/>
          <cell r="Y295"/>
          <cell r="Z295"/>
          <cell r="AA295"/>
          <cell r="AB295"/>
          <cell r="AC295"/>
          <cell r="AD295"/>
          <cell r="AE295"/>
        </row>
        <row r="296">
          <cell r="G296"/>
          <cell r="H296"/>
          <cell r="I296"/>
          <cell r="J296"/>
          <cell r="K296"/>
          <cell r="L296"/>
          <cell r="M296"/>
          <cell r="N296"/>
          <cell r="O296"/>
          <cell r="P296"/>
          <cell r="Q296"/>
          <cell r="R296"/>
          <cell r="S296"/>
          <cell r="T296"/>
          <cell r="U296"/>
          <cell r="V296"/>
          <cell r="W296"/>
          <cell r="X296"/>
          <cell r="Y296"/>
          <cell r="Z296"/>
          <cell r="AA296"/>
          <cell r="AB296"/>
          <cell r="AC296"/>
          <cell r="AD296"/>
          <cell r="AE296"/>
        </row>
        <row r="297">
          <cell r="G297"/>
          <cell r="H297"/>
          <cell r="I297"/>
          <cell r="J297"/>
          <cell r="K297"/>
          <cell r="L297"/>
          <cell r="M297"/>
          <cell r="N297"/>
          <cell r="O297"/>
          <cell r="P297"/>
          <cell r="Q297"/>
          <cell r="R297"/>
          <cell r="S297"/>
          <cell r="T297"/>
          <cell r="U297"/>
          <cell r="V297"/>
          <cell r="W297"/>
          <cell r="X297"/>
          <cell r="Y297"/>
          <cell r="Z297"/>
          <cell r="AA297"/>
          <cell r="AB297"/>
          <cell r="AC297"/>
          <cell r="AD297"/>
          <cell r="AE297"/>
        </row>
        <row r="298">
          <cell r="G298"/>
          <cell r="H298"/>
          <cell r="I298"/>
          <cell r="J298"/>
          <cell r="K298"/>
          <cell r="L298"/>
          <cell r="M298"/>
          <cell r="N298"/>
          <cell r="O298"/>
          <cell r="P298"/>
          <cell r="Q298"/>
          <cell r="R298"/>
          <cell r="S298"/>
          <cell r="T298"/>
          <cell r="U298"/>
          <cell r="V298"/>
          <cell r="W298"/>
          <cell r="X298"/>
          <cell r="Y298"/>
          <cell r="Z298"/>
          <cell r="AA298"/>
          <cell r="AB298"/>
          <cell r="AC298"/>
          <cell r="AD298"/>
          <cell r="AE298"/>
        </row>
        <row r="299">
          <cell r="G299"/>
          <cell r="H299"/>
          <cell r="I299"/>
          <cell r="J299"/>
          <cell r="K299"/>
          <cell r="L299"/>
          <cell r="M299"/>
          <cell r="N299"/>
          <cell r="O299"/>
          <cell r="P299"/>
          <cell r="Q299"/>
          <cell r="R299"/>
          <cell r="S299"/>
          <cell r="T299"/>
          <cell r="U299"/>
          <cell r="V299"/>
          <cell r="W299"/>
          <cell r="X299"/>
          <cell r="Y299"/>
          <cell r="Z299"/>
          <cell r="AA299"/>
          <cell r="AB299"/>
          <cell r="AC299"/>
          <cell r="AD299"/>
          <cell r="AE299"/>
        </row>
        <row r="300">
          <cell r="G300"/>
          <cell r="H300"/>
          <cell r="I300"/>
          <cell r="J300"/>
          <cell r="K300"/>
          <cell r="L300"/>
          <cell r="M300"/>
          <cell r="N300"/>
          <cell r="O300"/>
          <cell r="P300"/>
          <cell r="Q300"/>
          <cell r="R300"/>
          <cell r="S300"/>
          <cell r="T300"/>
          <cell r="U300"/>
          <cell r="V300"/>
          <cell r="W300"/>
          <cell r="X300"/>
          <cell r="Y300"/>
          <cell r="Z300"/>
          <cell r="AA300"/>
          <cell r="AB300"/>
          <cell r="AC300"/>
          <cell r="AD300"/>
          <cell r="AE300"/>
        </row>
        <row r="301">
          <cell r="G301"/>
          <cell r="H301"/>
          <cell r="I301"/>
          <cell r="J301"/>
          <cell r="K301"/>
          <cell r="L301"/>
          <cell r="M301"/>
          <cell r="N301"/>
          <cell r="O301"/>
          <cell r="P301"/>
          <cell r="Q301"/>
          <cell r="R301"/>
          <cell r="S301"/>
          <cell r="T301"/>
          <cell r="U301"/>
          <cell r="V301"/>
          <cell r="W301"/>
          <cell r="X301"/>
          <cell r="Y301"/>
          <cell r="Z301"/>
          <cell r="AA301"/>
          <cell r="AB301"/>
          <cell r="AC301"/>
          <cell r="AD301"/>
          <cell r="AE301"/>
        </row>
        <row r="302">
          <cell r="G302"/>
          <cell r="H302"/>
          <cell r="I302"/>
          <cell r="J302"/>
          <cell r="K302"/>
          <cell r="L302"/>
          <cell r="M302"/>
          <cell r="N302"/>
          <cell r="O302"/>
          <cell r="P302"/>
          <cell r="Q302"/>
          <cell r="R302"/>
          <cell r="S302"/>
          <cell r="T302"/>
          <cell r="U302"/>
          <cell r="V302"/>
          <cell r="W302"/>
          <cell r="X302"/>
          <cell r="Y302"/>
          <cell r="Z302"/>
          <cell r="AA302"/>
          <cell r="AB302"/>
          <cell r="AC302"/>
          <cell r="AD302"/>
          <cell r="AE302"/>
        </row>
        <row r="303">
          <cell r="G303"/>
          <cell r="H303"/>
          <cell r="I303"/>
          <cell r="J303"/>
          <cell r="K303"/>
          <cell r="L303"/>
          <cell r="M303"/>
          <cell r="N303"/>
          <cell r="O303"/>
          <cell r="P303"/>
          <cell r="Q303"/>
          <cell r="R303"/>
          <cell r="S303"/>
          <cell r="T303"/>
          <cell r="U303"/>
          <cell r="V303"/>
          <cell r="W303"/>
          <cell r="X303"/>
          <cell r="Y303"/>
          <cell r="Z303"/>
          <cell r="AA303"/>
          <cell r="AB303"/>
          <cell r="AC303"/>
          <cell r="AD303"/>
          <cell r="AE303"/>
        </row>
        <row r="304">
          <cell r="G304"/>
          <cell r="H304"/>
          <cell r="I304"/>
          <cell r="J304"/>
          <cell r="K304"/>
          <cell r="L304"/>
          <cell r="M304"/>
          <cell r="N304"/>
          <cell r="O304"/>
          <cell r="P304"/>
          <cell r="Q304"/>
          <cell r="R304"/>
          <cell r="S304"/>
          <cell r="T304"/>
          <cell r="U304"/>
          <cell r="V304"/>
          <cell r="W304"/>
          <cell r="X304"/>
          <cell r="Y304"/>
          <cell r="Z304"/>
          <cell r="AA304"/>
          <cell r="AB304"/>
          <cell r="AC304"/>
          <cell r="AD304"/>
          <cell r="AE304"/>
        </row>
        <row r="305">
          <cell r="G305"/>
          <cell r="H305"/>
          <cell r="I305"/>
          <cell r="J305"/>
          <cell r="K305"/>
          <cell r="L305"/>
          <cell r="M305"/>
          <cell r="N305"/>
          <cell r="O305"/>
          <cell r="P305"/>
          <cell r="Q305"/>
          <cell r="R305"/>
          <cell r="S305"/>
          <cell r="T305"/>
          <cell r="U305"/>
          <cell r="V305"/>
          <cell r="W305"/>
          <cell r="X305"/>
          <cell r="Y305"/>
          <cell r="Z305"/>
          <cell r="AA305"/>
          <cell r="AB305"/>
          <cell r="AC305"/>
          <cell r="AD305"/>
          <cell r="AE305"/>
        </row>
        <row r="306">
          <cell r="G306"/>
          <cell r="H306"/>
          <cell r="I306"/>
          <cell r="J306"/>
          <cell r="K306"/>
          <cell r="L306"/>
          <cell r="M306"/>
          <cell r="N306"/>
          <cell r="O306"/>
          <cell r="P306"/>
          <cell r="Q306"/>
          <cell r="R306"/>
          <cell r="S306"/>
          <cell r="T306"/>
          <cell r="U306"/>
          <cell r="V306"/>
          <cell r="W306"/>
          <cell r="X306"/>
          <cell r="Y306"/>
          <cell r="Z306"/>
          <cell r="AA306"/>
          <cell r="AB306"/>
          <cell r="AC306"/>
          <cell r="AD306"/>
          <cell r="AE306"/>
        </row>
        <row r="307">
          <cell r="G307"/>
          <cell r="H307"/>
          <cell r="I307"/>
          <cell r="J307"/>
          <cell r="K307"/>
          <cell r="L307"/>
          <cell r="M307"/>
          <cell r="N307"/>
          <cell r="O307"/>
          <cell r="P307"/>
          <cell r="Q307"/>
          <cell r="R307"/>
          <cell r="S307"/>
          <cell r="T307"/>
          <cell r="U307"/>
          <cell r="V307"/>
          <cell r="W307"/>
          <cell r="X307"/>
          <cell r="Y307"/>
          <cell r="Z307"/>
          <cell r="AA307"/>
          <cell r="AB307"/>
          <cell r="AC307"/>
          <cell r="AD307"/>
          <cell r="AE307"/>
        </row>
        <row r="308">
          <cell r="G308"/>
          <cell r="H308"/>
          <cell r="I308"/>
          <cell r="J308"/>
          <cell r="K308"/>
          <cell r="L308"/>
          <cell r="M308"/>
          <cell r="N308"/>
          <cell r="O308"/>
          <cell r="P308"/>
          <cell r="Q308"/>
          <cell r="R308"/>
          <cell r="S308"/>
          <cell r="T308"/>
          <cell r="U308"/>
          <cell r="V308"/>
          <cell r="W308"/>
          <cell r="X308"/>
          <cell r="Y308"/>
          <cell r="Z308"/>
          <cell r="AA308"/>
          <cell r="AB308"/>
          <cell r="AC308"/>
          <cell r="AD308"/>
          <cell r="AE308"/>
        </row>
        <row r="309">
          <cell r="G309"/>
          <cell r="H309"/>
          <cell r="I309"/>
          <cell r="J309"/>
          <cell r="K309"/>
          <cell r="L309"/>
          <cell r="M309"/>
          <cell r="N309"/>
          <cell r="O309"/>
          <cell r="P309"/>
          <cell r="Q309"/>
          <cell r="R309"/>
          <cell r="S309"/>
          <cell r="T309"/>
          <cell r="U309"/>
          <cell r="V309"/>
          <cell r="W309"/>
          <cell r="X309"/>
          <cell r="Y309"/>
          <cell r="Z309"/>
          <cell r="AA309"/>
          <cell r="AB309"/>
          <cell r="AC309"/>
          <cell r="AD309"/>
          <cell r="AE309"/>
        </row>
        <row r="310">
          <cell r="G310"/>
          <cell r="H310"/>
          <cell r="I310"/>
          <cell r="J310"/>
          <cell r="K310"/>
          <cell r="L310"/>
          <cell r="M310"/>
          <cell r="N310"/>
          <cell r="O310"/>
          <cell r="P310"/>
          <cell r="Q310"/>
          <cell r="R310"/>
          <cell r="S310"/>
          <cell r="T310"/>
          <cell r="U310"/>
          <cell r="V310"/>
          <cell r="W310"/>
          <cell r="X310"/>
          <cell r="Y310"/>
          <cell r="Z310"/>
          <cell r="AA310"/>
          <cell r="AB310"/>
          <cell r="AC310"/>
          <cell r="AD310"/>
          <cell r="AE310"/>
        </row>
        <row r="311">
          <cell r="G311"/>
          <cell r="H311"/>
          <cell r="I311"/>
          <cell r="J311"/>
          <cell r="K311"/>
          <cell r="L311"/>
          <cell r="M311"/>
          <cell r="N311"/>
          <cell r="O311"/>
          <cell r="P311"/>
          <cell r="Q311"/>
          <cell r="R311"/>
          <cell r="S311"/>
          <cell r="T311"/>
          <cell r="U311"/>
          <cell r="V311"/>
          <cell r="W311"/>
          <cell r="X311"/>
          <cell r="Y311"/>
          <cell r="Z311"/>
          <cell r="AA311"/>
          <cell r="AB311"/>
          <cell r="AC311"/>
          <cell r="AD311"/>
          <cell r="AE311"/>
        </row>
        <row r="312">
          <cell r="G312"/>
          <cell r="H312"/>
          <cell r="I312"/>
          <cell r="J312"/>
          <cell r="K312"/>
          <cell r="L312"/>
          <cell r="M312"/>
          <cell r="N312"/>
          <cell r="O312"/>
          <cell r="P312"/>
          <cell r="Q312"/>
          <cell r="R312"/>
          <cell r="S312"/>
          <cell r="T312"/>
          <cell r="U312"/>
          <cell r="V312"/>
          <cell r="W312"/>
          <cell r="X312"/>
          <cell r="Y312"/>
          <cell r="Z312"/>
          <cell r="AA312"/>
          <cell r="AB312"/>
          <cell r="AC312"/>
          <cell r="AD312"/>
          <cell r="AE312"/>
        </row>
        <row r="313">
          <cell r="G313"/>
          <cell r="H313"/>
          <cell r="I313"/>
          <cell r="J313"/>
          <cell r="K313"/>
          <cell r="L313"/>
          <cell r="M313"/>
          <cell r="N313"/>
          <cell r="O313"/>
          <cell r="P313"/>
          <cell r="Q313"/>
          <cell r="R313"/>
          <cell r="S313"/>
          <cell r="T313"/>
          <cell r="U313"/>
          <cell r="V313"/>
          <cell r="W313"/>
          <cell r="X313"/>
          <cell r="Y313"/>
          <cell r="Z313"/>
          <cell r="AA313"/>
          <cell r="AB313"/>
          <cell r="AC313"/>
          <cell r="AD313"/>
          <cell r="AE313"/>
        </row>
        <row r="314">
          <cell r="G314"/>
          <cell r="H314"/>
          <cell r="I314"/>
          <cell r="J314"/>
          <cell r="K314"/>
          <cell r="L314"/>
          <cell r="M314"/>
          <cell r="N314"/>
          <cell r="O314"/>
          <cell r="P314"/>
          <cell r="Q314"/>
          <cell r="R314"/>
          <cell r="S314"/>
          <cell r="T314"/>
          <cell r="U314"/>
          <cell r="V314"/>
          <cell r="W314"/>
          <cell r="X314"/>
          <cell r="Y314"/>
          <cell r="Z314"/>
          <cell r="AA314"/>
          <cell r="AB314"/>
          <cell r="AC314"/>
          <cell r="AD314"/>
          <cell r="AE314"/>
        </row>
        <row r="315">
          <cell r="G315"/>
          <cell r="H315"/>
          <cell r="I315"/>
          <cell r="J315"/>
          <cell r="K315"/>
          <cell r="L315"/>
          <cell r="M315"/>
          <cell r="N315"/>
          <cell r="O315"/>
          <cell r="P315"/>
          <cell r="Q315"/>
          <cell r="R315"/>
          <cell r="S315"/>
          <cell r="T315"/>
          <cell r="U315"/>
          <cell r="V315"/>
          <cell r="W315"/>
          <cell r="X315"/>
          <cell r="Y315"/>
          <cell r="Z315"/>
          <cell r="AA315"/>
          <cell r="AB315"/>
          <cell r="AC315"/>
          <cell r="AD315"/>
          <cell r="AE315"/>
        </row>
        <row r="316">
          <cell r="G316"/>
          <cell r="H316"/>
          <cell r="I316"/>
          <cell r="J316"/>
          <cell r="K316"/>
          <cell r="L316"/>
          <cell r="M316"/>
          <cell r="N316"/>
          <cell r="O316"/>
          <cell r="P316"/>
          <cell r="Q316"/>
          <cell r="R316"/>
          <cell r="S316"/>
          <cell r="T316"/>
          <cell r="U316"/>
          <cell r="V316"/>
          <cell r="W316"/>
          <cell r="X316"/>
          <cell r="Y316"/>
          <cell r="Z316"/>
          <cell r="AA316"/>
          <cell r="AB316"/>
          <cell r="AC316"/>
          <cell r="AD316"/>
          <cell r="AE316"/>
        </row>
        <row r="317">
          <cell r="G317"/>
          <cell r="H317"/>
          <cell r="I317"/>
          <cell r="J317"/>
          <cell r="K317"/>
          <cell r="L317"/>
          <cell r="M317"/>
          <cell r="N317"/>
          <cell r="O317"/>
          <cell r="P317"/>
          <cell r="Q317"/>
          <cell r="R317"/>
          <cell r="S317"/>
          <cell r="T317"/>
          <cell r="U317"/>
          <cell r="V317"/>
          <cell r="W317"/>
          <cell r="X317"/>
          <cell r="Y317"/>
          <cell r="Z317"/>
          <cell r="AA317"/>
          <cell r="AB317"/>
          <cell r="AC317"/>
          <cell r="AD317"/>
          <cell r="AE317"/>
        </row>
        <row r="318">
          <cell r="G318"/>
          <cell r="H318"/>
          <cell r="I318"/>
          <cell r="J318"/>
          <cell r="K318"/>
          <cell r="L318"/>
          <cell r="M318"/>
          <cell r="N318"/>
          <cell r="O318"/>
          <cell r="P318"/>
          <cell r="Q318"/>
          <cell r="R318"/>
          <cell r="S318"/>
          <cell r="T318"/>
          <cell r="U318"/>
          <cell r="V318"/>
          <cell r="W318"/>
          <cell r="X318"/>
          <cell r="Y318"/>
          <cell r="Z318"/>
          <cell r="AA318"/>
          <cell r="AB318"/>
          <cell r="AC318"/>
          <cell r="AD318"/>
          <cell r="AE318"/>
        </row>
        <row r="319">
          <cell r="G319"/>
          <cell r="H319"/>
          <cell r="I319"/>
          <cell r="J319"/>
          <cell r="K319"/>
          <cell r="L319"/>
          <cell r="M319"/>
          <cell r="N319"/>
          <cell r="O319"/>
          <cell r="P319"/>
          <cell r="Q319"/>
          <cell r="R319"/>
          <cell r="S319"/>
          <cell r="T319"/>
          <cell r="U319"/>
          <cell r="V319"/>
          <cell r="W319"/>
          <cell r="X319"/>
          <cell r="Y319"/>
          <cell r="Z319"/>
          <cell r="AA319"/>
          <cell r="AB319"/>
          <cell r="AC319"/>
          <cell r="AD319"/>
          <cell r="AE319"/>
        </row>
        <row r="320">
          <cell r="G320"/>
          <cell r="H320"/>
          <cell r="I320"/>
          <cell r="J320"/>
          <cell r="K320"/>
          <cell r="L320"/>
          <cell r="M320"/>
          <cell r="N320"/>
          <cell r="O320"/>
          <cell r="P320"/>
          <cell r="Q320"/>
          <cell r="R320"/>
          <cell r="S320"/>
          <cell r="T320"/>
          <cell r="U320"/>
          <cell r="V320"/>
          <cell r="W320"/>
          <cell r="X320"/>
          <cell r="Y320"/>
          <cell r="Z320"/>
          <cell r="AA320"/>
          <cell r="AB320"/>
          <cell r="AC320"/>
          <cell r="AD320"/>
          <cell r="AE320"/>
        </row>
        <row r="321">
          <cell r="G321"/>
          <cell r="H321"/>
          <cell r="I321"/>
          <cell r="J321"/>
          <cell r="K321"/>
          <cell r="L321"/>
          <cell r="M321"/>
          <cell r="N321"/>
          <cell r="O321"/>
          <cell r="P321"/>
          <cell r="Q321"/>
          <cell r="R321"/>
          <cell r="S321"/>
          <cell r="T321"/>
          <cell r="U321"/>
          <cell r="V321"/>
          <cell r="W321"/>
          <cell r="X321"/>
          <cell r="Y321"/>
          <cell r="Z321"/>
          <cell r="AA321"/>
          <cell r="AB321"/>
          <cell r="AC321"/>
          <cell r="AD321"/>
          <cell r="AE321"/>
        </row>
        <row r="322">
          <cell r="G322"/>
          <cell r="H322"/>
          <cell r="I322"/>
          <cell r="J322"/>
          <cell r="K322"/>
          <cell r="L322"/>
          <cell r="M322"/>
          <cell r="N322"/>
          <cell r="O322"/>
          <cell r="P322"/>
          <cell r="Q322"/>
          <cell r="R322"/>
          <cell r="S322"/>
          <cell r="T322"/>
          <cell r="U322"/>
          <cell r="V322"/>
          <cell r="W322"/>
          <cell r="X322"/>
          <cell r="Y322"/>
          <cell r="Z322"/>
          <cell r="AA322"/>
          <cell r="AB322"/>
          <cell r="AC322"/>
          <cell r="AD322"/>
          <cell r="AE322"/>
        </row>
        <row r="323">
          <cell r="G323"/>
          <cell r="H323"/>
          <cell r="I323"/>
          <cell r="J323"/>
          <cell r="K323"/>
          <cell r="L323"/>
          <cell r="M323"/>
          <cell r="N323"/>
          <cell r="O323"/>
          <cell r="P323"/>
          <cell r="Q323"/>
          <cell r="R323"/>
          <cell r="S323"/>
          <cell r="T323"/>
          <cell r="U323"/>
          <cell r="V323"/>
          <cell r="W323"/>
          <cell r="X323"/>
          <cell r="Y323"/>
          <cell r="Z323"/>
          <cell r="AA323"/>
          <cell r="AB323"/>
          <cell r="AC323"/>
          <cell r="AD323"/>
          <cell r="AE323"/>
        </row>
        <row r="324">
          <cell r="G324"/>
          <cell r="H324"/>
          <cell r="I324"/>
          <cell r="J324"/>
          <cell r="K324"/>
          <cell r="L324"/>
          <cell r="M324"/>
          <cell r="N324"/>
          <cell r="O324"/>
          <cell r="P324"/>
          <cell r="Q324"/>
          <cell r="R324"/>
          <cell r="S324"/>
          <cell r="T324"/>
          <cell r="U324"/>
          <cell r="V324"/>
          <cell r="W324"/>
          <cell r="X324"/>
          <cell r="Y324"/>
          <cell r="Z324"/>
          <cell r="AA324"/>
          <cell r="AB324"/>
          <cell r="AC324"/>
          <cell r="AD324"/>
          <cell r="AE324"/>
        </row>
        <row r="325">
          <cell r="G325"/>
          <cell r="H325"/>
          <cell r="I325"/>
          <cell r="J325"/>
          <cell r="K325"/>
          <cell r="L325"/>
          <cell r="M325"/>
          <cell r="N325"/>
          <cell r="O325"/>
          <cell r="P325"/>
          <cell r="Q325"/>
          <cell r="R325"/>
          <cell r="S325"/>
          <cell r="T325"/>
          <cell r="U325"/>
          <cell r="V325"/>
          <cell r="W325"/>
          <cell r="X325"/>
          <cell r="Y325"/>
          <cell r="Z325"/>
          <cell r="AA325"/>
          <cell r="AB325"/>
          <cell r="AC325"/>
          <cell r="AD325"/>
          <cell r="AE325"/>
        </row>
        <row r="326">
          <cell r="G326"/>
          <cell r="H326"/>
          <cell r="I326"/>
          <cell r="J326"/>
          <cell r="K326"/>
          <cell r="L326"/>
          <cell r="M326"/>
          <cell r="N326"/>
          <cell r="O326"/>
          <cell r="P326"/>
          <cell r="Q326"/>
          <cell r="R326"/>
          <cell r="S326"/>
          <cell r="T326"/>
          <cell r="U326"/>
          <cell r="V326"/>
          <cell r="W326"/>
          <cell r="X326"/>
          <cell r="Y326"/>
          <cell r="Z326"/>
          <cell r="AA326"/>
          <cell r="AB326"/>
          <cell r="AC326"/>
          <cell r="AD326"/>
          <cell r="AE326"/>
        </row>
        <row r="327">
          <cell r="G327"/>
          <cell r="H327"/>
          <cell r="I327"/>
          <cell r="J327"/>
          <cell r="K327"/>
          <cell r="L327"/>
          <cell r="M327"/>
          <cell r="N327"/>
          <cell r="O327"/>
          <cell r="P327"/>
          <cell r="Q327"/>
          <cell r="R327"/>
          <cell r="S327"/>
          <cell r="T327"/>
          <cell r="U327"/>
          <cell r="V327"/>
          <cell r="W327"/>
          <cell r="X327"/>
          <cell r="Y327"/>
          <cell r="Z327"/>
          <cell r="AA327"/>
          <cell r="AB327"/>
          <cell r="AC327"/>
          <cell r="AD327"/>
          <cell r="AE327"/>
        </row>
        <row r="328">
          <cell r="G328"/>
          <cell r="H328"/>
          <cell r="I328"/>
          <cell r="J328"/>
          <cell r="K328"/>
          <cell r="L328"/>
          <cell r="M328"/>
          <cell r="N328"/>
          <cell r="O328"/>
          <cell r="P328"/>
          <cell r="Q328"/>
          <cell r="R328"/>
          <cell r="S328"/>
          <cell r="T328"/>
          <cell r="U328"/>
          <cell r="V328"/>
          <cell r="W328"/>
          <cell r="X328"/>
          <cell r="Y328"/>
          <cell r="Z328"/>
          <cell r="AA328"/>
          <cell r="AB328"/>
          <cell r="AC328"/>
          <cell r="AD328"/>
          <cell r="AE328"/>
        </row>
        <row r="329">
          <cell r="G329"/>
          <cell r="H329"/>
          <cell r="I329"/>
          <cell r="J329"/>
          <cell r="K329"/>
          <cell r="L329"/>
          <cell r="M329"/>
          <cell r="N329"/>
          <cell r="O329"/>
          <cell r="P329"/>
          <cell r="Q329"/>
          <cell r="R329"/>
          <cell r="S329"/>
          <cell r="T329"/>
          <cell r="U329"/>
          <cell r="V329"/>
          <cell r="W329"/>
          <cell r="X329"/>
          <cell r="Y329"/>
          <cell r="Z329"/>
          <cell r="AA329"/>
          <cell r="AB329"/>
          <cell r="AC329"/>
          <cell r="AD329"/>
          <cell r="AE329"/>
        </row>
        <row r="330">
          <cell r="G330"/>
          <cell r="H330"/>
          <cell r="I330"/>
          <cell r="J330"/>
          <cell r="K330"/>
          <cell r="L330"/>
          <cell r="M330"/>
          <cell r="N330"/>
          <cell r="O330"/>
          <cell r="P330"/>
          <cell r="Q330"/>
          <cell r="R330"/>
          <cell r="S330"/>
          <cell r="T330"/>
          <cell r="U330"/>
          <cell r="V330"/>
          <cell r="W330"/>
          <cell r="X330"/>
          <cell r="Y330"/>
          <cell r="Z330"/>
          <cell r="AA330"/>
          <cell r="AB330"/>
          <cell r="AC330"/>
          <cell r="AD330"/>
          <cell r="AE330"/>
        </row>
        <row r="331">
          <cell r="G331"/>
          <cell r="H331"/>
          <cell r="I331"/>
          <cell r="J331"/>
          <cell r="K331"/>
          <cell r="L331"/>
          <cell r="M331"/>
          <cell r="N331"/>
          <cell r="O331"/>
          <cell r="P331"/>
          <cell r="Q331"/>
          <cell r="R331"/>
          <cell r="S331"/>
          <cell r="T331"/>
          <cell r="U331"/>
          <cell r="V331"/>
          <cell r="W331"/>
          <cell r="X331"/>
          <cell r="Y331"/>
          <cell r="Z331"/>
          <cell r="AA331"/>
          <cell r="AB331"/>
          <cell r="AC331"/>
          <cell r="AD331"/>
          <cell r="AE331"/>
        </row>
        <row r="332">
          <cell r="G332"/>
          <cell r="H332"/>
          <cell r="I332"/>
          <cell r="J332"/>
          <cell r="K332"/>
          <cell r="L332"/>
          <cell r="M332"/>
          <cell r="N332"/>
          <cell r="O332"/>
          <cell r="P332"/>
          <cell r="Q332"/>
          <cell r="R332"/>
          <cell r="S332"/>
          <cell r="T332"/>
          <cell r="U332"/>
          <cell r="V332"/>
          <cell r="W332"/>
          <cell r="X332"/>
          <cell r="Y332"/>
          <cell r="Z332"/>
          <cell r="AA332"/>
          <cell r="AB332"/>
          <cell r="AC332"/>
          <cell r="AD332"/>
          <cell r="AE332"/>
        </row>
        <row r="333">
          <cell r="G333"/>
          <cell r="H333"/>
          <cell r="I333"/>
          <cell r="J333"/>
          <cell r="K333"/>
          <cell r="L333"/>
          <cell r="M333"/>
          <cell r="N333"/>
          <cell r="O333"/>
          <cell r="P333"/>
          <cell r="Q333"/>
          <cell r="R333"/>
          <cell r="S333"/>
          <cell r="T333"/>
          <cell r="U333"/>
          <cell r="V333"/>
          <cell r="W333"/>
          <cell r="X333"/>
          <cell r="Y333"/>
          <cell r="Z333"/>
          <cell r="AA333"/>
          <cell r="AB333"/>
          <cell r="AC333"/>
          <cell r="AD333"/>
          <cell r="AE333"/>
        </row>
        <row r="334">
          <cell r="G334"/>
          <cell r="H334"/>
          <cell r="I334"/>
          <cell r="J334"/>
          <cell r="K334"/>
          <cell r="L334"/>
          <cell r="M334"/>
          <cell r="N334"/>
          <cell r="O334"/>
          <cell r="P334"/>
          <cell r="Q334"/>
          <cell r="R334"/>
          <cell r="S334"/>
          <cell r="T334"/>
          <cell r="U334"/>
          <cell r="V334"/>
          <cell r="W334"/>
          <cell r="X334"/>
          <cell r="Y334"/>
          <cell r="Z334"/>
          <cell r="AA334"/>
          <cell r="AB334"/>
          <cell r="AC334"/>
          <cell r="AD334"/>
          <cell r="AE334"/>
        </row>
        <row r="335">
          <cell r="G335"/>
          <cell r="H335"/>
          <cell r="I335"/>
          <cell r="J335"/>
          <cell r="K335"/>
          <cell r="L335"/>
          <cell r="M335"/>
          <cell r="N335"/>
          <cell r="O335"/>
          <cell r="P335"/>
          <cell r="Q335"/>
          <cell r="R335"/>
          <cell r="S335"/>
          <cell r="T335"/>
          <cell r="U335"/>
          <cell r="V335"/>
          <cell r="W335"/>
          <cell r="X335"/>
          <cell r="Y335"/>
          <cell r="Z335"/>
          <cell r="AA335"/>
          <cell r="AB335"/>
          <cell r="AC335"/>
          <cell r="AD335"/>
          <cell r="AE335"/>
        </row>
        <row r="336">
          <cell r="G336"/>
          <cell r="H336"/>
          <cell r="I336"/>
          <cell r="J336"/>
          <cell r="K336"/>
          <cell r="L336"/>
          <cell r="M336"/>
          <cell r="N336"/>
          <cell r="O336"/>
          <cell r="P336"/>
          <cell r="Q336"/>
          <cell r="R336"/>
          <cell r="S336"/>
          <cell r="T336"/>
          <cell r="U336"/>
          <cell r="V336"/>
          <cell r="W336"/>
          <cell r="X336"/>
          <cell r="Y336"/>
          <cell r="Z336"/>
          <cell r="AA336"/>
          <cell r="AB336"/>
          <cell r="AC336"/>
          <cell r="AD336"/>
          <cell r="AE336"/>
        </row>
        <row r="337">
          <cell r="G337"/>
          <cell r="H337"/>
          <cell r="I337"/>
          <cell r="J337"/>
          <cell r="K337"/>
          <cell r="L337"/>
          <cell r="M337"/>
          <cell r="N337"/>
          <cell r="O337"/>
          <cell r="P337"/>
          <cell r="Q337"/>
          <cell r="R337"/>
          <cell r="S337"/>
          <cell r="T337"/>
          <cell r="U337"/>
          <cell r="V337"/>
          <cell r="W337"/>
          <cell r="X337"/>
          <cell r="Y337"/>
          <cell r="Z337"/>
          <cell r="AA337"/>
          <cell r="AB337"/>
          <cell r="AC337"/>
          <cell r="AD337"/>
          <cell r="AE337"/>
        </row>
        <row r="338">
          <cell r="G338"/>
          <cell r="H338"/>
          <cell r="I338"/>
          <cell r="J338"/>
          <cell r="K338"/>
          <cell r="L338"/>
          <cell r="M338"/>
          <cell r="N338"/>
          <cell r="O338"/>
          <cell r="P338"/>
          <cell r="Q338"/>
          <cell r="R338"/>
          <cell r="S338"/>
          <cell r="T338"/>
          <cell r="U338"/>
          <cell r="V338"/>
          <cell r="W338"/>
          <cell r="X338"/>
          <cell r="Y338"/>
          <cell r="Z338"/>
          <cell r="AA338"/>
          <cell r="AB338"/>
          <cell r="AC338"/>
          <cell r="AD338"/>
          <cell r="AE338"/>
        </row>
        <row r="339">
          <cell r="G339"/>
          <cell r="H339"/>
          <cell r="I339"/>
          <cell r="J339"/>
          <cell r="K339"/>
          <cell r="L339"/>
          <cell r="M339"/>
          <cell r="N339"/>
          <cell r="O339"/>
          <cell r="P339"/>
          <cell r="Q339"/>
          <cell r="R339"/>
          <cell r="S339"/>
          <cell r="T339"/>
          <cell r="U339"/>
          <cell r="V339"/>
          <cell r="W339"/>
          <cell r="X339"/>
          <cell r="Y339"/>
          <cell r="Z339"/>
          <cell r="AA339"/>
          <cell r="AB339"/>
          <cell r="AC339"/>
          <cell r="AD339"/>
          <cell r="AE339"/>
        </row>
        <row r="340">
          <cell r="G340"/>
          <cell r="H340"/>
          <cell r="I340"/>
          <cell r="J340"/>
          <cell r="K340"/>
          <cell r="L340"/>
          <cell r="M340"/>
          <cell r="N340"/>
          <cell r="O340"/>
          <cell r="P340"/>
          <cell r="Q340"/>
          <cell r="R340"/>
          <cell r="S340"/>
          <cell r="T340"/>
          <cell r="U340"/>
          <cell r="V340"/>
          <cell r="W340"/>
          <cell r="X340"/>
          <cell r="Y340"/>
          <cell r="Z340"/>
          <cell r="AA340"/>
          <cell r="AB340"/>
          <cell r="AC340"/>
          <cell r="AD340"/>
          <cell r="AE340"/>
        </row>
        <row r="341">
          <cell r="G341"/>
          <cell r="H341"/>
          <cell r="I341"/>
          <cell r="J341"/>
          <cell r="K341"/>
          <cell r="L341"/>
          <cell r="M341"/>
          <cell r="N341"/>
          <cell r="O341"/>
          <cell r="P341"/>
          <cell r="Q341"/>
          <cell r="R341"/>
          <cell r="S341"/>
          <cell r="T341"/>
          <cell r="U341"/>
          <cell r="V341"/>
          <cell r="W341"/>
          <cell r="X341"/>
          <cell r="Y341"/>
          <cell r="Z341"/>
          <cell r="AA341"/>
          <cell r="AB341"/>
          <cell r="AC341"/>
          <cell r="AD341"/>
          <cell r="AE341"/>
        </row>
        <row r="342">
          <cell r="G342"/>
          <cell r="H342"/>
          <cell r="I342"/>
          <cell r="J342"/>
          <cell r="K342"/>
          <cell r="L342"/>
          <cell r="M342"/>
          <cell r="N342"/>
          <cell r="O342"/>
          <cell r="P342"/>
          <cell r="Q342"/>
          <cell r="R342"/>
          <cell r="S342"/>
          <cell r="T342"/>
          <cell r="U342"/>
          <cell r="V342"/>
          <cell r="W342"/>
          <cell r="X342"/>
          <cell r="Y342"/>
          <cell r="Z342"/>
          <cell r="AA342"/>
          <cell r="AB342"/>
          <cell r="AC342"/>
          <cell r="AD342"/>
          <cell r="AE342"/>
        </row>
        <row r="343">
          <cell r="G343"/>
          <cell r="H343"/>
          <cell r="I343"/>
          <cell r="J343"/>
          <cell r="K343"/>
          <cell r="L343"/>
          <cell r="M343"/>
          <cell r="N343"/>
          <cell r="O343"/>
          <cell r="P343"/>
          <cell r="Q343"/>
          <cell r="R343"/>
          <cell r="S343"/>
          <cell r="T343"/>
          <cell r="U343"/>
          <cell r="V343"/>
          <cell r="W343"/>
          <cell r="X343"/>
          <cell r="Y343"/>
          <cell r="Z343"/>
          <cell r="AA343"/>
          <cell r="AB343"/>
          <cell r="AC343"/>
          <cell r="AD343"/>
          <cell r="AE343"/>
        </row>
        <row r="344">
          <cell r="G344"/>
          <cell r="H344"/>
          <cell r="I344"/>
          <cell r="J344"/>
          <cell r="K344"/>
          <cell r="L344"/>
          <cell r="M344"/>
          <cell r="N344"/>
          <cell r="O344"/>
          <cell r="P344"/>
          <cell r="Q344"/>
          <cell r="R344"/>
          <cell r="S344"/>
          <cell r="T344"/>
          <cell r="U344"/>
          <cell r="V344"/>
          <cell r="W344"/>
          <cell r="X344"/>
          <cell r="Y344"/>
          <cell r="Z344"/>
          <cell r="AA344"/>
          <cell r="AB344"/>
          <cell r="AC344"/>
          <cell r="AD344"/>
          <cell r="AE344"/>
        </row>
        <row r="345">
          <cell r="G345"/>
          <cell r="H345"/>
          <cell r="I345"/>
          <cell r="J345"/>
          <cell r="K345"/>
          <cell r="L345"/>
          <cell r="M345"/>
          <cell r="N345"/>
          <cell r="O345"/>
          <cell r="P345"/>
          <cell r="Q345"/>
          <cell r="R345"/>
          <cell r="S345"/>
          <cell r="T345"/>
          <cell r="U345"/>
          <cell r="V345"/>
          <cell r="W345"/>
          <cell r="X345"/>
          <cell r="Y345"/>
          <cell r="Z345"/>
          <cell r="AA345"/>
          <cell r="AB345"/>
          <cell r="AC345"/>
          <cell r="AD345"/>
          <cell r="AE345"/>
        </row>
        <row r="346">
          <cell r="G346"/>
          <cell r="H346"/>
          <cell r="I346"/>
          <cell r="J346"/>
          <cell r="K346"/>
          <cell r="L346"/>
          <cell r="M346"/>
          <cell r="N346"/>
          <cell r="O346"/>
          <cell r="P346"/>
          <cell r="Q346"/>
          <cell r="R346"/>
          <cell r="S346"/>
          <cell r="T346"/>
          <cell r="U346"/>
          <cell r="V346"/>
          <cell r="W346"/>
          <cell r="X346"/>
          <cell r="Y346"/>
          <cell r="Z346"/>
          <cell r="AA346"/>
          <cell r="AB346"/>
          <cell r="AC346"/>
          <cell r="AD346"/>
          <cell r="AE346"/>
        </row>
        <row r="347">
          <cell r="G347"/>
          <cell r="H347"/>
          <cell r="I347"/>
          <cell r="J347"/>
          <cell r="K347"/>
          <cell r="L347"/>
          <cell r="M347"/>
          <cell r="N347"/>
          <cell r="O347"/>
          <cell r="P347"/>
          <cell r="Q347"/>
          <cell r="R347"/>
          <cell r="S347"/>
          <cell r="T347"/>
          <cell r="U347"/>
          <cell r="V347"/>
          <cell r="W347"/>
          <cell r="X347"/>
          <cell r="Y347"/>
          <cell r="Z347"/>
          <cell r="AA347"/>
          <cell r="AB347"/>
          <cell r="AC347"/>
          <cell r="AD347"/>
          <cell r="AE347"/>
        </row>
        <row r="348">
          <cell r="G348"/>
          <cell r="H348"/>
          <cell r="I348"/>
          <cell r="J348"/>
          <cell r="K348"/>
          <cell r="L348"/>
          <cell r="M348"/>
          <cell r="N348"/>
          <cell r="O348"/>
          <cell r="P348"/>
          <cell r="Q348"/>
          <cell r="R348"/>
          <cell r="S348"/>
          <cell r="T348"/>
          <cell r="U348"/>
          <cell r="V348"/>
          <cell r="W348"/>
          <cell r="X348"/>
          <cell r="Y348"/>
          <cell r="Z348"/>
          <cell r="AA348"/>
          <cell r="AB348"/>
          <cell r="AC348"/>
          <cell r="AD348"/>
          <cell r="AE348"/>
        </row>
        <row r="349">
          <cell r="G349"/>
          <cell r="H349"/>
          <cell r="I349"/>
          <cell r="J349"/>
          <cell r="K349"/>
          <cell r="L349"/>
          <cell r="M349"/>
          <cell r="N349"/>
          <cell r="O349"/>
          <cell r="P349"/>
          <cell r="Q349"/>
          <cell r="R349"/>
          <cell r="S349"/>
          <cell r="T349"/>
          <cell r="U349"/>
          <cell r="V349"/>
          <cell r="W349"/>
          <cell r="X349"/>
          <cell r="Y349"/>
          <cell r="Z349"/>
          <cell r="AA349"/>
          <cell r="AB349"/>
          <cell r="AC349"/>
          <cell r="AD349"/>
          <cell r="AE349"/>
        </row>
        <row r="350">
          <cell r="G350"/>
          <cell r="H350"/>
          <cell r="I350"/>
          <cell r="J350"/>
          <cell r="K350"/>
          <cell r="L350"/>
          <cell r="M350"/>
          <cell r="N350"/>
          <cell r="O350"/>
          <cell r="P350"/>
          <cell r="Q350"/>
          <cell r="R350"/>
          <cell r="S350"/>
          <cell r="T350"/>
          <cell r="U350"/>
          <cell r="V350"/>
          <cell r="W350"/>
          <cell r="X350"/>
          <cell r="Y350"/>
          <cell r="Z350"/>
          <cell r="AA350"/>
          <cell r="AB350"/>
          <cell r="AC350"/>
          <cell r="AD350"/>
          <cell r="AE350"/>
        </row>
        <row r="351">
          <cell r="G351"/>
          <cell r="H351"/>
          <cell r="I351"/>
          <cell r="J351"/>
          <cell r="K351"/>
          <cell r="L351"/>
          <cell r="M351"/>
          <cell r="N351"/>
          <cell r="O351"/>
          <cell r="P351"/>
          <cell r="Q351"/>
          <cell r="R351"/>
          <cell r="S351"/>
          <cell r="T351"/>
          <cell r="U351"/>
          <cell r="V351"/>
          <cell r="W351"/>
          <cell r="X351"/>
          <cell r="Y351"/>
          <cell r="Z351"/>
          <cell r="AA351"/>
          <cell r="AB351"/>
          <cell r="AC351"/>
          <cell r="AD351"/>
          <cell r="AE351"/>
        </row>
        <row r="352">
          <cell r="G352"/>
          <cell r="H352"/>
          <cell r="I352"/>
          <cell r="J352"/>
          <cell r="K352"/>
          <cell r="L352"/>
          <cell r="M352"/>
          <cell r="N352"/>
          <cell r="O352"/>
          <cell r="P352"/>
          <cell r="Q352"/>
          <cell r="R352"/>
          <cell r="S352"/>
          <cell r="T352"/>
          <cell r="U352"/>
          <cell r="V352"/>
          <cell r="W352"/>
          <cell r="X352"/>
          <cell r="Y352"/>
          <cell r="Z352"/>
          <cell r="AA352"/>
          <cell r="AB352"/>
          <cell r="AC352"/>
          <cell r="AD352"/>
          <cell r="AE352"/>
        </row>
        <row r="353">
          <cell r="G353"/>
          <cell r="H353"/>
          <cell r="I353"/>
          <cell r="J353"/>
          <cell r="K353"/>
          <cell r="L353"/>
          <cell r="M353"/>
          <cell r="N353"/>
          <cell r="O353"/>
          <cell r="P353"/>
          <cell r="Q353"/>
          <cell r="R353"/>
          <cell r="S353"/>
          <cell r="T353"/>
          <cell r="U353"/>
          <cell r="V353"/>
          <cell r="W353"/>
          <cell r="X353"/>
          <cell r="Y353"/>
          <cell r="Z353"/>
          <cell r="AA353"/>
          <cell r="AB353"/>
          <cell r="AC353"/>
          <cell r="AD353"/>
          <cell r="AE353"/>
        </row>
        <row r="354">
          <cell r="G354"/>
          <cell r="H354"/>
          <cell r="I354"/>
          <cell r="J354"/>
          <cell r="K354"/>
          <cell r="L354"/>
          <cell r="M354"/>
          <cell r="N354"/>
          <cell r="O354"/>
          <cell r="P354"/>
          <cell r="Q354"/>
          <cell r="R354"/>
          <cell r="S354"/>
          <cell r="T354"/>
          <cell r="U354"/>
          <cell r="V354"/>
          <cell r="W354"/>
          <cell r="X354"/>
          <cell r="Y354"/>
          <cell r="Z354"/>
          <cell r="AA354"/>
          <cell r="AB354"/>
          <cell r="AC354"/>
          <cell r="AD354"/>
          <cell r="AE354"/>
        </row>
        <row r="355">
          <cell r="G355"/>
          <cell r="H355"/>
          <cell r="I355"/>
          <cell r="J355"/>
          <cell r="K355"/>
          <cell r="L355"/>
          <cell r="M355"/>
          <cell r="N355"/>
          <cell r="O355"/>
          <cell r="P355"/>
          <cell r="Q355"/>
          <cell r="R355"/>
          <cell r="S355"/>
          <cell r="T355"/>
          <cell r="U355"/>
          <cell r="V355"/>
          <cell r="W355"/>
          <cell r="X355"/>
          <cell r="Y355"/>
          <cell r="Z355"/>
          <cell r="AA355"/>
          <cell r="AB355"/>
          <cell r="AC355"/>
          <cell r="AD355"/>
          <cell r="AE355"/>
        </row>
        <row r="356">
          <cell r="G356"/>
          <cell r="H356"/>
          <cell r="I356"/>
          <cell r="J356"/>
          <cell r="K356"/>
          <cell r="L356"/>
          <cell r="M356"/>
          <cell r="N356"/>
          <cell r="O356"/>
          <cell r="P356"/>
          <cell r="Q356"/>
          <cell r="R356"/>
          <cell r="S356"/>
          <cell r="T356"/>
          <cell r="U356"/>
          <cell r="V356"/>
          <cell r="W356"/>
          <cell r="X356"/>
          <cell r="Y356"/>
          <cell r="Z356"/>
          <cell r="AA356"/>
          <cell r="AB356"/>
          <cell r="AC356"/>
          <cell r="AD356"/>
          <cell r="AE356"/>
        </row>
        <row r="357">
          <cell r="G357"/>
          <cell r="H357"/>
          <cell r="I357"/>
          <cell r="J357"/>
          <cell r="K357"/>
          <cell r="L357"/>
          <cell r="M357"/>
          <cell r="N357"/>
          <cell r="O357"/>
          <cell r="P357"/>
          <cell r="Q357"/>
          <cell r="R357"/>
          <cell r="S357"/>
          <cell r="T357"/>
          <cell r="U357"/>
          <cell r="V357"/>
          <cell r="W357"/>
          <cell r="X357"/>
          <cell r="Y357"/>
          <cell r="Z357"/>
          <cell r="AA357"/>
          <cell r="AB357"/>
          <cell r="AC357"/>
          <cell r="AD357"/>
          <cell r="AE357"/>
        </row>
        <row r="358">
          <cell r="G358"/>
          <cell r="H358"/>
          <cell r="I358"/>
          <cell r="J358"/>
          <cell r="K358"/>
          <cell r="L358"/>
          <cell r="M358"/>
          <cell r="N358"/>
          <cell r="O358"/>
          <cell r="P358"/>
          <cell r="Q358"/>
          <cell r="R358"/>
          <cell r="S358"/>
          <cell r="T358"/>
          <cell r="U358"/>
          <cell r="V358"/>
          <cell r="W358"/>
          <cell r="X358"/>
          <cell r="Y358"/>
          <cell r="Z358"/>
          <cell r="AA358"/>
          <cell r="AB358"/>
          <cell r="AC358"/>
          <cell r="AD358"/>
          <cell r="AE358"/>
        </row>
        <row r="359">
          <cell r="G359"/>
          <cell r="H359"/>
          <cell r="I359"/>
          <cell r="J359"/>
          <cell r="K359"/>
          <cell r="L359"/>
          <cell r="M359"/>
          <cell r="N359"/>
          <cell r="O359"/>
          <cell r="P359"/>
          <cell r="Q359"/>
          <cell r="R359"/>
          <cell r="S359"/>
          <cell r="T359"/>
          <cell r="U359"/>
          <cell r="V359"/>
          <cell r="W359"/>
          <cell r="X359"/>
          <cell r="Y359"/>
          <cell r="Z359"/>
          <cell r="AA359"/>
          <cell r="AB359"/>
          <cell r="AC359"/>
          <cell r="AD359"/>
          <cell r="AE359"/>
        </row>
        <row r="360">
          <cell r="G360"/>
          <cell r="H360"/>
          <cell r="I360"/>
          <cell r="J360"/>
          <cell r="K360"/>
          <cell r="L360"/>
          <cell r="M360"/>
          <cell r="N360"/>
          <cell r="O360"/>
          <cell r="P360"/>
          <cell r="Q360"/>
          <cell r="R360"/>
          <cell r="S360"/>
          <cell r="T360"/>
          <cell r="U360"/>
          <cell r="V360"/>
          <cell r="W360"/>
          <cell r="X360"/>
          <cell r="Y360"/>
          <cell r="Z360"/>
          <cell r="AA360"/>
          <cell r="AB360"/>
          <cell r="AC360"/>
          <cell r="AD360"/>
          <cell r="AE360"/>
        </row>
        <row r="361">
          <cell r="G361"/>
          <cell r="H361"/>
          <cell r="I361"/>
          <cell r="J361"/>
          <cell r="K361"/>
          <cell r="L361"/>
          <cell r="M361"/>
          <cell r="N361"/>
          <cell r="O361"/>
          <cell r="P361"/>
          <cell r="Q361"/>
          <cell r="R361"/>
          <cell r="S361"/>
          <cell r="T361"/>
          <cell r="U361"/>
          <cell r="V361"/>
          <cell r="W361"/>
          <cell r="X361"/>
          <cell r="Y361"/>
          <cell r="Z361"/>
          <cell r="AA361"/>
          <cell r="AB361"/>
          <cell r="AC361"/>
          <cell r="AD361"/>
          <cell r="AE361"/>
        </row>
        <row r="362">
          <cell r="G362"/>
          <cell r="H362"/>
          <cell r="I362"/>
          <cell r="J362"/>
          <cell r="K362"/>
          <cell r="L362"/>
          <cell r="M362"/>
          <cell r="N362"/>
          <cell r="O362"/>
          <cell r="P362"/>
          <cell r="Q362"/>
          <cell r="R362"/>
          <cell r="S362"/>
          <cell r="T362"/>
          <cell r="U362"/>
          <cell r="V362"/>
          <cell r="W362"/>
          <cell r="X362"/>
          <cell r="Y362"/>
          <cell r="Z362"/>
          <cell r="AA362"/>
          <cell r="AB362"/>
          <cell r="AC362"/>
          <cell r="AD362"/>
          <cell r="AE362"/>
        </row>
        <row r="363">
          <cell r="G363"/>
          <cell r="H363"/>
          <cell r="I363"/>
          <cell r="J363"/>
          <cell r="K363"/>
          <cell r="L363"/>
          <cell r="M363"/>
          <cell r="N363"/>
          <cell r="O363"/>
          <cell r="P363"/>
          <cell r="Q363"/>
          <cell r="R363"/>
          <cell r="S363"/>
          <cell r="T363"/>
          <cell r="U363"/>
          <cell r="V363"/>
          <cell r="W363"/>
          <cell r="X363"/>
          <cell r="Y363"/>
          <cell r="Z363"/>
          <cell r="AA363"/>
          <cell r="AB363"/>
          <cell r="AC363"/>
          <cell r="AD363"/>
          <cell r="AE363"/>
        </row>
        <row r="364">
          <cell r="G364"/>
          <cell r="H364"/>
          <cell r="I364"/>
          <cell r="J364"/>
          <cell r="K364"/>
          <cell r="L364"/>
          <cell r="M364"/>
          <cell r="N364"/>
          <cell r="O364"/>
          <cell r="P364"/>
          <cell r="Q364"/>
          <cell r="R364"/>
          <cell r="S364"/>
          <cell r="T364"/>
          <cell r="U364"/>
          <cell r="V364"/>
          <cell r="W364"/>
          <cell r="X364"/>
          <cell r="Y364"/>
          <cell r="Z364"/>
          <cell r="AA364"/>
          <cell r="AB364"/>
          <cell r="AC364"/>
          <cell r="AD364"/>
          <cell r="AE364"/>
        </row>
        <row r="365">
          <cell r="G365"/>
          <cell r="H365"/>
          <cell r="I365"/>
          <cell r="J365"/>
          <cell r="K365"/>
          <cell r="L365"/>
          <cell r="M365"/>
          <cell r="N365"/>
          <cell r="O365"/>
          <cell r="P365"/>
          <cell r="Q365"/>
          <cell r="R365"/>
          <cell r="S365"/>
          <cell r="T365"/>
          <cell r="U365"/>
          <cell r="V365"/>
          <cell r="W365"/>
          <cell r="X365"/>
          <cell r="Y365"/>
          <cell r="Z365"/>
          <cell r="AA365"/>
          <cell r="AB365"/>
          <cell r="AC365"/>
          <cell r="AD365"/>
          <cell r="AE365"/>
        </row>
        <row r="366">
          <cell r="G366"/>
          <cell r="H366"/>
          <cell r="I366"/>
          <cell r="J366"/>
          <cell r="K366"/>
          <cell r="L366"/>
          <cell r="M366"/>
          <cell r="N366"/>
          <cell r="O366"/>
          <cell r="P366"/>
          <cell r="Q366"/>
          <cell r="R366"/>
          <cell r="S366"/>
          <cell r="T366"/>
          <cell r="U366"/>
          <cell r="V366"/>
          <cell r="W366"/>
          <cell r="X366"/>
          <cell r="Y366"/>
          <cell r="Z366"/>
          <cell r="AA366"/>
          <cell r="AB366"/>
          <cell r="AC366"/>
          <cell r="AD366"/>
          <cell r="AE366"/>
        </row>
        <row r="367">
          <cell r="G367"/>
          <cell r="H367"/>
          <cell r="I367"/>
          <cell r="J367"/>
          <cell r="K367"/>
          <cell r="L367"/>
          <cell r="M367"/>
          <cell r="N367"/>
          <cell r="O367"/>
          <cell r="P367"/>
          <cell r="Q367"/>
          <cell r="R367"/>
          <cell r="S367"/>
          <cell r="T367"/>
          <cell r="U367"/>
          <cell r="V367"/>
          <cell r="W367"/>
          <cell r="X367"/>
          <cell r="Y367"/>
          <cell r="Z367"/>
          <cell r="AA367"/>
          <cell r="AB367"/>
          <cell r="AC367"/>
          <cell r="AD367"/>
          <cell r="AE367"/>
        </row>
        <row r="368">
          <cell r="G368"/>
          <cell r="H368"/>
          <cell r="I368"/>
          <cell r="J368"/>
          <cell r="K368"/>
          <cell r="L368"/>
          <cell r="M368"/>
          <cell r="N368"/>
          <cell r="O368"/>
          <cell r="P368"/>
          <cell r="Q368"/>
          <cell r="R368"/>
          <cell r="S368"/>
          <cell r="T368"/>
          <cell r="U368"/>
          <cell r="V368"/>
          <cell r="W368"/>
          <cell r="X368"/>
          <cell r="Y368"/>
          <cell r="Z368"/>
          <cell r="AA368"/>
          <cell r="AB368"/>
          <cell r="AC368"/>
          <cell r="AD368"/>
          <cell r="AE368"/>
        </row>
        <row r="369">
          <cell r="G369"/>
          <cell r="H369"/>
          <cell r="I369"/>
          <cell r="J369"/>
          <cell r="K369"/>
          <cell r="L369"/>
          <cell r="M369"/>
          <cell r="N369"/>
          <cell r="O369"/>
          <cell r="P369"/>
          <cell r="Q369"/>
          <cell r="R369"/>
          <cell r="S369"/>
          <cell r="T369"/>
          <cell r="U369"/>
          <cell r="V369"/>
          <cell r="W369"/>
          <cell r="X369"/>
          <cell r="Y369"/>
          <cell r="Z369"/>
          <cell r="AA369"/>
          <cell r="AB369"/>
          <cell r="AC369"/>
          <cell r="AD369"/>
          <cell r="AE369"/>
        </row>
        <row r="370">
          <cell r="G370"/>
          <cell r="H370"/>
          <cell r="I370"/>
          <cell r="J370"/>
          <cell r="K370"/>
          <cell r="L370"/>
          <cell r="M370"/>
          <cell r="N370"/>
          <cell r="O370"/>
          <cell r="P370"/>
          <cell r="Q370"/>
          <cell r="R370"/>
          <cell r="S370"/>
          <cell r="T370"/>
          <cell r="U370"/>
          <cell r="V370"/>
          <cell r="W370"/>
          <cell r="X370"/>
          <cell r="Y370"/>
          <cell r="Z370"/>
          <cell r="AA370"/>
          <cell r="AB370"/>
          <cell r="AC370"/>
          <cell r="AD370"/>
          <cell r="AE370"/>
        </row>
        <row r="371">
          <cell r="G371"/>
          <cell r="H371"/>
          <cell r="I371"/>
          <cell r="J371"/>
          <cell r="K371"/>
          <cell r="L371"/>
          <cell r="M371"/>
          <cell r="N371"/>
          <cell r="O371"/>
          <cell r="P371"/>
          <cell r="Q371"/>
          <cell r="R371"/>
          <cell r="S371"/>
          <cell r="T371"/>
          <cell r="U371"/>
          <cell r="V371"/>
          <cell r="W371"/>
          <cell r="X371"/>
          <cell r="Y371"/>
          <cell r="Z371"/>
          <cell r="AA371"/>
          <cell r="AB371"/>
          <cell r="AC371"/>
          <cell r="AD371"/>
          <cell r="AE371"/>
        </row>
        <row r="372">
          <cell r="G372"/>
          <cell r="H372"/>
          <cell r="I372"/>
          <cell r="J372"/>
          <cell r="K372"/>
          <cell r="L372"/>
          <cell r="M372"/>
          <cell r="N372"/>
          <cell r="O372"/>
          <cell r="P372"/>
          <cell r="Q372"/>
          <cell r="R372"/>
          <cell r="S372"/>
          <cell r="T372"/>
          <cell r="U372"/>
          <cell r="V372"/>
          <cell r="W372"/>
          <cell r="X372"/>
          <cell r="Y372"/>
          <cell r="Z372"/>
          <cell r="AA372"/>
          <cell r="AB372"/>
          <cell r="AC372"/>
          <cell r="AD372"/>
          <cell r="AE372"/>
        </row>
        <row r="373">
          <cell r="G373"/>
          <cell r="H373"/>
          <cell r="I373"/>
          <cell r="J373"/>
          <cell r="K373"/>
          <cell r="L373"/>
          <cell r="M373"/>
          <cell r="N373"/>
          <cell r="O373"/>
          <cell r="P373"/>
          <cell r="Q373"/>
          <cell r="R373"/>
          <cell r="S373"/>
          <cell r="T373"/>
          <cell r="U373"/>
          <cell r="V373"/>
          <cell r="W373"/>
          <cell r="X373"/>
          <cell r="Y373"/>
          <cell r="Z373"/>
          <cell r="AA373"/>
          <cell r="AB373"/>
          <cell r="AC373"/>
          <cell r="AD373"/>
          <cell r="AE373"/>
        </row>
        <row r="374">
          <cell r="G374"/>
          <cell r="H374"/>
          <cell r="I374"/>
          <cell r="J374"/>
          <cell r="K374"/>
          <cell r="L374"/>
          <cell r="M374"/>
          <cell r="N374"/>
          <cell r="O374"/>
          <cell r="P374"/>
          <cell r="Q374"/>
          <cell r="R374"/>
          <cell r="S374"/>
          <cell r="T374"/>
          <cell r="U374"/>
          <cell r="V374"/>
          <cell r="W374"/>
          <cell r="X374"/>
          <cell r="Y374"/>
          <cell r="Z374"/>
          <cell r="AA374"/>
          <cell r="AB374"/>
          <cell r="AC374"/>
          <cell r="AD374"/>
          <cell r="AE374"/>
        </row>
        <row r="375">
          <cell r="G375"/>
          <cell r="H375"/>
          <cell r="I375"/>
          <cell r="J375"/>
          <cell r="K375"/>
          <cell r="L375"/>
          <cell r="M375"/>
          <cell r="N375"/>
          <cell r="O375"/>
          <cell r="P375"/>
          <cell r="Q375"/>
          <cell r="R375"/>
          <cell r="S375"/>
          <cell r="T375"/>
          <cell r="U375"/>
          <cell r="V375"/>
          <cell r="W375"/>
          <cell r="X375"/>
          <cell r="Y375"/>
          <cell r="Z375"/>
          <cell r="AA375"/>
          <cell r="AB375"/>
          <cell r="AC375"/>
          <cell r="AD375"/>
          <cell r="AE375"/>
        </row>
        <row r="376">
          <cell r="G376"/>
          <cell r="H376"/>
          <cell r="I376"/>
          <cell r="J376"/>
          <cell r="K376"/>
          <cell r="L376"/>
          <cell r="M376"/>
          <cell r="N376"/>
          <cell r="O376"/>
          <cell r="P376"/>
          <cell r="Q376"/>
          <cell r="R376"/>
          <cell r="S376"/>
          <cell r="T376"/>
          <cell r="U376"/>
          <cell r="V376"/>
          <cell r="W376"/>
          <cell r="X376"/>
          <cell r="Y376"/>
          <cell r="Z376"/>
          <cell r="AA376"/>
          <cell r="AB376"/>
          <cell r="AC376"/>
          <cell r="AD376"/>
          <cell r="AE376"/>
        </row>
        <row r="377">
          <cell r="G377"/>
          <cell r="H377"/>
          <cell r="I377"/>
          <cell r="J377"/>
          <cell r="K377"/>
          <cell r="L377"/>
          <cell r="M377"/>
          <cell r="N377"/>
          <cell r="O377"/>
          <cell r="P377"/>
          <cell r="Q377"/>
          <cell r="R377"/>
          <cell r="S377"/>
          <cell r="T377"/>
          <cell r="U377"/>
          <cell r="V377"/>
          <cell r="W377"/>
          <cell r="X377"/>
          <cell r="Y377"/>
          <cell r="Z377"/>
          <cell r="AA377"/>
          <cell r="AB377"/>
          <cell r="AC377"/>
          <cell r="AD377"/>
          <cell r="AE377"/>
        </row>
        <row r="378">
          <cell r="G378"/>
          <cell r="H378"/>
          <cell r="I378"/>
          <cell r="J378"/>
          <cell r="K378"/>
          <cell r="L378"/>
          <cell r="M378"/>
          <cell r="N378"/>
          <cell r="O378"/>
          <cell r="P378"/>
          <cell r="Q378"/>
          <cell r="R378"/>
          <cell r="S378"/>
          <cell r="T378"/>
          <cell r="U378"/>
          <cell r="V378"/>
          <cell r="W378"/>
          <cell r="X378"/>
          <cell r="Y378"/>
          <cell r="Z378"/>
          <cell r="AA378"/>
          <cell r="AB378"/>
          <cell r="AC378"/>
          <cell r="AD378"/>
          <cell r="AE378"/>
        </row>
        <row r="379">
          <cell r="G379"/>
          <cell r="H379"/>
          <cell r="I379"/>
          <cell r="J379"/>
          <cell r="K379"/>
          <cell r="L379"/>
          <cell r="M379"/>
          <cell r="N379"/>
          <cell r="O379"/>
          <cell r="P379"/>
          <cell r="Q379"/>
          <cell r="R379"/>
          <cell r="S379"/>
          <cell r="T379"/>
          <cell r="U379"/>
          <cell r="V379"/>
          <cell r="W379"/>
          <cell r="X379"/>
          <cell r="Y379"/>
          <cell r="Z379"/>
          <cell r="AA379"/>
          <cell r="AB379"/>
          <cell r="AC379"/>
          <cell r="AD379"/>
          <cell r="AE379"/>
        </row>
        <row r="380">
          <cell r="G380"/>
          <cell r="H380"/>
          <cell r="I380"/>
          <cell r="J380"/>
          <cell r="K380"/>
          <cell r="L380"/>
          <cell r="M380"/>
          <cell r="N380"/>
          <cell r="O380"/>
          <cell r="P380"/>
          <cell r="Q380"/>
          <cell r="R380"/>
          <cell r="S380"/>
          <cell r="T380"/>
          <cell r="U380"/>
          <cell r="V380"/>
          <cell r="W380"/>
          <cell r="X380"/>
          <cell r="Y380"/>
          <cell r="Z380"/>
          <cell r="AA380"/>
          <cell r="AB380"/>
          <cell r="AC380"/>
          <cell r="AD380"/>
          <cell r="AE380"/>
        </row>
        <row r="381">
          <cell r="G381"/>
          <cell r="H381"/>
          <cell r="I381"/>
          <cell r="J381"/>
          <cell r="K381"/>
          <cell r="L381"/>
          <cell r="M381"/>
          <cell r="N381"/>
          <cell r="O381"/>
          <cell r="P381"/>
          <cell r="Q381"/>
          <cell r="R381"/>
          <cell r="S381"/>
          <cell r="T381"/>
          <cell r="U381"/>
          <cell r="V381"/>
          <cell r="W381"/>
          <cell r="X381"/>
          <cell r="Y381"/>
          <cell r="Z381"/>
          <cell r="AA381"/>
          <cell r="AB381"/>
          <cell r="AC381"/>
          <cell r="AD381"/>
          <cell r="AE381"/>
        </row>
        <row r="382">
          <cell r="G382"/>
          <cell r="H382"/>
          <cell r="I382"/>
          <cell r="J382"/>
          <cell r="K382"/>
          <cell r="L382"/>
          <cell r="M382"/>
          <cell r="N382"/>
          <cell r="O382"/>
          <cell r="P382"/>
          <cell r="Q382"/>
          <cell r="R382"/>
          <cell r="S382"/>
          <cell r="T382"/>
          <cell r="U382"/>
          <cell r="V382"/>
          <cell r="W382"/>
          <cell r="X382"/>
          <cell r="Y382"/>
          <cell r="Z382"/>
          <cell r="AA382"/>
          <cell r="AB382"/>
          <cell r="AC382"/>
          <cell r="AD382"/>
          <cell r="AE382"/>
        </row>
        <row r="383">
          <cell r="G383"/>
          <cell r="H383"/>
          <cell r="I383"/>
          <cell r="J383"/>
          <cell r="K383"/>
          <cell r="L383"/>
          <cell r="M383"/>
          <cell r="N383"/>
          <cell r="O383"/>
          <cell r="P383"/>
          <cell r="Q383"/>
          <cell r="R383"/>
          <cell r="S383"/>
          <cell r="T383"/>
          <cell r="U383"/>
          <cell r="V383"/>
          <cell r="W383"/>
          <cell r="X383"/>
          <cell r="Y383"/>
          <cell r="Z383"/>
          <cell r="AA383"/>
          <cell r="AB383"/>
          <cell r="AC383"/>
          <cell r="AD383"/>
          <cell r="AE383"/>
        </row>
        <row r="384">
          <cell r="G384"/>
          <cell r="H384"/>
          <cell r="I384"/>
          <cell r="J384"/>
          <cell r="K384"/>
          <cell r="L384"/>
          <cell r="M384"/>
          <cell r="N384"/>
          <cell r="O384"/>
          <cell r="P384"/>
          <cell r="Q384"/>
          <cell r="R384"/>
          <cell r="S384"/>
          <cell r="T384"/>
          <cell r="U384"/>
          <cell r="V384"/>
          <cell r="W384"/>
          <cell r="X384"/>
          <cell r="Y384"/>
          <cell r="Z384"/>
          <cell r="AA384"/>
          <cell r="AB384"/>
          <cell r="AC384"/>
          <cell r="AD384"/>
          <cell r="AE384"/>
        </row>
        <row r="385">
          <cell r="G385"/>
          <cell r="H385"/>
          <cell r="I385"/>
          <cell r="J385"/>
          <cell r="K385"/>
          <cell r="L385"/>
          <cell r="M385"/>
          <cell r="N385"/>
          <cell r="O385"/>
          <cell r="P385"/>
          <cell r="Q385"/>
          <cell r="R385"/>
          <cell r="S385"/>
          <cell r="T385"/>
          <cell r="U385"/>
          <cell r="V385"/>
          <cell r="W385"/>
          <cell r="X385"/>
          <cell r="Y385"/>
          <cell r="Z385"/>
          <cell r="AA385"/>
          <cell r="AB385"/>
          <cell r="AC385"/>
          <cell r="AD385"/>
          <cell r="AE385"/>
        </row>
        <row r="386">
          <cell r="G386"/>
          <cell r="H386"/>
          <cell r="I386"/>
          <cell r="J386"/>
          <cell r="K386"/>
          <cell r="L386"/>
          <cell r="M386"/>
          <cell r="N386"/>
          <cell r="O386"/>
          <cell r="P386"/>
          <cell r="Q386"/>
          <cell r="R386"/>
          <cell r="S386"/>
          <cell r="T386"/>
          <cell r="U386"/>
          <cell r="V386"/>
          <cell r="W386"/>
          <cell r="X386"/>
          <cell r="Y386"/>
          <cell r="Z386"/>
          <cell r="AA386"/>
          <cell r="AB386"/>
          <cell r="AC386"/>
          <cell r="AD386"/>
          <cell r="AE386"/>
        </row>
        <row r="387">
          <cell r="G387"/>
          <cell r="H387"/>
          <cell r="I387"/>
          <cell r="J387"/>
          <cell r="K387"/>
          <cell r="L387"/>
          <cell r="M387"/>
          <cell r="N387"/>
          <cell r="O387"/>
          <cell r="P387"/>
          <cell r="Q387"/>
          <cell r="R387"/>
          <cell r="S387"/>
          <cell r="T387"/>
          <cell r="U387"/>
          <cell r="V387"/>
          <cell r="W387"/>
          <cell r="X387"/>
          <cell r="Y387"/>
          <cell r="Z387"/>
          <cell r="AA387"/>
          <cell r="AB387"/>
          <cell r="AC387"/>
          <cell r="AD387"/>
          <cell r="AE387"/>
        </row>
        <row r="388">
          <cell r="G388"/>
          <cell r="H388"/>
          <cell r="I388"/>
          <cell r="J388"/>
          <cell r="K388"/>
          <cell r="L388"/>
          <cell r="M388"/>
          <cell r="N388"/>
          <cell r="O388"/>
          <cell r="P388"/>
          <cell r="Q388"/>
          <cell r="R388"/>
          <cell r="S388"/>
          <cell r="T388"/>
          <cell r="U388"/>
          <cell r="V388"/>
          <cell r="W388"/>
          <cell r="X388"/>
          <cell r="Y388"/>
          <cell r="Z388"/>
          <cell r="AA388"/>
          <cell r="AB388"/>
          <cell r="AC388"/>
          <cell r="AD388"/>
          <cell r="AE388"/>
        </row>
        <row r="389">
          <cell r="G389"/>
          <cell r="H389"/>
          <cell r="I389"/>
          <cell r="J389"/>
          <cell r="K389"/>
          <cell r="L389"/>
          <cell r="M389"/>
          <cell r="N389"/>
          <cell r="O389"/>
          <cell r="P389"/>
          <cell r="Q389"/>
          <cell r="R389"/>
          <cell r="S389"/>
          <cell r="T389"/>
          <cell r="U389"/>
          <cell r="V389"/>
          <cell r="W389"/>
          <cell r="X389"/>
          <cell r="Y389"/>
          <cell r="Z389"/>
          <cell r="AA389"/>
          <cell r="AB389"/>
          <cell r="AC389"/>
          <cell r="AD389"/>
          <cell r="AE389"/>
        </row>
        <row r="390">
          <cell r="G390"/>
          <cell r="H390"/>
          <cell r="I390"/>
          <cell r="J390"/>
          <cell r="K390"/>
          <cell r="L390"/>
          <cell r="M390"/>
          <cell r="N390"/>
          <cell r="O390"/>
          <cell r="P390"/>
          <cell r="Q390"/>
          <cell r="R390"/>
          <cell r="S390"/>
          <cell r="T390"/>
          <cell r="U390"/>
          <cell r="V390"/>
          <cell r="W390"/>
          <cell r="X390"/>
          <cell r="Y390"/>
          <cell r="Z390"/>
          <cell r="AA390"/>
          <cell r="AB390"/>
          <cell r="AC390"/>
          <cell r="AD390"/>
          <cell r="AE390"/>
        </row>
        <row r="391">
          <cell r="G391"/>
          <cell r="H391"/>
          <cell r="I391"/>
          <cell r="J391"/>
          <cell r="K391"/>
          <cell r="L391"/>
          <cell r="M391"/>
          <cell r="N391"/>
          <cell r="O391"/>
          <cell r="P391"/>
          <cell r="Q391"/>
          <cell r="R391"/>
          <cell r="S391"/>
          <cell r="T391"/>
          <cell r="U391"/>
          <cell r="V391"/>
          <cell r="W391"/>
          <cell r="X391"/>
          <cell r="Y391"/>
          <cell r="Z391"/>
          <cell r="AA391"/>
          <cell r="AB391"/>
          <cell r="AC391"/>
          <cell r="AD391"/>
          <cell r="AE391"/>
        </row>
        <row r="392">
          <cell r="G392"/>
          <cell r="H392"/>
          <cell r="I392"/>
          <cell r="J392"/>
          <cell r="K392"/>
          <cell r="L392"/>
          <cell r="M392"/>
          <cell r="N392"/>
          <cell r="O392"/>
          <cell r="P392"/>
          <cell r="Q392"/>
          <cell r="R392"/>
          <cell r="S392"/>
          <cell r="T392"/>
          <cell r="U392"/>
          <cell r="V392"/>
          <cell r="W392"/>
          <cell r="X392"/>
          <cell r="Y392"/>
          <cell r="Z392"/>
          <cell r="AA392"/>
          <cell r="AB392"/>
          <cell r="AC392"/>
          <cell r="AD392"/>
          <cell r="AE392"/>
        </row>
        <row r="393">
          <cell r="G393"/>
          <cell r="H393"/>
          <cell r="I393"/>
          <cell r="J393"/>
          <cell r="K393"/>
          <cell r="L393"/>
          <cell r="M393"/>
          <cell r="N393"/>
          <cell r="O393"/>
          <cell r="P393"/>
          <cell r="Q393"/>
          <cell r="R393"/>
          <cell r="S393"/>
          <cell r="T393"/>
          <cell r="U393"/>
          <cell r="V393"/>
          <cell r="W393"/>
          <cell r="X393"/>
          <cell r="Y393"/>
          <cell r="Z393"/>
          <cell r="AA393"/>
          <cell r="AB393"/>
          <cell r="AC393"/>
          <cell r="AD393"/>
          <cell r="AE393"/>
        </row>
        <row r="394">
          <cell r="G394"/>
          <cell r="H394"/>
          <cell r="I394"/>
          <cell r="J394"/>
          <cell r="K394"/>
          <cell r="L394"/>
          <cell r="M394"/>
          <cell r="N394"/>
          <cell r="O394"/>
          <cell r="P394"/>
          <cell r="Q394"/>
          <cell r="R394"/>
          <cell r="S394"/>
          <cell r="T394"/>
          <cell r="U394"/>
          <cell r="V394"/>
          <cell r="W394"/>
          <cell r="X394"/>
          <cell r="Y394"/>
          <cell r="Z394"/>
          <cell r="AA394"/>
          <cell r="AB394"/>
          <cell r="AC394"/>
          <cell r="AD394"/>
          <cell r="AE394"/>
        </row>
        <row r="395">
          <cell r="G395"/>
          <cell r="H395"/>
          <cell r="I395"/>
          <cell r="J395"/>
          <cell r="K395"/>
          <cell r="L395"/>
          <cell r="M395"/>
          <cell r="N395"/>
          <cell r="O395"/>
          <cell r="P395"/>
          <cell r="Q395"/>
          <cell r="R395"/>
          <cell r="S395"/>
          <cell r="T395"/>
          <cell r="U395"/>
          <cell r="V395"/>
          <cell r="W395"/>
          <cell r="X395"/>
          <cell r="Y395"/>
          <cell r="Z395"/>
          <cell r="AA395"/>
          <cell r="AB395"/>
          <cell r="AC395"/>
          <cell r="AD395"/>
          <cell r="AE395"/>
        </row>
        <row r="396">
          <cell r="G396"/>
          <cell r="H396"/>
          <cell r="I396"/>
          <cell r="J396"/>
          <cell r="K396"/>
          <cell r="L396"/>
          <cell r="M396"/>
          <cell r="N396"/>
          <cell r="O396"/>
          <cell r="P396"/>
          <cell r="Q396"/>
          <cell r="R396"/>
          <cell r="S396"/>
          <cell r="T396"/>
          <cell r="U396"/>
          <cell r="V396"/>
          <cell r="W396"/>
          <cell r="X396"/>
          <cell r="Y396"/>
          <cell r="Z396"/>
          <cell r="AA396"/>
          <cell r="AB396"/>
          <cell r="AC396"/>
          <cell r="AD396"/>
          <cell r="AE396"/>
        </row>
        <row r="397">
          <cell r="G397"/>
          <cell r="H397"/>
          <cell r="I397"/>
          <cell r="J397"/>
          <cell r="K397"/>
          <cell r="L397"/>
          <cell r="M397"/>
          <cell r="N397"/>
          <cell r="O397"/>
          <cell r="P397"/>
          <cell r="Q397"/>
          <cell r="R397"/>
          <cell r="S397"/>
          <cell r="T397"/>
          <cell r="U397"/>
          <cell r="V397"/>
          <cell r="W397"/>
          <cell r="X397"/>
          <cell r="Y397"/>
          <cell r="Z397"/>
          <cell r="AA397"/>
          <cell r="AB397"/>
          <cell r="AC397"/>
          <cell r="AD397"/>
          <cell r="AE397"/>
        </row>
        <row r="398">
          <cell r="G398"/>
          <cell r="H398"/>
          <cell r="I398"/>
          <cell r="J398"/>
          <cell r="K398"/>
          <cell r="L398"/>
          <cell r="M398"/>
          <cell r="N398"/>
          <cell r="O398"/>
          <cell r="P398"/>
          <cell r="Q398"/>
          <cell r="R398"/>
          <cell r="S398"/>
          <cell r="T398"/>
          <cell r="U398"/>
          <cell r="V398"/>
          <cell r="W398"/>
          <cell r="X398"/>
          <cell r="Y398"/>
          <cell r="Z398"/>
          <cell r="AA398"/>
          <cell r="AB398"/>
          <cell r="AC398"/>
          <cell r="AD398"/>
          <cell r="AE398"/>
        </row>
        <row r="399">
          <cell r="G399"/>
          <cell r="H399"/>
          <cell r="I399"/>
          <cell r="J399"/>
          <cell r="K399"/>
          <cell r="L399"/>
          <cell r="M399"/>
          <cell r="N399"/>
          <cell r="O399"/>
          <cell r="P399"/>
          <cell r="Q399"/>
          <cell r="R399"/>
          <cell r="S399"/>
          <cell r="T399"/>
          <cell r="U399"/>
          <cell r="V399"/>
          <cell r="W399"/>
          <cell r="X399"/>
          <cell r="Y399"/>
          <cell r="Z399"/>
          <cell r="AA399"/>
          <cell r="AB399"/>
          <cell r="AC399"/>
          <cell r="AD399"/>
          <cell r="AE399"/>
        </row>
        <row r="400">
          <cell r="G400"/>
          <cell r="H400"/>
          <cell r="I400"/>
          <cell r="J400"/>
          <cell r="K400"/>
          <cell r="L400"/>
          <cell r="M400"/>
          <cell r="N400"/>
          <cell r="O400"/>
          <cell r="P400"/>
          <cell r="Q400"/>
          <cell r="R400"/>
          <cell r="S400"/>
          <cell r="T400"/>
          <cell r="U400"/>
          <cell r="V400"/>
          <cell r="W400"/>
          <cell r="X400"/>
          <cell r="Y400"/>
          <cell r="Z400"/>
          <cell r="AA400"/>
          <cell r="AB400"/>
          <cell r="AC400"/>
          <cell r="AD400"/>
          <cell r="AE400"/>
        </row>
        <row r="401">
          <cell r="G401"/>
          <cell r="H401"/>
          <cell r="I401"/>
          <cell r="J401"/>
          <cell r="K401"/>
          <cell r="L401"/>
          <cell r="M401"/>
          <cell r="N401"/>
          <cell r="O401"/>
          <cell r="P401"/>
          <cell r="Q401"/>
          <cell r="R401"/>
          <cell r="S401"/>
          <cell r="T401"/>
          <cell r="U401"/>
          <cell r="V401"/>
          <cell r="W401"/>
          <cell r="X401"/>
          <cell r="Y401"/>
          <cell r="Z401"/>
          <cell r="AA401"/>
          <cell r="AB401"/>
          <cell r="AC401"/>
          <cell r="AD401"/>
          <cell r="AE401"/>
        </row>
        <row r="402">
          <cell r="G402"/>
          <cell r="H402"/>
          <cell r="I402"/>
          <cell r="J402"/>
          <cell r="K402"/>
          <cell r="L402"/>
          <cell r="M402"/>
          <cell r="N402"/>
          <cell r="O402"/>
          <cell r="P402"/>
          <cell r="Q402"/>
          <cell r="R402"/>
          <cell r="S402"/>
          <cell r="T402"/>
          <cell r="U402"/>
          <cell r="V402"/>
          <cell r="W402"/>
          <cell r="X402"/>
          <cell r="Y402"/>
          <cell r="Z402"/>
          <cell r="AA402"/>
          <cell r="AB402"/>
          <cell r="AC402"/>
          <cell r="AD402"/>
          <cell r="AE402"/>
        </row>
        <row r="403">
          <cell r="G403"/>
          <cell r="H403"/>
          <cell r="I403"/>
          <cell r="J403"/>
          <cell r="K403"/>
          <cell r="L403"/>
          <cell r="M403"/>
          <cell r="N403"/>
          <cell r="O403"/>
          <cell r="P403"/>
          <cell r="Q403"/>
          <cell r="R403"/>
          <cell r="S403"/>
          <cell r="T403"/>
          <cell r="U403"/>
          <cell r="V403"/>
          <cell r="W403"/>
          <cell r="X403"/>
          <cell r="Y403"/>
          <cell r="Z403"/>
          <cell r="AA403"/>
          <cell r="AB403"/>
          <cell r="AC403"/>
          <cell r="AD403"/>
          <cell r="AE403"/>
        </row>
        <row r="404">
          <cell r="G404"/>
          <cell r="H404"/>
          <cell r="I404"/>
          <cell r="J404"/>
          <cell r="K404"/>
          <cell r="L404"/>
          <cell r="M404"/>
          <cell r="N404"/>
          <cell r="O404"/>
          <cell r="P404"/>
          <cell r="Q404"/>
          <cell r="R404"/>
          <cell r="S404"/>
          <cell r="T404"/>
          <cell r="U404"/>
          <cell r="V404"/>
          <cell r="W404"/>
          <cell r="X404"/>
          <cell r="Y404"/>
          <cell r="Z404"/>
          <cell r="AA404"/>
          <cell r="AB404"/>
          <cell r="AC404"/>
          <cell r="AD404"/>
          <cell r="AE404"/>
        </row>
        <row r="405">
          <cell r="G405"/>
          <cell r="H405"/>
          <cell r="I405"/>
          <cell r="J405"/>
          <cell r="K405"/>
          <cell r="L405"/>
          <cell r="M405"/>
          <cell r="N405"/>
          <cell r="O405"/>
          <cell r="P405"/>
          <cell r="Q405"/>
          <cell r="R405"/>
          <cell r="S405"/>
          <cell r="T405"/>
          <cell r="U405"/>
          <cell r="V405"/>
          <cell r="W405"/>
          <cell r="X405"/>
          <cell r="Y405"/>
          <cell r="Z405"/>
          <cell r="AA405"/>
          <cell r="AB405"/>
          <cell r="AC405"/>
          <cell r="AD405"/>
          <cell r="AE405"/>
        </row>
        <row r="406">
          <cell r="G406"/>
          <cell r="H406"/>
          <cell r="I406"/>
          <cell r="J406"/>
          <cell r="K406"/>
          <cell r="L406"/>
          <cell r="M406"/>
          <cell r="N406"/>
          <cell r="O406"/>
          <cell r="P406"/>
          <cell r="Q406"/>
          <cell r="R406"/>
          <cell r="S406"/>
          <cell r="T406"/>
          <cell r="U406"/>
          <cell r="V406"/>
          <cell r="W406"/>
          <cell r="X406"/>
          <cell r="Y406"/>
          <cell r="Z406"/>
          <cell r="AA406"/>
          <cell r="AB406"/>
          <cell r="AC406"/>
          <cell r="AD406"/>
          <cell r="AE406"/>
        </row>
        <row r="407">
          <cell r="G407"/>
          <cell r="H407"/>
          <cell r="I407"/>
          <cell r="J407"/>
          <cell r="K407"/>
          <cell r="L407"/>
          <cell r="M407"/>
          <cell r="N407"/>
          <cell r="O407"/>
          <cell r="P407"/>
          <cell r="Q407"/>
          <cell r="R407"/>
          <cell r="S407"/>
          <cell r="T407"/>
          <cell r="U407"/>
          <cell r="V407"/>
          <cell r="W407"/>
          <cell r="X407"/>
          <cell r="Y407"/>
          <cell r="Z407"/>
          <cell r="AA407"/>
          <cell r="AB407"/>
          <cell r="AC407"/>
          <cell r="AD407"/>
          <cell r="AE407"/>
        </row>
        <row r="408">
          <cell r="G408"/>
          <cell r="H408"/>
          <cell r="I408"/>
          <cell r="J408"/>
          <cell r="K408"/>
          <cell r="L408"/>
          <cell r="M408"/>
          <cell r="N408"/>
          <cell r="O408"/>
          <cell r="P408"/>
          <cell r="Q408"/>
          <cell r="R408"/>
          <cell r="S408"/>
          <cell r="T408"/>
          <cell r="U408"/>
          <cell r="V408"/>
          <cell r="W408"/>
          <cell r="X408"/>
          <cell r="Y408"/>
          <cell r="Z408"/>
          <cell r="AA408"/>
          <cell r="AB408"/>
          <cell r="AC408"/>
          <cell r="AD408"/>
          <cell r="AE408"/>
        </row>
        <row r="409">
          <cell r="G409"/>
          <cell r="H409"/>
          <cell r="I409"/>
          <cell r="J409"/>
          <cell r="K409"/>
          <cell r="L409"/>
          <cell r="M409"/>
          <cell r="N409"/>
          <cell r="O409"/>
          <cell r="P409"/>
          <cell r="Q409"/>
          <cell r="R409"/>
          <cell r="S409"/>
          <cell r="T409"/>
          <cell r="U409"/>
          <cell r="V409"/>
          <cell r="W409"/>
          <cell r="X409"/>
          <cell r="Y409"/>
          <cell r="Z409"/>
          <cell r="AA409"/>
          <cell r="AB409"/>
          <cell r="AC409"/>
          <cell r="AD409"/>
          <cell r="AE409"/>
        </row>
        <row r="410">
          <cell r="G410"/>
          <cell r="H410"/>
          <cell r="I410"/>
          <cell r="J410"/>
          <cell r="K410"/>
          <cell r="L410"/>
          <cell r="M410"/>
          <cell r="N410"/>
          <cell r="O410"/>
          <cell r="P410"/>
          <cell r="Q410"/>
          <cell r="R410"/>
          <cell r="S410"/>
          <cell r="T410"/>
          <cell r="U410"/>
          <cell r="V410"/>
          <cell r="W410"/>
          <cell r="X410"/>
          <cell r="Y410"/>
          <cell r="Z410"/>
          <cell r="AA410"/>
          <cell r="AB410"/>
          <cell r="AC410"/>
          <cell r="AD410"/>
          <cell r="AE410"/>
        </row>
        <row r="411">
          <cell r="G411"/>
          <cell r="H411"/>
          <cell r="I411"/>
          <cell r="J411"/>
          <cell r="K411"/>
          <cell r="L411"/>
          <cell r="M411"/>
          <cell r="N411"/>
          <cell r="O411"/>
          <cell r="P411"/>
          <cell r="Q411"/>
          <cell r="R411"/>
          <cell r="S411"/>
          <cell r="T411"/>
          <cell r="U411"/>
          <cell r="V411"/>
          <cell r="W411"/>
          <cell r="X411"/>
          <cell r="Y411"/>
          <cell r="Z411"/>
          <cell r="AA411"/>
          <cell r="AB411"/>
          <cell r="AC411"/>
          <cell r="AD411"/>
          <cell r="AE411"/>
        </row>
        <row r="412">
          <cell r="G412"/>
          <cell r="H412"/>
          <cell r="I412"/>
          <cell r="J412"/>
          <cell r="K412"/>
          <cell r="L412"/>
          <cell r="M412"/>
          <cell r="N412"/>
          <cell r="O412"/>
          <cell r="P412"/>
          <cell r="Q412"/>
          <cell r="R412"/>
          <cell r="S412"/>
          <cell r="T412"/>
          <cell r="U412"/>
          <cell r="V412"/>
          <cell r="W412"/>
          <cell r="X412"/>
          <cell r="Y412"/>
          <cell r="Z412"/>
          <cell r="AA412"/>
          <cell r="AB412"/>
          <cell r="AC412"/>
          <cell r="AD412"/>
          <cell r="AE412"/>
        </row>
        <row r="413">
          <cell r="G413"/>
          <cell r="H413"/>
          <cell r="I413"/>
          <cell r="J413"/>
          <cell r="K413"/>
          <cell r="L413"/>
          <cell r="M413"/>
          <cell r="N413"/>
          <cell r="O413"/>
          <cell r="P413"/>
          <cell r="Q413"/>
          <cell r="R413"/>
          <cell r="S413"/>
          <cell r="T413"/>
          <cell r="U413"/>
          <cell r="V413"/>
          <cell r="W413"/>
          <cell r="X413"/>
          <cell r="Y413"/>
          <cell r="Z413"/>
          <cell r="AA413"/>
          <cell r="AB413"/>
          <cell r="AC413"/>
          <cell r="AD413"/>
          <cell r="AE413"/>
        </row>
        <row r="414">
          <cell r="G414"/>
          <cell r="H414"/>
          <cell r="I414"/>
          <cell r="J414"/>
          <cell r="K414"/>
          <cell r="L414"/>
          <cell r="M414"/>
          <cell r="N414"/>
          <cell r="O414"/>
          <cell r="P414"/>
          <cell r="Q414"/>
          <cell r="R414"/>
          <cell r="S414"/>
          <cell r="T414"/>
          <cell r="U414"/>
          <cell r="V414"/>
          <cell r="W414"/>
          <cell r="X414"/>
          <cell r="Y414"/>
          <cell r="Z414"/>
          <cell r="AA414"/>
          <cell r="AB414"/>
          <cell r="AC414"/>
          <cell r="AD414"/>
          <cell r="AE414"/>
        </row>
        <row r="415">
          <cell r="G415"/>
          <cell r="H415"/>
          <cell r="I415"/>
          <cell r="J415"/>
          <cell r="K415"/>
          <cell r="L415"/>
          <cell r="M415"/>
          <cell r="N415"/>
          <cell r="O415"/>
          <cell r="P415"/>
          <cell r="Q415"/>
          <cell r="R415"/>
          <cell r="S415"/>
          <cell r="T415"/>
          <cell r="U415"/>
          <cell r="V415"/>
          <cell r="W415"/>
          <cell r="X415"/>
          <cell r="Y415"/>
          <cell r="Z415"/>
          <cell r="AA415"/>
          <cell r="AB415"/>
          <cell r="AC415"/>
          <cell r="AD415"/>
          <cell r="AE415"/>
        </row>
        <row r="416">
          <cell r="G416"/>
          <cell r="H416"/>
          <cell r="I416"/>
          <cell r="J416"/>
          <cell r="K416"/>
          <cell r="L416"/>
          <cell r="M416"/>
          <cell r="N416"/>
          <cell r="O416"/>
          <cell r="P416"/>
          <cell r="Q416"/>
          <cell r="R416"/>
          <cell r="S416"/>
          <cell r="T416"/>
          <cell r="U416"/>
          <cell r="V416"/>
          <cell r="W416"/>
          <cell r="X416"/>
          <cell r="Y416"/>
          <cell r="Z416"/>
          <cell r="AA416"/>
          <cell r="AB416"/>
          <cell r="AC416"/>
          <cell r="AD416"/>
          <cell r="AE416"/>
        </row>
        <row r="417">
          <cell r="G417"/>
          <cell r="H417"/>
          <cell r="I417"/>
          <cell r="J417"/>
          <cell r="K417"/>
          <cell r="L417"/>
          <cell r="M417"/>
          <cell r="N417"/>
          <cell r="O417"/>
          <cell r="P417"/>
          <cell r="Q417"/>
          <cell r="R417"/>
          <cell r="S417"/>
          <cell r="T417"/>
          <cell r="U417"/>
          <cell r="V417"/>
          <cell r="W417"/>
          <cell r="X417"/>
          <cell r="Y417"/>
          <cell r="Z417"/>
          <cell r="AA417"/>
          <cell r="AB417"/>
          <cell r="AC417"/>
          <cell r="AD417"/>
          <cell r="AE417"/>
        </row>
        <row r="418">
          <cell r="G418"/>
          <cell r="H418"/>
          <cell r="I418"/>
          <cell r="J418"/>
          <cell r="K418"/>
          <cell r="L418"/>
          <cell r="M418"/>
          <cell r="N418"/>
          <cell r="O418"/>
          <cell r="P418"/>
          <cell r="Q418"/>
          <cell r="R418"/>
          <cell r="S418"/>
          <cell r="T418"/>
          <cell r="U418"/>
          <cell r="V418"/>
          <cell r="W418"/>
          <cell r="X418"/>
          <cell r="Y418"/>
          <cell r="Z418"/>
          <cell r="AA418"/>
          <cell r="AB418"/>
          <cell r="AC418"/>
          <cell r="AD418"/>
          <cell r="AE418"/>
        </row>
        <row r="419">
          <cell r="G419"/>
          <cell r="H419"/>
          <cell r="I419"/>
          <cell r="J419"/>
          <cell r="K419"/>
          <cell r="L419"/>
          <cell r="M419"/>
          <cell r="N419"/>
          <cell r="O419"/>
          <cell r="P419"/>
          <cell r="Q419"/>
          <cell r="R419"/>
          <cell r="S419"/>
          <cell r="T419"/>
          <cell r="U419"/>
          <cell r="V419"/>
          <cell r="W419"/>
          <cell r="X419"/>
          <cell r="Y419"/>
          <cell r="Z419"/>
          <cell r="AA419"/>
          <cell r="AB419"/>
          <cell r="AC419"/>
          <cell r="AD419"/>
          <cell r="AE419"/>
        </row>
        <row r="420">
          <cell r="G420"/>
          <cell r="H420"/>
          <cell r="I420"/>
          <cell r="J420"/>
          <cell r="K420"/>
          <cell r="L420"/>
          <cell r="M420"/>
          <cell r="N420"/>
          <cell r="O420"/>
          <cell r="P420"/>
          <cell r="Q420"/>
          <cell r="R420"/>
          <cell r="S420"/>
          <cell r="T420"/>
          <cell r="U420"/>
          <cell r="V420"/>
          <cell r="W420"/>
          <cell r="X420"/>
          <cell r="Y420"/>
          <cell r="Z420"/>
          <cell r="AA420"/>
          <cell r="AB420"/>
          <cell r="AC420"/>
          <cell r="AD420"/>
          <cell r="AE420"/>
        </row>
        <row r="421">
          <cell r="G421"/>
          <cell r="H421"/>
          <cell r="I421"/>
          <cell r="J421"/>
          <cell r="K421"/>
          <cell r="L421"/>
          <cell r="M421"/>
          <cell r="N421"/>
          <cell r="O421"/>
          <cell r="P421"/>
          <cell r="Q421"/>
          <cell r="R421"/>
          <cell r="S421"/>
          <cell r="T421"/>
          <cell r="U421"/>
          <cell r="V421"/>
          <cell r="W421"/>
          <cell r="X421"/>
          <cell r="Y421"/>
          <cell r="Z421"/>
          <cell r="AA421"/>
          <cell r="AB421"/>
          <cell r="AC421"/>
          <cell r="AD421"/>
          <cell r="AE421"/>
        </row>
        <row r="422">
          <cell r="G422"/>
          <cell r="H422"/>
          <cell r="I422"/>
          <cell r="J422"/>
          <cell r="K422"/>
          <cell r="L422"/>
          <cell r="M422"/>
          <cell r="N422"/>
          <cell r="O422"/>
          <cell r="P422"/>
          <cell r="Q422"/>
          <cell r="R422"/>
          <cell r="S422"/>
          <cell r="T422"/>
          <cell r="U422"/>
          <cell r="V422"/>
          <cell r="W422"/>
          <cell r="X422"/>
          <cell r="Y422"/>
          <cell r="Z422"/>
          <cell r="AA422"/>
          <cell r="AB422"/>
          <cell r="AC422"/>
          <cell r="AD422"/>
          <cell r="AE422"/>
        </row>
        <row r="423">
          <cell r="G423"/>
          <cell r="H423"/>
          <cell r="I423"/>
          <cell r="J423"/>
          <cell r="K423"/>
          <cell r="L423"/>
          <cell r="M423"/>
          <cell r="N423"/>
          <cell r="O423"/>
          <cell r="P423"/>
          <cell r="Q423"/>
          <cell r="R423"/>
          <cell r="S423"/>
          <cell r="T423"/>
          <cell r="U423"/>
          <cell r="V423"/>
          <cell r="W423"/>
          <cell r="X423"/>
          <cell r="Y423"/>
          <cell r="Z423"/>
          <cell r="AA423"/>
          <cell r="AB423"/>
          <cell r="AC423"/>
          <cell r="AD423"/>
          <cell r="AE423"/>
        </row>
        <row r="424">
          <cell r="G424"/>
          <cell r="H424"/>
          <cell r="I424"/>
          <cell r="J424"/>
          <cell r="K424"/>
          <cell r="L424"/>
          <cell r="M424"/>
          <cell r="N424"/>
          <cell r="O424"/>
          <cell r="P424"/>
          <cell r="Q424"/>
          <cell r="R424"/>
          <cell r="S424"/>
          <cell r="T424"/>
          <cell r="U424"/>
          <cell r="V424"/>
          <cell r="W424"/>
          <cell r="X424"/>
          <cell r="Y424"/>
          <cell r="Z424"/>
          <cell r="AA424"/>
          <cell r="AB424"/>
          <cell r="AC424"/>
          <cell r="AD424"/>
          <cell r="AE424"/>
        </row>
        <row r="425">
          <cell r="G425"/>
          <cell r="H425"/>
          <cell r="I425"/>
          <cell r="J425"/>
          <cell r="K425"/>
          <cell r="L425"/>
          <cell r="M425"/>
          <cell r="N425"/>
          <cell r="O425"/>
          <cell r="P425"/>
          <cell r="Q425"/>
          <cell r="R425"/>
          <cell r="S425"/>
          <cell r="T425"/>
          <cell r="U425"/>
          <cell r="V425"/>
          <cell r="W425"/>
          <cell r="X425"/>
          <cell r="Y425"/>
          <cell r="Z425"/>
          <cell r="AA425"/>
          <cell r="AB425"/>
          <cell r="AC425"/>
          <cell r="AD425"/>
          <cell r="AE425"/>
        </row>
        <row r="426">
          <cell r="G426"/>
          <cell r="H426"/>
          <cell r="I426"/>
          <cell r="J426"/>
          <cell r="K426"/>
          <cell r="L426"/>
          <cell r="M426"/>
          <cell r="N426"/>
          <cell r="O426"/>
          <cell r="P426"/>
          <cell r="Q426"/>
          <cell r="R426"/>
          <cell r="S426"/>
          <cell r="T426"/>
          <cell r="U426"/>
          <cell r="V426"/>
          <cell r="W426"/>
          <cell r="X426"/>
          <cell r="Y426"/>
          <cell r="Z426"/>
          <cell r="AA426"/>
          <cell r="AB426"/>
          <cell r="AC426"/>
          <cell r="AD426"/>
          <cell r="AE426"/>
        </row>
        <row r="427">
          <cell r="G427"/>
          <cell r="H427"/>
          <cell r="I427"/>
          <cell r="J427"/>
          <cell r="K427"/>
          <cell r="L427"/>
          <cell r="M427"/>
          <cell r="N427"/>
          <cell r="O427"/>
          <cell r="P427"/>
          <cell r="Q427"/>
          <cell r="R427"/>
          <cell r="S427"/>
          <cell r="T427"/>
          <cell r="U427"/>
          <cell r="V427"/>
          <cell r="W427"/>
          <cell r="X427"/>
          <cell r="Y427"/>
          <cell r="Z427"/>
          <cell r="AA427"/>
          <cell r="AB427"/>
          <cell r="AC427"/>
          <cell r="AD427"/>
          <cell r="AE427"/>
        </row>
        <row r="428">
          <cell r="G428"/>
          <cell r="H428"/>
          <cell r="I428"/>
          <cell r="J428"/>
          <cell r="K428"/>
          <cell r="L428"/>
          <cell r="M428"/>
          <cell r="N428"/>
          <cell r="O428"/>
          <cell r="P428"/>
          <cell r="Q428"/>
          <cell r="R428"/>
          <cell r="S428"/>
          <cell r="T428"/>
          <cell r="U428"/>
          <cell r="V428"/>
          <cell r="W428"/>
          <cell r="X428"/>
          <cell r="Y428"/>
          <cell r="Z428"/>
          <cell r="AA428"/>
          <cell r="AB428"/>
          <cell r="AC428"/>
          <cell r="AD428"/>
          <cell r="AE428"/>
        </row>
        <row r="429">
          <cell r="G429"/>
          <cell r="H429"/>
          <cell r="I429"/>
          <cell r="J429"/>
          <cell r="K429"/>
          <cell r="L429"/>
          <cell r="M429"/>
          <cell r="N429"/>
          <cell r="O429"/>
          <cell r="P429"/>
          <cell r="Q429"/>
          <cell r="R429"/>
          <cell r="S429"/>
          <cell r="T429"/>
          <cell r="U429"/>
          <cell r="V429"/>
          <cell r="W429"/>
          <cell r="X429"/>
          <cell r="Y429"/>
          <cell r="Z429"/>
          <cell r="AA429"/>
          <cell r="AB429"/>
          <cell r="AC429"/>
          <cell r="AD429"/>
          <cell r="AE429"/>
        </row>
        <row r="430">
          <cell r="G430"/>
          <cell r="H430"/>
          <cell r="I430"/>
          <cell r="J430"/>
          <cell r="K430"/>
          <cell r="L430"/>
          <cell r="M430"/>
          <cell r="N430"/>
          <cell r="O430"/>
          <cell r="P430"/>
          <cell r="Q430"/>
          <cell r="R430"/>
          <cell r="S430"/>
          <cell r="T430"/>
          <cell r="U430"/>
          <cell r="V430"/>
          <cell r="W430"/>
          <cell r="X430"/>
          <cell r="Y430"/>
          <cell r="Z430"/>
          <cell r="AA430"/>
          <cell r="AB430"/>
          <cell r="AC430"/>
          <cell r="AD430"/>
          <cell r="AE430"/>
        </row>
        <row r="431">
          <cell r="G431"/>
          <cell r="H431"/>
          <cell r="I431"/>
          <cell r="J431"/>
          <cell r="K431"/>
          <cell r="L431"/>
          <cell r="M431"/>
          <cell r="N431"/>
          <cell r="O431"/>
          <cell r="P431"/>
          <cell r="Q431"/>
          <cell r="R431"/>
          <cell r="S431"/>
          <cell r="T431"/>
          <cell r="U431"/>
          <cell r="V431"/>
          <cell r="W431"/>
          <cell r="X431"/>
          <cell r="Y431"/>
          <cell r="Z431"/>
          <cell r="AA431"/>
          <cell r="AB431"/>
          <cell r="AC431"/>
          <cell r="AD431"/>
          <cell r="AE431"/>
        </row>
        <row r="432">
          <cell r="G432"/>
          <cell r="H432"/>
          <cell r="I432"/>
          <cell r="J432"/>
          <cell r="K432"/>
          <cell r="L432"/>
          <cell r="M432"/>
          <cell r="N432"/>
          <cell r="O432"/>
          <cell r="P432"/>
          <cell r="Q432"/>
          <cell r="R432"/>
          <cell r="S432"/>
          <cell r="T432"/>
          <cell r="U432"/>
          <cell r="V432"/>
          <cell r="W432"/>
          <cell r="X432"/>
          <cell r="Y432"/>
          <cell r="Z432"/>
          <cell r="AA432"/>
          <cell r="AB432"/>
          <cell r="AC432"/>
          <cell r="AD432"/>
          <cell r="AE432"/>
        </row>
        <row r="433">
          <cell r="G433"/>
          <cell r="H433"/>
          <cell r="I433"/>
          <cell r="J433"/>
          <cell r="K433"/>
          <cell r="L433"/>
          <cell r="M433"/>
          <cell r="N433"/>
          <cell r="O433"/>
          <cell r="P433"/>
          <cell r="Q433"/>
          <cell r="R433"/>
          <cell r="S433"/>
          <cell r="T433"/>
          <cell r="U433"/>
          <cell r="V433"/>
          <cell r="W433"/>
          <cell r="X433"/>
          <cell r="Y433"/>
          <cell r="Z433"/>
          <cell r="AA433"/>
          <cell r="AB433"/>
          <cell r="AC433"/>
          <cell r="AD433"/>
          <cell r="AE433"/>
        </row>
        <row r="434">
          <cell r="G434"/>
          <cell r="H434"/>
          <cell r="I434"/>
          <cell r="J434"/>
          <cell r="K434"/>
          <cell r="L434"/>
          <cell r="M434"/>
          <cell r="N434"/>
          <cell r="O434"/>
          <cell r="P434"/>
          <cell r="Q434"/>
          <cell r="R434"/>
          <cell r="S434"/>
          <cell r="T434"/>
          <cell r="U434"/>
          <cell r="V434"/>
          <cell r="W434"/>
          <cell r="X434"/>
          <cell r="Y434"/>
          <cell r="Z434"/>
          <cell r="AA434"/>
          <cell r="AB434"/>
          <cell r="AC434"/>
          <cell r="AD434"/>
          <cell r="AE434"/>
        </row>
        <row r="435">
          <cell r="G435"/>
          <cell r="H435"/>
          <cell r="I435"/>
          <cell r="J435"/>
          <cell r="K435"/>
          <cell r="L435"/>
          <cell r="M435"/>
          <cell r="N435"/>
          <cell r="O435"/>
          <cell r="P435"/>
          <cell r="Q435"/>
          <cell r="R435"/>
          <cell r="S435"/>
          <cell r="T435"/>
          <cell r="U435"/>
          <cell r="V435"/>
          <cell r="W435"/>
          <cell r="X435"/>
          <cell r="Y435"/>
          <cell r="Z435"/>
          <cell r="AA435"/>
          <cell r="AB435"/>
          <cell r="AC435"/>
          <cell r="AD435"/>
          <cell r="AE435"/>
        </row>
        <row r="436">
          <cell r="G436"/>
          <cell r="H436"/>
          <cell r="I436"/>
          <cell r="J436"/>
          <cell r="K436"/>
          <cell r="L436"/>
          <cell r="M436"/>
          <cell r="N436"/>
          <cell r="O436"/>
          <cell r="P436"/>
          <cell r="Q436"/>
          <cell r="R436"/>
          <cell r="S436"/>
          <cell r="T436"/>
          <cell r="U436"/>
          <cell r="V436"/>
          <cell r="W436"/>
          <cell r="X436"/>
          <cell r="Y436"/>
          <cell r="Z436"/>
          <cell r="AA436"/>
          <cell r="AB436"/>
          <cell r="AC436"/>
          <cell r="AD436"/>
          <cell r="AE436"/>
        </row>
        <row r="437">
          <cell r="G437"/>
          <cell r="H437"/>
          <cell r="I437"/>
          <cell r="J437"/>
          <cell r="K437"/>
          <cell r="L437"/>
          <cell r="M437"/>
          <cell r="N437"/>
          <cell r="O437"/>
          <cell r="P437"/>
          <cell r="Q437"/>
          <cell r="R437"/>
          <cell r="S437"/>
          <cell r="T437"/>
          <cell r="U437"/>
          <cell r="V437"/>
          <cell r="W437"/>
          <cell r="X437"/>
          <cell r="Y437"/>
          <cell r="Z437"/>
          <cell r="AA437"/>
          <cell r="AB437"/>
          <cell r="AC437"/>
          <cell r="AD437"/>
          <cell r="AE437"/>
        </row>
        <row r="438">
          <cell r="G438"/>
          <cell r="H438"/>
          <cell r="I438"/>
          <cell r="J438"/>
          <cell r="K438"/>
          <cell r="L438"/>
          <cell r="M438"/>
          <cell r="N438"/>
          <cell r="O438"/>
          <cell r="P438"/>
          <cell r="Q438"/>
          <cell r="R438"/>
          <cell r="S438"/>
          <cell r="T438"/>
          <cell r="U438"/>
          <cell r="V438"/>
          <cell r="W438"/>
          <cell r="X438"/>
          <cell r="Y438"/>
          <cell r="Z438"/>
          <cell r="AA438"/>
          <cell r="AB438"/>
          <cell r="AC438"/>
          <cell r="AD438"/>
          <cell r="AE438"/>
        </row>
        <row r="439">
          <cell r="G439"/>
          <cell r="H439"/>
          <cell r="I439"/>
          <cell r="J439"/>
          <cell r="K439"/>
          <cell r="L439"/>
          <cell r="M439"/>
          <cell r="N439"/>
          <cell r="O439"/>
          <cell r="P439"/>
          <cell r="Q439"/>
          <cell r="R439"/>
          <cell r="S439"/>
          <cell r="T439"/>
          <cell r="U439"/>
          <cell r="V439"/>
          <cell r="W439"/>
          <cell r="X439"/>
          <cell r="Y439"/>
          <cell r="Z439"/>
          <cell r="AA439"/>
          <cell r="AB439"/>
          <cell r="AC439"/>
          <cell r="AD439"/>
          <cell r="AE439"/>
        </row>
        <row r="440">
          <cell r="G440"/>
          <cell r="H440"/>
          <cell r="I440"/>
          <cell r="J440"/>
          <cell r="K440"/>
          <cell r="L440"/>
          <cell r="M440"/>
          <cell r="N440"/>
          <cell r="O440"/>
          <cell r="P440"/>
          <cell r="Q440"/>
          <cell r="R440"/>
          <cell r="S440"/>
          <cell r="T440"/>
          <cell r="U440"/>
          <cell r="V440"/>
          <cell r="W440"/>
          <cell r="X440"/>
          <cell r="Y440"/>
          <cell r="Z440"/>
          <cell r="AA440"/>
          <cell r="AB440"/>
          <cell r="AC440"/>
          <cell r="AD440"/>
          <cell r="AE440"/>
        </row>
        <row r="441">
          <cell r="G441"/>
          <cell r="H441"/>
          <cell r="I441"/>
          <cell r="J441"/>
          <cell r="K441"/>
          <cell r="L441"/>
          <cell r="M441"/>
          <cell r="N441"/>
          <cell r="O441"/>
          <cell r="P441"/>
          <cell r="Q441"/>
          <cell r="R441"/>
          <cell r="S441"/>
          <cell r="T441"/>
          <cell r="U441"/>
          <cell r="V441"/>
          <cell r="W441"/>
          <cell r="X441"/>
          <cell r="Y441"/>
          <cell r="Z441"/>
          <cell r="AA441"/>
          <cell r="AB441"/>
          <cell r="AC441"/>
          <cell r="AD441"/>
          <cell r="AE441"/>
        </row>
        <row r="442">
          <cell r="G442"/>
          <cell r="H442"/>
          <cell r="I442"/>
          <cell r="J442"/>
          <cell r="K442"/>
          <cell r="L442"/>
          <cell r="M442"/>
          <cell r="N442"/>
          <cell r="O442"/>
          <cell r="P442"/>
          <cell r="Q442"/>
          <cell r="R442"/>
          <cell r="S442"/>
          <cell r="T442"/>
          <cell r="U442"/>
          <cell r="V442"/>
          <cell r="W442"/>
          <cell r="X442"/>
          <cell r="Y442"/>
          <cell r="Z442"/>
          <cell r="AA442"/>
          <cell r="AB442"/>
          <cell r="AC442"/>
          <cell r="AD442"/>
          <cell r="AE442"/>
        </row>
        <row r="443">
          <cell r="G443"/>
          <cell r="H443"/>
          <cell r="I443"/>
          <cell r="J443"/>
          <cell r="K443"/>
          <cell r="L443"/>
          <cell r="M443"/>
          <cell r="N443"/>
          <cell r="O443"/>
          <cell r="P443"/>
          <cell r="Q443"/>
          <cell r="R443"/>
          <cell r="S443"/>
          <cell r="T443"/>
          <cell r="U443"/>
          <cell r="V443"/>
          <cell r="W443"/>
          <cell r="X443"/>
          <cell r="Y443"/>
          <cell r="Z443"/>
          <cell r="AA443"/>
          <cell r="AB443"/>
          <cell r="AC443"/>
          <cell r="AD443"/>
          <cell r="AE443"/>
        </row>
        <row r="444">
          <cell r="G444"/>
          <cell r="H444"/>
          <cell r="I444"/>
          <cell r="J444"/>
          <cell r="K444"/>
          <cell r="L444"/>
          <cell r="M444"/>
          <cell r="N444"/>
          <cell r="O444"/>
          <cell r="P444"/>
          <cell r="Q444"/>
          <cell r="R444"/>
          <cell r="S444"/>
          <cell r="T444"/>
          <cell r="U444"/>
          <cell r="V444"/>
          <cell r="W444"/>
          <cell r="X444"/>
          <cell r="Y444"/>
          <cell r="Z444"/>
          <cell r="AA444"/>
          <cell r="AB444"/>
          <cell r="AC444"/>
          <cell r="AD444"/>
          <cell r="AE444"/>
        </row>
        <row r="445">
          <cell r="G445"/>
          <cell r="H445"/>
          <cell r="I445"/>
          <cell r="J445"/>
          <cell r="K445"/>
          <cell r="L445"/>
          <cell r="M445"/>
          <cell r="N445"/>
          <cell r="O445"/>
          <cell r="P445"/>
          <cell r="Q445"/>
          <cell r="R445"/>
          <cell r="S445"/>
          <cell r="T445"/>
          <cell r="U445"/>
          <cell r="V445"/>
          <cell r="W445"/>
          <cell r="X445"/>
          <cell r="Y445"/>
          <cell r="Z445"/>
          <cell r="AA445"/>
          <cell r="AB445"/>
          <cell r="AC445"/>
          <cell r="AD445"/>
          <cell r="AE445"/>
        </row>
        <row r="446">
          <cell r="G446"/>
          <cell r="H446"/>
          <cell r="I446"/>
          <cell r="J446"/>
          <cell r="K446"/>
          <cell r="L446"/>
          <cell r="M446"/>
          <cell r="N446"/>
          <cell r="O446"/>
          <cell r="P446"/>
          <cell r="Q446"/>
          <cell r="R446"/>
          <cell r="S446"/>
          <cell r="T446"/>
          <cell r="U446"/>
          <cell r="V446"/>
          <cell r="W446"/>
          <cell r="X446"/>
          <cell r="Y446"/>
          <cell r="Z446"/>
          <cell r="AA446"/>
          <cell r="AB446"/>
          <cell r="AC446"/>
          <cell r="AD446"/>
          <cell r="AE446"/>
        </row>
        <row r="447">
          <cell r="G447"/>
          <cell r="H447"/>
          <cell r="I447"/>
          <cell r="J447"/>
          <cell r="K447"/>
          <cell r="L447"/>
          <cell r="M447"/>
          <cell r="N447"/>
          <cell r="O447"/>
          <cell r="P447"/>
          <cell r="Q447"/>
          <cell r="R447"/>
          <cell r="S447"/>
          <cell r="T447"/>
          <cell r="U447"/>
          <cell r="V447"/>
          <cell r="W447"/>
          <cell r="X447"/>
          <cell r="Y447"/>
          <cell r="Z447"/>
          <cell r="AA447"/>
          <cell r="AB447"/>
          <cell r="AC447"/>
          <cell r="AD447"/>
          <cell r="AE447"/>
        </row>
        <row r="448">
          <cell r="G448"/>
          <cell r="H448"/>
          <cell r="I448"/>
          <cell r="J448"/>
          <cell r="K448"/>
          <cell r="L448"/>
          <cell r="M448"/>
          <cell r="N448"/>
          <cell r="O448"/>
          <cell r="P448"/>
          <cell r="Q448"/>
          <cell r="R448"/>
          <cell r="S448"/>
          <cell r="T448"/>
          <cell r="U448"/>
          <cell r="V448"/>
          <cell r="W448"/>
          <cell r="X448"/>
          <cell r="Y448"/>
          <cell r="Z448"/>
          <cell r="AA448"/>
          <cell r="AB448"/>
          <cell r="AC448"/>
          <cell r="AD448"/>
          <cell r="AE448"/>
        </row>
        <row r="449">
          <cell r="G449"/>
          <cell r="H449"/>
          <cell r="I449"/>
          <cell r="J449"/>
          <cell r="K449"/>
          <cell r="L449"/>
          <cell r="M449"/>
          <cell r="N449"/>
          <cell r="O449"/>
          <cell r="P449"/>
          <cell r="Q449"/>
          <cell r="R449"/>
          <cell r="S449"/>
          <cell r="T449"/>
          <cell r="U449"/>
          <cell r="V449"/>
          <cell r="W449"/>
          <cell r="X449"/>
          <cell r="Y449"/>
          <cell r="Z449"/>
          <cell r="AA449"/>
          <cell r="AB449"/>
          <cell r="AC449"/>
          <cell r="AD449"/>
          <cell r="AE449"/>
        </row>
        <row r="450">
          <cell r="G450"/>
          <cell r="H450"/>
          <cell r="I450"/>
          <cell r="J450"/>
          <cell r="K450"/>
          <cell r="L450"/>
          <cell r="M450"/>
          <cell r="N450"/>
          <cell r="O450"/>
          <cell r="P450"/>
          <cell r="Q450"/>
          <cell r="R450"/>
          <cell r="S450"/>
          <cell r="T450"/>
          <cell r="U450"/>
          <cell r="V450"/>
          <cell r="W450"/>
          <cell r="X450"/>
          <cell r="Y450"/>
          <cell r="Z450"/>
          <cell r="AA450"/>
          <cell r="AB450"/>
          <cell r="AC450"/>
          <cell r="AD450"/>
          <cell r="AE450"/>
        </row>
        <row r="451">
          <cell r="G451"/>
          <cell r="H451"/>
          <cell r="I451"/>
          <cell r="J451"/>
          <cell r="K451"/>
          <cell r="L451"/>
          <cell r="M451"/>
          <cell r="N451"/>
          <cell r="O451"/>
          <cell r="P451"/>
          <cell r="Q451"/>
          <cell r="R451"/>
          <cell r="S451"/>
          <cell r="T451"/>
          <cell r="U451"/>
          <cell r="V451"/>
          <cell r="W451"/>
          <cell r="X451"/>
          <cell r="Y451"/>
          <cell r="Z451"/>
          <cell r="AA451"/>
          <cell r="AB451"/>
          <cell r="AC451"/>
          <cell r="AD451"/>
          <cell r="AE451"/>
        </row>
        <row r="452">
          <cell r="G452"/>
          <cell r="H452"/>
          <cell r="I452"/>
          <cell r="J452"/>
          <cell r="K452"/>
          <cell r="L452"/>
          <cell r="M452"/>
          <cell r="N452"/>
          <cell r="O452"/>
          <cell r="P452"/>
          <cell r="Q452"/>
          <cell r="R452"/>
          <cell r="S452"/>
          <cell r="T452"/>
          <cell r="U452"/>
          <cell r="V452"/>
          <cell r="W452"/>
          <cell r="X452"/>
          <cell r="Y452"/>
          <cell r="Z452"/>
          <cell r="AA452"/>
          <cell r="AB452"/>
          <cell r="AC452"/>
          <cell r="AD452"/>
          <cell r="AE452"/>
        </row>
        <row r="453">
          <cell r="G453"/>
          <cell r="H453"/>
          <cell r="I453"/>
          <cell r="J453"/>
          <cell r="K453"/>
          <cell r="L453"/>
          <cell r="M453"/>
          <cell r="N453"/>
          <cell r="O453"/>
          <cell r="P453"/>
          <cell r="Q453"/>
          <cell r="R453"/>
          <cell r="S453"/>
          <cell r="T453"/>
          <cell r="U453"/>
          <cell r="V453"/>
          <cell r="W453"/>
          <cell r="X453"/>
          <cell r="Y453"/>
          <cell r="Z453"/>
          <cell r="AA453"/>
          <cell r="AB453"/>
          <cell r="AC453"/>
          <cell r="AD453"/>
          <cell r="AE453"/>
        </row>
        <row r="454">
          <cell r="G454"/>
          <cell r="H454"/>
          <cell r="I454"/>
          <cell r="J454"/>
          <cell r="K454"/>
          <cell r="L454"/>
          <cell r="M454"/>
          <cell r="N454"/>
          <cell r="O454"/>
          <cell r="P454"/>
          <cell r="Q454"/>
          <cell r="R454"/>
          <cell r="S454"/>
          <cell r="T454"/>
          <cell r="U454"/>
          <cell r="V454"/>
          <cell r="W454"/>
          <cell r="X454"/>
          <cell r="Y454"/>
          <cell r="Z454"/>
          <cell r="AA454"/>
          <cell r="AB454"/>
          <cell r="AC454"/>
          <cell r="AD454"/>
          <cell r="AE454"/>
        </row>
        <row r="455">
          <cell r="G455"/>
          <cell r="H455"/>
          <cell r="I455"/>
          <cell r="J455"/>
          <cell r="K455"/>
          <cell r="L455"/>
          <cell r="M455"/>
          <cell r="N455"/>
          <cell r="O455"/>
          <cell r="P455"/>
          <cell r="Q455"/>
          <cell r="R455"/>
          <cell r="S455"/>
          <cell r="T455"/>
          <cell r="U455"/>
          <cell r="V455"/>
          <cell r="W455"/>
          <cell r="X455"/>
          <cell r="Y455"/>
          <cell r="Z455"/>
          <cell r="AA455"/>
          <cell r="AB455"/>
          <cell r="AC455"/>
          <cell r="AD455"/>
          <cell r="AE455"/>
        </row>
        <row r="456">
          <cell r="G456"/>
          <cell r="H456"/>
          <cell r="I456"/>
          <cell r="J456"/>
          <cell r="K456"/>
          <cell r="L456"/>
          <cell r="M456"/>
          <cell r="N456"/>
          <cell r="O456"/>
          <cell r="P456"/>
          <cell r="Q456"/>
          <cell r="R456"/>
          <cell r="S456"/>
          <cell r="T456"/>
          <cell r="U456"/>
          <cell r="V456"/>
          <cell r="W456"/>
          <cell r="X456"/>
          <cell r="Y456"/>
          <cell r="Z456"/>
          <cell r="AA456"/>
          <cell r="AB456"/>
          <cell r="AC456"/>
          <cell r="AD456"/>
          <cell r="AE456"/>
        </row>
        <row r="457">
          <cell r="G457"/>
          <cell r="H457"/>
          <cell r="I457"/>
          <cell r="J457"/>
          <cell r="K457"/>
          <cell r="L457"/>
          <cell r="M457"/>
          <cell r="N457"/>
          <cell r="O457"/>
          <cell r="P457"/>
          <cell r="Q457"/>
          <cell r="R457"/>
          <cell r="S457"/>
          <cell r="T457"/>
          <cell r="U457"/>
          <cell r="V457"/>
          <cell r="W457"/>
          <cell r="X457"/>
          <cell r="Y457"/>
          <cell r="Z457"/>
          <cell r="AA457"/>
          <cell r="AB457"/>
          <cell r="AC457"/>
          <cell r="AD457"/>
          <cell r="AE457"/>
        </row>
        <row r="458">
          <cell r="G458"/>
          <cell r="H458"/>
          <cell r="I458"/>
          <cell r="J458"/>
          <cell r="K458"/>
          <cell r="L458"/>
          <cell r="M458"/>
          <cell r="N458"/>
          <cell r="O458"/>
          <cell r="P458"/>
          <cell r="Q458"/>
          <cell r="R458"/>
          <cell r="S458"/>
          <cell r="T458"/>
          <cell r="U458"/>
          <cell r="V458"/>
          <cell r="W458"/>
          <cell r="X458"/>
          <cell r="Y458"/>
          <cell r="Z458"/>
          <cell r="AA458"/>
          <cell r="AB458"/>
          <cell r="AC458"/>
          <cell r="AD458"/>
          <cell r="AE458"/>
        </row>
        <row r="459">
          <cell r="G459"/>
          <cell r="H459"/>
          <cell r="I459"/>
          <cell r="J459"/>
          <cell r="K459"/>
          <cell r="L459"/>
          <cell r="M459"/>
          <cell r="N459"/>
          <cell r="O459"/>
          <cell r="P459"/>
          <cell r="Q459"/>
          <cell r="R459"/>
          <cell r="S459"/>
          <cell r="T459"/>
          <cell r="U459"/>
          <cell r="V459"/>
          <cell r="W459"/>
          <cell r="X459"/>
          <cell r="Y459"/>
          <cell r="Z459"/>
          <cell r="AA459"/>
          <cell r="AB459"/>
          <cell r="AC459"/>
          <cell r="AD459"/>
          <cell r="AE459"/>
        </row>
        <row r="460">
          <cell r="G460"/>
          <cell r="H460"/>
          <cell r="I460"/>
          <cell r="J460"/>
          <cell r="K460"/>
          <cell r="L460"/>
          <cell r="M460"/>
          <cell r="N460"/>
          <cell r="O460"/>
          <cell r="P460"/>
          <cell r="Q460"/>
          <cell r="R460"/>
          <cell r="S460"/>
          <cell r="T460"/>
          <cell r="U460"/>
          <cell r="V460"/>
          <cell r="W460"/>
          <cell r="X460"/>
          <cell r="Y460"/>
          <cell r="Z460"/>
          <cell r="AA460"/>
          <cell r="AB460"/>
          <cell r="AC460"/>
          <cell r="AD460"/>
          <cell r="AE460"/>
        </row>
        <row r="461">
          <cell r="G461"/>
          <cell r="H461"/>
          <cell r="I461"/>
          <cell r="J461"/>
          <cell r="K461"/>
          <cell r="L461"/>
          <cell r="M461"/>
          <cell r="N461"/>
          <cell r="O461"/>
          <cell r="P461"/>
          <cell r="Q461"/>
          <cell r="R461"/>
          <cell r="S461"/>
          <cell r="T461"/>
          <cell r="U461"/>
          <cell r="V461"/>
          <cell r="W461"/>
          <cell r="X461"/>
          <cell r="Y461"/>
          <cell r="Z461"/>
          <cell r="AA461"/>
          <cell r="AB461"/>
          <cell r="AC461"/>
          <cell r="AD461"/>
          <cell r="AE461"/>
        </row>
        <row r="462">
          <cell r="G462"/>
          <cell r="H462"/>
          <cell r="I462"/>
          <cell r="J462"/>
          <cell r="K462"/>
          <cell r="L462"/>
          <cell r="M462"/>
          <cell r="N462"/>
          <cell r="O462"/>
          <cell r="P462"/>
          <cell r="Q462"/>
          <cell r="R462"/>
          <cell r="S462"/>
          <cell r="T462"/>
          <cell r="U462"/>
          <cell r="V462"/>
          <cell r="W462"/>
          <cell r="X462"/>
          <cell r="Y462"/>
          <cell r="Z462"/>
          <cell r="AA462"/>
          <cell r="AB462"/>
          <cell r="AC462"/>
          <cell r="AD462"/>
          <cell r="AE462"/>
        </row>
        <row r="463">
          <cell r="G463"/>
          <cell r="H463"/>
          <cell r="I463"/>
          <cell r="J463"/>
          <cell r="K463"/>
          <cell r="L463"/>
          <cell r="M463"/>
          <cell r="N463"/>
          <cell r="O463"/>
          <cell r="P463"/>
          <cell r="Q463"/>
          <cell r="R463"/>
          <cell r="S463"/>
          <cell r="T463"/>
          <cell r="U463"/>
          <cell r="V463"/>
          <cell r="W463"/>
          <cell r="X463"/>
          <cell r="Y463"/>
          <cell r="Z463"/>
          <cell r="AA463"/>
          <cell r="AB463"/>
          <cell r="AC463"/>
          <cell r="AD463"/>
          <cell r="AE463"/>
        </row>
        <row r="464">
          <cell r="G464"/>
          <cell r="H464"/>
          <cell r="I464"/>
          <cell r="J464"/>
          <cell r="K464"/>
          <cell r="L464"/>
          <cell r="M464"/>
          <cell r="N464"/>
          <cell r="O464"/>
          <cell r="P464"/>
          <cell r="Q464"/>
          <cell r="R464"/>
          <cell r="S464"/>
          <cell r="T464"/>
          <cell r="U464"/>
          <cell r="V464"/>
          <cell r="W464"/>
          <cell r="X464"/>
          <cell r="Y464"/>
          <cell r="Z464"/>
          <cell r="AA464"/>
          <cell r="AB464"/>
          <cell r="AC464"/>
          <cell r="AD464"/>
          <cell r="AE464"/>
        </row>
        <row r="465">
          <cell r="G465"/>
          <cell r="H465"/>
          <cell r="I465"/>
          <cell r="J465"/>
          <cell r="K465"/>
          <cell r="L465"/>
          <cell r="M465"/>
          <cell r="N465"/>
          <cell r="O465"/>
          <cell r="P465"/>
          <cell r="Q465"/>
          <cell r="R465"/>
          <cell r="S465"/>
          <cell r="T465"/>
          <cell r="U465"/>
          <cell r="V465"/>
          <cell r="W465"/>
          <cell r="X465"/>
          <cell r="Y465"/>
          <cell r="Z465"/>
          <cell r="AA465"/>
          <cell r="AB465"/>
          <cell r="AC465"/>
          <cell r="AD465"/>
          <cell r="AE465"/>
        </row>
        <row r="466">
          <cell r="G466"/>
          <cell r="H466"/>
          <cell r="I466"/>
          <cell r="J466"/>
          <cell r="K466"/>
          <cell r="L466"/>
          <cell r="M466"/>
          <cell r="N466"/>
          <cell r="O466"/>
          <cell r="P466"/>
          <cell r="Q466"/>
          <cell r="R466"/>
          <cell r="S466"/>
          <cell r="T466"/>
          <cell r="U466"/>
          <cell r="V466"/>
          <cell r="W466"/>
          <cell r="X466"/>
          <cell r="Y466"/>
          <cell r="Z466"/>
          <cell r="AA466"/>
          <cell r="AB466"/>
          <cell r="AC466"/>
          <cell r="AD466"/>
          <cell r="AE466"/>
        </row>
        <row r="467">
          <cell r="G467"/>
          <cell r="H467"/>
          <cell r="I467"/>
          <cell r="J467"/>
          <cell r="K467"/>
          <cell r="L467"/>
          <cell r="M467"/>
          <cell r="N467"/>
          <cell r="O467"/>
          <cell r="P467"/>
          <cell r="Q467"/>
          <cell r="R467"/>
          <cell r="S467"/>
          <cell r="T467"/>
          <cell r="U467"/>
          <cell r="V467"/>
          <cell r="W467"/>
          <cell r="X467"/>
          <cell r="Y467"/>
          <cell r="Z467"/>
          <cell r="AA467"/>
          <cell r="AB467"/>
          <cell r="AC467"/>
          <cell r="AD467"/>
          <cell r="AE467"/>
        </row>
        <row r="468">
          <cell r="G468"/>
          <cell r="H468"/>
          <cell r="I468"/>
          <cell r="J468"/>
          <cell r="K468"/>
          <cell r="L468"/>
          <cell r="M468"/>
          <cell r="N468"/>
          <cell r="O468"/>
          <cell r="P468"/>
          <cell r="Q468"/>
          <cell r="R468"/>
          <cell r="S468"/>
          <cell r="T468"/>
          <cell r="U468"/>
          <cell r="V468"/>
          <cell r="W468"/>
          <cell r="X468"/>
          <cell r="Y468"/>
          <cell r="Z468"/>
          <cell r="AA468"/>
          <cell r="AB468"/>
          <cell r="AC468"/>
          <cell r="AD468"/>
          <cell r="AE468"/>
        </row>
        <row r="469">
          <cell r="G469"/>
          <cell r="H469"/>
          <cell r="I469"/>
          <cell r="J469"/>
          <cell r="K469"/>
          <cell r="L469"/>
          <cell r="M469"/>
          <cell r="N469"/>
          <cell r="O469"/>
          <cell r="P469"/>
          <cell r="Q469"/>
          <cell r="R469"/>
          <cell r="S469"/>
          <cell r="T469"/>
          <cell r="U469"/>
          <cell r="V469"/>
          <cell r="W469"/>
          <cell r="X469"/>
          <cell r="Y469"/>
          <cell r="Z469"/>
          <cell r="AA469"/>
          <cell r="AB469"/>
          <cell r="AC469"/>
          <cell r="AD469"/>
          <cell r="AE469"/>
        </row>
        <row r="470">
          <cell r="G470"/>
          <cell r="H470"/>
          <cell r="I470"/>
          <cell r="J470"/>
          <cell r="K470"/>
          <cell r="L470"/>
          <cell r="M470"/>
          <cell r="N470"/>
          <cell r="O470"/>
          <cell r="P470"/>
          <cell r="Q470"/>
          <cell r="R470"/>
          <cell r="S470"/>
          <cell r="T470"/>
          <cell r="U470"/>
          <cell r="V470"/>
          <cell r="W470"/>
          <cell r="X470"/>
          <cell r="Y470"/>
          <cell r="Z470"/>
          <cell r="AA470"/>
          <cell r="AB470"/>
          <cell r="AC470"/>
          <cell r="AD470"/>
          <cell r="AE470"/>
        </row>
        <row r="471">
          <cell r="G471"/>
          <cell r="H471"/>
          <cell r="I471"/>
          <cell r="J471"/>
          <cell r="K471"/>
          <cell r="L471"/>
          <cell r="M471"/>
          <cell r="N471"/>
          <cell r="O471"/>
          <cell r="P471"/>
          <cell r="Q471"/>
          <cell r="R471"/>
          <cell r="S471"/>
          <cell r="T471"/>
          <cell r="U471"/>
          <cell r="V471"/>
          <cell r="W471"/>
          <cell r="X471"/>
          <cell r="Y471"/>
          <cell r="Z471"/>
          <cell r="AA471"/>
          <cell r="AB471"/>
          <cell r="AC471"/>
          <cell r="AD471"/>
          <cell r="AE471"/>
        </row>
        <row r="472">
          <cell r="G472"/>
          <cell r="H472"/>
          <cell r="I472"/>
          <cell r="J472"/>
          <cell r="K472"/>
          <cell r="L472"/>
          <cell r="M472"/>
          <cell r="N472"/>
          <cell r="O472"/>
          <cell r="P472"/>
          <cell r="Q472"/>
          <cell r="R472"/>
          <cell r="S472"/>
          <cell r="T472"/>
          <cell r="U472"/>
          <cell r="V472"/>
          <cell r="W472"/>
          <cell r="X472"/>
          <cell r="Y472"/>
          <cell r="Z472"/>
          <cell r="AA472"/>
          <cell r="AB472"/>
          <cell r="AC472"/>
          <cell r="AD472"/>
          <cell r="AE472"/>
        </row>
        <row r="473">
          <cell r="G473"/>
          <cell r="H473"/>
          <cell r="I473"/>
          <cell r="J473"/>
          <cell r="K473"/>
          <cell r="L473"/>
          <cell r="M473"/>
          <cell r="N473"/>
          <cell r="O473"/>
          <cell r="P473"/>
          <cell r="Q473"/>
          <cell r="R473"/>
          <cell r="S473"/>
          <cell r="T473"/>
          <cell r="U473"/>
          <cell r="V473"/>
          <cell r="W473"/>
          <cell r="X473"/>
          <cell r="Y473"/>
          <cell r="Z473"/>
          <cell r="AA473"/>
          <cell r="AB473"/>
          <cell r="AC473"/>
          <cell r="AD473"/>
          <cell r="AE473"/>
        </row>
        <row r="474">
          <cell r="G474"/>
          <cell r="H474"/>
          <cell r="I474"/>
          <cell r="J474"/>
          <cell r="K474"/>
          <cell r="L474"/>
          <cell r="M474"/>
          <cell r="N474"/>
          <cell r="O474"/>
          <cell r="P474"/>
          <cell r="Q474"/>
          <cell r="R474"/>
          <cell r="S474"/>
          <cell r="T474"/>
          <cell r="U474"/>
          <cell r="V474"/>
          <cell r="W474"/>
          <cell r="X474"/>
          <cell r="Y474"/>
          <cell r="Z474"/>
          <cell r="AA474"/>
          <cell r="AB474"/>
          <cell r="AC474"/>
          <cell r="AD474"/>
          <cell r="AE474"/>
        </row>
        <row r="475">
          <cell r="G475"/>
          <cell r="H475"/>
          <cell r="I475"/>
          <cell r="J475"/>
          <cell r="K475"/>
          <cell r="L475"/>
          <cell r="M475"/>
          <cell r="N475"/>
          <cell r="O475"/>
          <cell r="P475"/>
          <cell r="Q475"/>
          <cell r="R475"/>
          <cell r="S475"/>
          <cell r="T475"/>
          <cell r="U475"/>
          <cell r="V475"/>
          <cell r="W475"/>
          <cell r="X475"/>
          <cell r="Y475"/>
          <cell r="Z475"/>
          <cell r="AA475"/>
          <cell r="AB475"/>
          <cell r="AC475"/>
          <cell r="AD475"/>
          <cell r="AE475"/>
        </row>
        <row r="476">
          <cell r="G476"/>
          <cell r="H476"/>
          <cell r="I476"/>
          <cell r="J476"/>
          <cell r="K476"/>
          <cell r="L476"/>
          <cell r="M476"/>
          <cell r="N476"/>
          <cell r="O476"/>
          <cell r="P476"/>
          <cell r="Q476"/>
          <cell r="R476"/>
          <cell r="S476"/>
          <cell r="T476"/>
          <cell r="U476"/>
          <cell r="V476"/>
          <cell r="W476"/>
          <cell r="X476"/>
          <cell r="Y476"/>
          <cell r="Z476"/>
          <cell r="AA476"/>
          <cell r="AB476"/>
          <cell r="AC476"/>
          <cell r="AD476"/>
          <cell r="AE476"/>
        </row>
        <row r="477">
          <cell r="G477"/>
          <cell r="H477"/>
          <cell r="I477"/>
          <cell r="J477"/>
          <cell r="K477"/>
          <cell r="L477"/>
          <cell r="M477"/>
          <cell r="N477"/>
          <cell r="O477"/>
          <cell r="P477"/>
          <cell r="Q477"/>
          <cell r="R477"/>
          <cell r="S477"/>
          <cell r="T477"/>
          <cell r="U477"/>
          <cell r="V477"/>
          <cell r="W477"/>
          <cell r="X477"/>
          <cell r="Y477"/>
          <cell r="Z477"/>
          <cell r="AA477"/>
          <cell r="AB477"/>
          <cell r="AC477"/>
          <cell r="AD477"/>
          <cell r="AE477"/>
        </row>
        <row r="478">
          <cell r="G478"/>
          <cell r="H478"/>
          <cell r="I478"/>
          <cell r="J478"/>
          <cell r="K478"/>
          <cell r="L478"/>
          <cell r="M478"/>
          <cell r="N478"/>
          <cell r="O478"/>
          <cell r="P478"/>
          <cell r="Q478"/>
          <cell r="R478"/>
          <cell r="S478"/>
          <cell r="T478"/>
          <cell r="U478"/>
          <cell r="V478"/>
          <cell r="W478"/>
          <cell r="X478"/>
          <cell r="Y478"/>
          <cell r="Z478"/>
          <cell r="AA478"/>
          <cell r="AB478"/>
          <cell r="AC478"/>
          <cell r="AD478"/>
          <cell r="AE478"/>
        </row>
        <row r="479">
          <cell r="G479"/>
          <cell r="H479"/>
          <cell r="I479"/>
          <cell r="J479"/>
          <cell r="K479"/>
          <cell r="L479"/>
          <cell r="M479"/>
          <cell r="N479"/>
          <cell r="O479"/>
          <cell r="P479"/>
          <cell r="Q479"/>
          <cell r="R479"/>
          <cell r="S479"/>
          <cell r="T479"/>
          <cell r="U479"/>
          <cell r="V479"/>
          <cell r="W479"/>
          <cell r="X479"/>
          <cell r="Y479"/>
          <cell r="Z479"/>
          <cell r="AA479"/>
          <cell r="AB479"/>
          <cell r="AC479"/>
          <cell r="AD479"/>
          <cell r="AE479"/>
        </row>
        <row r="480">
          <cell r="G480"/>
          <cell r="H480"/>
          <cell r="I480"/>
          <cell r="J480"/>
          <cell r="K480"/>
          <cell r="L480"/>
          <cell r="M480"/>
          <cell r="N480"/>
          <cell r="O480"/>
          <cell r="P480"/>
          <cell r="Q480"/>
          <cell r="R480"/>
          <cell r="S480"/>
          <cell r="T480"/>
          <cell r="U480"/>
          <cell r="V480"/>
          <cell r="W480"/>
          <cell r="X480"/>
          <cell r="Y480"/>
          <cell r="Z480"/>
          <cell r="AA480"/>
          <cell r="AB480"/>
          <cell r="AC480"/>
          <cell r="AD480"/>
          <cell r="AE480"/>
        </row>
        <row r="481">
          <cell r="G481"/>
          <cell r="H481"/>
          <cell r="I481"/>
          <cell r="J481"/>
          <cell r="K481"/>
          <cell r="L481"/>
          <cell r="M481"/>
          <cell r="N481"/>
          <cell r="O481"/>
          <cell r="P481"/>
          <cell r="Q481"/>
          <cell r="R481"/>
          <cell r="S481"/>
          <cell r="T481"/>
          <cell r="U481"/>
          <cell r="V481"/>
          <cell r="W481"/>
          <cell r="X481"/>
          <cell r="Y481"/>
          <cell r="Z481"/>
          <cell r="AA481"/>
          <cell r="AB481"/>
          <cell r="AC481"/>
          <cell r="AD481"/>
          <cell r="AE481"/>
        </row>
        <row r="482">
          <cell r="G482"/>
          <cell r="H482"/>
          <cell r="I482"/>
          <cell r="J482"/>
          <cell r="K482"/>
          <cell r="L482"/>
          <cell r="M482"/>
          <cell r="N482"/>
          <cell r="O482"/>
          <cell r="P482"/>
          <cell r="Q482"/>
          <cell r="R482"/>
          <cell r="S482"/>
          <cell r="T482"/>
          <cell r="U482"/>
          <cell r="V482"/>
          <cell r="W482"/>
          <cell r="X482"/>
          <cell r="Y482"/>
          <cell r="Z482"/>
          <cell r="AA482"/>
          <cell r="AB482"/>
          <cell r="AC482"/>
          <cell r="AD482"/>
          <cell r="AE482"/>
        </row>
        <row r="483">
          <cell r="G483"/>
          <cell r="H483"/>
          <cell r="I483"/>
          <cell r="J483"/>
          <cell r="K483"/>
          <cell r="L483"/>
          <cell r="M483"/>
          <cell r="N483"/>
          <cell r="O483"/>
          <cell r="P483"/>
          <cell r="Q483"/>
          <cell r="R483"/>
          <cell r="S483"/>
          <cell r="T483"/>
          <cell r="U483"/>
          <cell r="V483"/>
          <cell r="W483"/>
          <cell r="X483"/>
          <cell r="Y483"/>
          <cell r="Z483"/>
          <cell r="AA483"/>
          <cell r="AB483"/>
          <cell r="AC483"/>
          <cell r="AD483"/>
          <cell r="AE483"/>
        </row>
        <row r="484">
          <cell r="G484"/>
          <cell r="H484"/>
          <cell r="I484"/>
          <cell r="J484"/>
          <cell r="K484"/>
          <cell r="L484"/>
          <cell r="M484"/>
          <cell r="N484"/>
          <cell r="O484"/>
          <cell r="P484"/>
          <cell r="Q484"/>
          <cell r="R484"/>
          <cell r="S484"/>
          <cell r="T484"/>
          <cell r="U484"/>
          <cell r="V484"/>
          <cell r="W484"/>
          <cell r="X484"/>
          <cell r="Y484"/>
          <cell r="Z484"/>
          <cell r="AA484"/>
          <cell r="AB484"/>
          <cell r="AC484"/>
          <cell r="AD484"/>
          <cell r="AE484"/>
        </row>
        <row r="485">
          <cell r="G485"/>
          <cell r="H485"/>
          <cell r="I485"/>
          <cell r="J485"/>
          <cell r="K485"/>
          <cell r="L485"/>
          <cell r="M485"/>
          <cell r="N485"/>
          <cell r="O485"/>
          <cell r="P485"/>
          <cell r="Q485"/>
          <cell r="R485"/>
          <cell r="S485"/>
          <cell r="T485"/>
          <cell r="U485"/>
          <cell r="V485"/>
          <cell r="W485"/>
          <cell r="X485"/>
          <cell r="Y485"/>
          <cell r="Z485"/>
          <cell r="AA485"/>
          <cell r="AB485"/>
          <cell r="AC485"/>
          <cell r="AD485"/>
          <cell r="AE485"/>
        </row>
        <row r="486">
          <cell r="G486"/>
          <cell r="H486"/>
          <cell r="I486"/>
          <cell r="J486"/>
          <cell r="K486"/>
          <cell r="L486"/>
          <cell r="M486"/>
          <cell r="N486"/>
          <cell r="O486"/>
          <cell r="P486"/>
          <cell r="Q486"/>
          <cell r="R486"/>
          <cell r="S486"/>
          <cell r="T486"/>
          <cell r="U486"/>
          <cell r="V486"/>
          <cell r="W486"/>
          <cell r="X486"/>
          <cell r="Y486"/>
          <cell r="Z486"/>
          <cell r="AA486"/>
          <cell r="AB486"/>
          <cell r="AC486"/>
          <cell r="AD486"/>
          <cell r="AE486"/>
        </row>
        <row r="487">
          <cell r="G487"/>
          <cell r="H487"/>
          <cell r="I487"/>
          <cell r="J487"/>
          <cell r="K487"/>
          <cell r="L487"/>
          <cell r="M487"/>
          <cell r="N487"/>
          <cell r="O487"/>
          <cell r="P487"/>
          <cell r="Q487"/>
          <cell r="R487"/>
          <cell r="S487"/>
          <cell r="T487"/>
          <cell r="U487"/>
          <cell r="V487"/>
          <cell r="W487"/>
          <cell r="X487"/>
          <cell r="Y487"/>
          <cell r="Z487"/>
          <cell r="AA487"/>
          <cell r="AB487"/>
          <cell r="AC487"/>
          <cell r="AD487"/>
          <cell r="AE487"/>
        </row>
        <row r="488">
          <cell r="G488"/>
          <cell r="H488"/>
          <cell r="I488"/>
          <cell r="J488"/>
          <cell r="K488"/>
          <cell r="L488"/>
          <cell r="M488"/>
          <cell r="N488"/>
          <cell r="O488"/>
          <cell r="P488"/>
          <cell r="Q488"/>
          <cell r="R488"/>
          <cell r="S488"/>
          <cell r="T488"/>
          <cell r="U488"/>
          <cell r="V488"/>
          <cell r="W488"/>
          <cell r="X488"/>
          <cell r="Y488"/>
          <cell r="Z488"/>
          <cell r="AA488"/>
          <cell r="AB488"/>
          <cell r="AC488"/>
          <cell r="AD488"/>
          <cell r="AE488"/>
        </row>
        <row r="489">
          <cell r="G489"/>
          <cell r="H489"/>
          <cell r="I489"/>
          <cell r="J489"/>
          <cell r="K489"/>
          <cell r="L489"/>
          <cell r="M489"/>
          <cell r="N489"/>
          <cell r="O489"/>
          <cell r="P489"/>
          <cell r="Q489"/>
          <cell r="R489"/>
          <cell r="S489"/>
          <cell r="T489"/>
          <cell r="U489"/>
          <cell r="V489"/>
          <cell r="W489"/>
          <cell r="X489"/>
          <cell r="Y489"/>
          <cell r="Z489"/>
          <cell r="AA489"/>
          <cell r="AB489"/>
          <cell r="AC489"/>
          <cell r="AD489"/>
          <cell r="AE489"/>
        </row>
        <row r="490">
          <cell r="G490"/>
          <cell r="H490"/>
          <cell r="I490"/>
          <cell r="J490"/>
          <cell r="K490"/>
          <cell r="L490"/>
          <cell r="M490"/>
          <cell r="N490"/>
          <cell r="O490"/>
          <cell r="P490"/>
          <cell r="Q490"/>
          <cell r="R490"/>
          <cell r="S490"/>
          <cell r="T490"/>
          <cell r="U490"/>
          <cell r="V490"/>
          <cell r="W490"/>
          <cell r="X490"/>
          <cell r="Y490"/>
          <cell r="Z490"/>
          <cell r="AA490"/>
          <cell r="AB490"/>
          <cell r="AC490"/>
          <cell r="AD490"/>
          <cell r="AE490"/>
        </row>
        <row r="491">
          <cell r="G491"/>
          <cell r="H491"/>
          <cell r="I491"/>
          <cell r="J491"/>
          <cell r="K491"/>
          <cell r="L491"/>
          <cell r="M491"/>
          <cell r="N491"/>
          <cell r="O491"/>
          <cell r="P491"/>
          <cell r="Q491"/>
          <cell r="R491"/>
          <cell r="S491"/>
          <cell r="T491"/>
          <cell r="U491"/>
          <cell r="V491"/>
          <cell r="W491"/>
          <cell r="X491"/>
          <cell r="Y491"/>
          <cell r="Z491"/>
          <cell r="AA491"/>
          <cell r="AB491"/>
          <cell r="AC491"/>
          <cell r="AD491"/>
          <cell r="AE491"/>
        </row>
        <row r="492">
          <cell r="G492"/>
          <cell r="H492"/>
          <cell r="I492"/>
          <cell r="J492"/>
          <cell r="K492"/>
          <cell r="L492"/>
          <cell r="M492"/>
          <cell r="N492"/>
          <cell r="O492"/>
          <cell r="P492"/>
          <cell r="Q492"/>
          <cell r="R492"/>
          <cell r="S492"/>
          <cell r="T492"/>
          <cell r="U492"/>
          <cell r="V492"/>
          <cell r="W492"/>
          <cell r="X492"/>
          <cell r="Y492"/>
          <cell r="Z492"/>
          <cell r="AA492"/>
          <cell r="AB492"/>
          <cell r="AC492"/>
          <cell r="AD492"/>
          <cell r="AE492"/>
        </row>
        <row r="493">
          <cell r="G493"/>
          <cell r="H493"/>
          <cell r="I493"/>
          <cell r="J493"/>
          <cell r="K493"/>
          <cell r="L493"/>
          <cell r="M493"/>
          <cell r="N493"/>
          <cell r="O493"/>
          <cell r="P493"/>
          <cell r="Q493"/>
          <cell r="R493"/>
          <cell r="S493"/>
          <cell r="T493"/>
          <cell r="U493"/>
          <cell r="V493"/>
          <cell r="W493"/>
          <cell r="X493"/>
          <cell r="Y493"/>
          <cell r="Z493"/>
          <cell r="AA493"/>
          <cell r="AB493"/>
          <cell r="AC493"/>
          <cell r="AD493"/>
          <cell r="AE493"/>
        </row>
        <row r="494">
          <cell r="G494"/>
          <cell r="H494"/>
          <cell r="I494"/>
          <cell r="J494"/>
          <cell r="K494"/>
          <cell r="L494"/>
          <cell r="M494"/>
          <cell r="N494"/>
          <cell r="O494"/>
          <cell r="P494"/>
          <cell r="Q494"/>
          <cell r="R494"/>
          <cell r="S494"/>
          <cell r="T494"/>
          <cell r="U494"/>
          <cell r="V494"/>
          <cell r="W494"/>
          <cell r="X494"/>
          <cell r="Y494"/>
          <cell r="Z494"/>
          <cell r="AA494"/>
          <cell r="AB494"/>
          <cell r="AC494"/>
          <cell r="AD494"/>
          <cell r="AE494"/>
        </row>
        <row r="495">
          <cell r="G495"/>
          <cell r="H495"/>
          <cell r="I495"/>
          <cell r="J495"/>
          <cell r="K495"/>
          <cell r="L495"/>
          <cell r="M495"/>
          <cell r="N495"/>
          <cell r="O495"/>
          <cell r="P495"/>
          <cell r="Q495"/>
          <cell r="R495"/>
          <cell r="S495"/>
          <cell r="T495"/>
          <cell r="U495"/>
          <cell r="V495"/>
          <cell r="W495"/>
          <cell r="X495"/>
          <cell r="Y495"/>
          <cell r="Z495"/>
          <cell r="AA495"/>
          <cell r="AB495"/>
          <cell r="AC495"/>
          <cell r="AD495"/>
          <cell r="AE495"/>
        </row>
        <row r="496">
          <cell r="G496"/>
          <cell r="H496"/>
          <cell r="I496"/>
          <cell r="J496"/>
          <cell r="K496"/>
          <cell r="L496"/>
          <cell r="M496"/>
          <cell r="N496"/>
          <cell r="O496"/>
          <cell r="P496"/>
          <cell r="Q496"/>
          <cell r="R496"/>
          <cell r="S496"/>
          <cell r="T496"/>
          <cell r="U496"/>
          <cell r="V496"/>
          <cell r="W496"/>
          <cell r="X496"/>
          <cell r="Y496"/>
          <cell r="Z496"/>
          <cell r="AA496"/>
          <cell r="AB496"/>
          <cell r="AC496"/>
          <cell r="AD496"/>
          <cell r="AE496"/>
        </row>
        <row r="497">
          <cell r="G497"/>
          <cell r="H497"/>
          <cell r="I497"/>
          <cell r="J497"/>
          <cell r="K497"/>
          <cell r="L497"/>
          <cell r="M497"/>
          <cell r="N497"/>
          <cell r="O497"/>
          <cell r="P497"/>
          <cell r="Q497"/>
          <cell r="R497"/>
          <cell r="S497"/>
          <cell r="T497"/>
          <cell r="U497"/>
          <cell r="V497"/>
          <cell r="W497"/>
          <cell r="X497"/>
          <cell r="Y497"/>
          <cell r="Z497"/>
          <cell r="AA497"/>
          <cell r="AB497"/>
          <cell r="AC497"/>
          <cell r="AD497"/>
          <cell r="AE497"/>
        </row>
        <row r="498">
          <cell r="G498"/>
          <cell r="H498"/>
          <cell r="I498"/>
          <cell r="J498"/>
          <cell r="K498"/>
          <cell r="L498"/>
          <cell r="M498"/>
          <cell r="N498"/>
          <cell r="O498"/>
          <cell r="P498"/>
          <cell r="Q498"/>
          <cell r="R498"/>
          <cell r="S498"/>
          <cell r="T498"/>
          <cell r="U498"/>
          <cell r="V498"/>
          <cell r="W498"/>
          <cell r="X498"/>
          <cell r="Y498"/>
          <cell r="Z498"/>
          <cell r="AA498"/>
          <cell r="AB498"/>
          <cell r="AC498"/>
          <cell r="AD498"/>
          <cell r="AE498"/>
        </row>
        <row r="499">
          <cell r="G499"/>
          <cell r="H499"/>
          <cell r="I499"/>
          <cell r="J499"/>
          <cell r="K499"/>
          <cell r="L499"/>
          <cell r="M499"/>
          <cell r="N499"/>
          <cell r="O499"/>
          <cell r="P499"/>
          <cell r="Q499"/>
          <cell r="R499"/>
          <cell r="S499"/>
          <cell r="T499"/>
          <cell r="U499"/>
          <cell r="V499"/>
          <cell r="W499"/>
          <cell r="X499"/>
          <cell r="Y499"/>
          <cell r="Z499"/>
          <cell r="AA499"/>
          <cell r="AB499"/>
          <cell r="AC499"/>
          <cell r="AD499"/>
          <cell r="AE499"/>
        </row>
        <row r="500">
          <cell r="G500"/>
          <cell r="H500"/>
          <cell r="I500"/>
          <cell r="J500"/>
          <cell r="K500"/>
          <cell r="L500"/>
          <cell r="M500"/>
          <cell r="N500"/>
          <cell r="O500"/>
          <cell r="P500"/>
          <cell r="Q500"/>
          <cell r="R500"/>
          <cell r="S500"/>
          <cell r="T500"/>
          <cell r="U500"/>
          <cell r="V500"/>
          <cell r="W500"/>
          <cell r="X500"/>
          <cell r="Y500"/>
          <cell r="Z500"/>
          <cell r="AA500"/>
          <cell r="AB500"/>
          <cell r="AC500"/>
          <cell r="AD500"/>
          <cell r="AE500"/>
        </row>
        <row r="501">
          <cell r="G501"/>
          <cell r="H501"/>
          <cell r="I501"/>
          <cell r="J501"/>
          <cell r="K501"/>
          <cell r="L501"/>
          <cell r="M501"/>
          <cell r="N501"/>
          <cell r="O501"/>
          <cell r="P501"/>
          <cell r="Q501"/>
          <cell r="R501"/>
          <cell r="S501"/>
          <cell r="T501"/>
          <cell r="U501"/>
          <cell r="V501"/>
          <cell r="W501"/>
          <cell r="X501"/>
          <cell r="Y501"/>
          <cell r="Z501"/>
          <cell r="AA501"/>
          <cell r="AB501"/>
          <cell r="AC501"/>
          <cell r="AD501"/>
          <cell r="AE501"/>
        </row>
      </sheetData>
      <sheetData sheetId="2"/>
      <sheetData sheetId="3"/>
      <sheetData sheetId="4">
        <row r="14">
          <cell r="C14" t="str">
            <v>OR_Single Family</v>
          </cell>
          <cell r="D14" t="str">
            <v>Single Family</v>
          </cell>
          <cell r="E14" t="str">
            <v>New</v>
          </cell>
          <cell r="F14">
            <v>6704</v>
          </cell>
          <cell r="G14">
            <v>6968</v>
          </cell>
          <cell r="H14">
            <v>8205</v>
          </cell>
          <cell r="I14">
            <v>9300</v>
          </cell>
          <cell r="J14">
            <v>11414</v>
          </cell>
          <cell r="K14">
            <v>13600</v>
          </cell>
          <cell r="L14">
            <v>12406</v>
          </cell>
          <cell r="M14">
            <v>14907</v>
          </cell>
          <cell r="N14">
            <v>16765</v>
          </cell>
          <cell r="O14">
            <v>17498</v>
          </cell>
          <cell r="P14">
            <v>16395</v>
          </cell>
          <cell r="Q14">
            <v>18008</v>
          </cell>
          <cell r="R14">
            <v>16935</v>
          </cell>
          <cell r="S14">
            <v>17518</v>
          </cell>
          <cell r="T14">
            <v>16687</v>
          </cell>
          <cell r="U14">
            <v>15476</v>
          </cell>
          <cell r="V14">
            <v>15963</v>
          </cell>
          <cell r="W14">
            <v>17418</v>
          </cell>
          <cell r="X14">
            <v>18681</v>
          </cell>
          <cell r="Y14">
            <v>20556</v>
          </cell>
          <cell r="Z14">
            <v>23352</v>
          </cell>
          <cell r="AA14">
            <v>20383</v>
          </cell>
          <cell r="AB14">
            <v>15397</v>
          </cell>
          <cell r="AC14">
            <v>8164.9999999999991</v>
          </cell>
          <cell r="AD14">
            <v>5328</v>
          </cell>
          <cell r="AE14">
            <v>5305</v>
          </cell>
          <cell r="AF14">
            <v>5050</v>
          </cell>
          <cell r="AG14">
            <v>6513</v>
          </cell>
          <cell r="AH14">
            <v>8720</v>
          </cell>
          <cell r="AI14">
            <v>11272</v>
          </cell>
          <cell r="AJ14">
            <v>15952</v>
          </cell>
          <cell r="AK14">
            <v>17272</v>
          </cell>
          <cell r="AL14">
            <v>16727</v>
          </cell>
          <cell r="AM14">
            <v>16202.000000000002</v>
          </cell>
          <cell r="AN14">
            <v>15889</v>
          </cell>
          <cell r="AO14">
            <v>15686</v>
          </cell>
          <cell r="AP14">
            <v>15088</v>
          </cell>
          <cell r="AQ14">
            <v>14772</v>
          </cell>
          <cell r="AR14">
            <v>14734</v>
          </cell>
          <cell r="AS14">
            <v>14757</v>
          </cell>
          <cell r="AT14">
            <v>15342</v>
          </cell>
          <cell r="AU14">
            <v>15526</v>
          </cell>
          <cell r="AV14">
            <v>15254</v>
          </cell>
          <cell r="AW14">
            <v>14608</v>
          </cell>
          <cell r="AX14">
            <v>14523</v>
          </cell>
          <cell r="AY14">
            <v>14775</v>
          </cell>
          <cell r="AZ14">
            <v>14714</v>
          </cell>
          <cell r="BA14">
            <v>14158</v>
          </cell>
          <cell r="BB14">
            <v>14093</v>
          </cell>
          <cell r="BC14">
            <v>14173</v>
          </cell>
          <cell r="BD14">
            <v>14330</v>
          </cell>
        </row>
        <row r="15">
          <cell r="C15" t="str">
            <v>OR_Multi Family</v>
          </cell>
          <cell r="D15" t="str">
            <v>Multifamily - Low Rise</v>
          </cell>
          <cell r="E15" t="str">
            <v>New</v>
          </cell>
          <cell r="F15">
            <v>3772.8448706752683</v>
          </cell>
          <cell r="G15">
            <v>2941.0349178883071</v>
          </cell>
          <cell r="H15">
            <v>3202.3298129108261</v>
          </cell>
          <cell r="I15">
            <v>2714.899092549962</v>
          </cell>
          <cell r="J15">
            <v>8896.7022428480705</v>
          </cell>
          <cell r="K15">
            <v>8252.2238816719419</v>
          </cell>
          <cell r="L15">
            <v>3301.122737123248</v>
          </cell>
          <cell r="M15">
            <v>2811.4691158519631</v>
          </cell>
          <cell r="N15">
            <v>2637.894836250196</v>
          </cell>
          <cell r="O15">
            <v>4819.5855773579242</v>
          </cell>
          <cell r="P15">
            <v>6713.3146314455371</v>
          </cell>
          <cell r="Q15">
            <v>8721.3694621543327</v>
          </cell>
          <cell r="R15">
            <v>7555.8808889387019</v>
          </cell>
          <cell r="S15">
            <v>6573.1222265963652</v>
          </cell>
          <cell r="T15">
            <v>4692.7024347114893</v>
          </cell>
          <cell r="U15">
            <v>2354.7720492520393</v>
          </cell>
          <cell r="V15">
            <v>2899.5066232946756</v>
          </cell>
          <cell r="W15">
            <v>2562.0870522389155</v>
          </cell>
          <cell r="X15">
            <v>3686.8568040688797</v>
          </cell>
          <cell r="Y15">
            <v>3834.8880826444029</v>
          </cell>
          <cell r="Z15">
            <v>3263.6700424474207</v>
          </cell>
          <cell r="AA15">
            <v>4388.1347752705051</v>
          </cell>
          <cell r="AB15">
            <v>2959.161886968971</v>
          </cell>
          <cell r="AC15">
            <v>2360.9550283740805</v>
          </cell>
          <cell r="AD15">
            <v>671.9841739580163</v>
          </cell>
          <cell r="AE15">
            <v>66.596429394015331</v>
          </cell>
          <cell r="AF15">
            <v>949.87426015052506</v>
          </cell>
          <cell r="AG15">
            <v>2297.5049440684579</v>
          </cell>
          <cell r="AH15">
            <v>4512.1309043270476</v>
          </cell>
          <cell r="AI15">
            <v>4834.4211617459714</v>
          </cell>
          <cell r="AJ15">
            <v>6816.6588407441923</v>
          </cell>
          <cell r="AK15">
            <v>7232.862016530873</v>
          </cell>
          <cell r="AL15">
            <v>7009.2519401018944</v>
          </cell>
          <cell r="AM15">
            <v>7026.167603814305</v>
          </cell>
          <cell r="AN15">
            <v>7441.1769135052737</v>
          </cell>
          <cell r="AO15">
            <v>7431.377897912399</v>
          </cell>
          <cell r="AP15">
            <v>6971.963329889757</v>
          </cell>
          <cell r="AQ15">
            <v>6761.3209416287918</v>
          </cell>
          <cell r="AR15">
            <v>6554.7240085809162</v>
          </cell>
          <cell r="AS15">
            <v>6621.6730773670097</v>
          </cell>
          <cell r="AT15">
            <v>6557.8368230103088</v>
          </cell>
          <cell r="AU15">
            <v>6522.0493084879608</v>
          </cell>
          <cell r="AV15">
            <v>6282.365298704045</v>
          </cell>
          <cell r="AW15">
            <v>6009.1462390877323</v>
          </cell>
          <cell r="AX15">
            <v>5504.874605946914</v>
          </cell>
          <cell r="AY15">
            <v>5132.8554374960586</v>
          </cell>
          <cell r="AZ15">
            <v>4866.3598178070824</v>
          </cell>
          <cell r="BA15">
            <v>4605.8340776656614</v>
          </cell>
          <cell r="BB15">
            <v>4391.1894980251245</v>
          </cell>
          <cell r="BC15">
            <v>3931.255214930798</v>
          </cell>
          <cell r="BD15">
            <v>3779.4583907174715</v>
          </cell>
        </row>
        <row r="16">
          <cell r="C16" t="str">
            <v>OR</v>
          </cell>
          <cell r="D16" t="str">
            <v>Multifamily - High Rise</v>
          </cell>
          <cell r="E16" t="str">
            <v>New</v>
          </cell>
          <cell r="F16">
            <v>468.15512932473166</v>
          </cell>
          <cell r="G16">
            <v>512.96508211169294</v>
          </cell>
          <cell r="H16">
            <v>567.67018708917408</v>
          </cell>
          <cell r="I16">
            <v>1440.100907450038</v>
          </cell>
          <cell r="J16">
            <v>1235.2977571519298</v>
          </cell>
          <cell r="K16">
            <v>508.77611832805769</v>
          </cell>
          <cell r="L16">
            <v>504.87726287675196</v>
          </cell>
          <cell r="M16">
            <v>979.53088414803699</v>
          </cell>
          <cell r="N16">
            <v>1373.1051637498038</v>
          </cell>
          <cell r="O16">
            <v>1730.4144226420756</v>
          </cell>
          <cell r="P16">
            <v>2043.6853685544634</v>
          </cell>
          <cell r="Q16">
            <v>1875.6305378456677</v>
          </cell>
          <cell r="R16">
            <v>1705.1191110612986</v>
          </cell>
          <cell r="S16">
            <v>1382.877773403635</v>
          </cell>
          <cell r="T16">
            <v>1045.2975652885109</v>
          </cell>
          <cell r="U16">
            <v>1145.2279507479607</v>
          </cell>
          <cell r="V16">
            <v>1138.4933767053251</v>
          </cell>
          <cell r="W16">
            <v>1344.9129477610845</v>
          </cell>
          <cell r="X16">
            <v>1380.1431959311205</v>
          </cell>
          <cell r="Y16">
            <v>1332.1119173555971</v>
          </cell>
          <cell r="Z16">
            <v>1508.3299575525793</v>
          </cell>
          <cell r="AA16">
            <v>1311.8652247294947</v>
          </cell>
          <cell r="AB16">
            <v>1171.838113031029</v>
          </cell>
          <cell r="AC16">
            <v>876.04497162591952</v>
          </cell>
          <cell r="AD16">
            <v>822.0158260419837</v>
          </cell>
          <cell r="AE16">
            <v>1092.4035706059847</v>
          </cell>
          <cell r="AF16">
            <v>1676.1257398494749</v>
          </cell>
          <cell r="AG16">
            <v>1050.4950559315419</v>
          </cell>
          <cell r="AH16">
            <v>1179.8690956729522</v>
          </cell>
          <cell r="AI16">
            <v>1558.5788382540286</v>
          </cell>
          <cell r="AJ16">
            <v>1628.3411592558075</v>
          </cell>
          <cell r="AK16">
            <v>1590.137983469127</v>
          </cell>
          <cell r="AL16">
            <v>1606.7480598981056</v>
          </cell>
          <cell r="AM16">
            <v>1679.8323961856952</v>
          </cell>
          <cell r="AN16">
            <v>1660.8230864947266</v>
          </cell>
          <cell r="AO16">
            <v>1567.6221020876008</v>
          </cell>
          <cell r="AP16">
            <v>1522.0366701102428</v>
          </cell>
          <cell r="AQ16">
            <v>1485.6790583712077</v>
          </cell>
          <cell r="AR16">
            <v>1495.2759914190849</v>
          </cell>
          <cell r="AS16">
            <v>1480.3269226329903</v>
          </cell>
          <cell r="AT16">
            <v>1463.1631769896919</v>
          </cell>
          <cell r="AU16">
            <v>1405.9506915120394</v>
          </cell>
          <cell r="AV16">
            <v>1335.6347012959552</v>
          </cell>
          <cell r="AW16">
            <v>1227.8537609122679</v>
          </cell>
          <cell r="AX16">
            <v>1148.1253940530855</v>
          </cell>
          <cell r="AY16">
            <v>1088.1445625039419</v>
          </cell>
          <cell r="AZ16">
            <v>1029.6401821929173</v>
          </cell>
          <cell r="BA16">
            <v>973.16592233433857</v>
          </cell>
          <cell r="BB16">
            <v>881.81050197487571</v>
          </cell>
          <cell r="BC16">
            <v>846.74478506920184</v>
          </cell>
          <cell r="BD16">
            <v>808.54160928252838</v>
          </cell>
        </row>
        <row r="17">
          <cell r="C17" t="str">
            <v>OR_Other Family</v>
          </cell>
          <cell r="D17" t="str">
            <v>Manufactured</v>
          </cell>
          <cell r="E17" t="str">
            <v>New</v>
          </cell>
          <cell r="F17">
            <v>2370</v>
          </cell>
          <cell r="G17">
            <v>2297</v>
          </cell>
          <cell r="H17">
            <v>2910</v>
          </cell>
          <cell r="I17">
            <v>3852</v>
          </cell>
          <cell r="J17">
            <v>4387</v>
          </cell>
          <cell r="K17">
            <v>4905</v>
          </cell>
          <cell r="L17">
            <v>4720</v>
          </cell>
          <cell r="M17">
            <v>5103</v>
          </cell>
          <cell r="N17">
            <v>6454</v>
          </cell>
          <cell r="O17">
            <v>7597</v>
          </cell>
          <cell r="P17">
            <v>7450</v>
          </cell>
          <cell r="Q17">
            <v>6484</v>
          </cell>
          <cell r="R17">
            <v>6567</v>
          </cell>
          <cell r="S17">
            <v>6223</v>
          </cell>
          <cell r="T17">
            <v>5202</v>
          </cell>
          <cell r="U17">
            <v>3199</v>
          </cell>
          <cell r="V17">
            <v>2392</v>
          </cell>
          <cell r="W17">
            <v>2517</v>
          </cell>
          <cell r="X17">
            <v>2415</v>
          </cell>
          <cell r="Y17">
            <v>2492</v>
          </cell>
          <cell r="Z17">
            <v>2495</v>
          </cell>
          <cell r="AA17">
            <v>2230</v>
          </cell>
          <cell r="AB17">
            <v>1772</v>
          </cell>
          <cell r="AC17">
            <v>1278</v>
          </cell>
          <cell r="AD17">
            <v>717</v>
          </cell>
          <cell r="AE17">
            <v>647</v>
          </cell>
          <cell r="AF17">
            <v>445</v>
          </cell>
          <cell r="AG17">
            <v>473</v>
          </cell>
          <cell r="AH17">
            <v>888.66666666666663</v>
          </cell>
          <cell r="AI17">
            <v>741.44444444444446</v>
          </cell>
          <cell r="AJ17">
            <v>652.01851851851848</v>
          </cell>
          <cell r="AK17">
            <v>641.18827160493822</v>
          </cell>
          <cell r="AL17">
            <v>640.21965020576124</v>
          </cell>
          <cell r="AM17">
            <v>672.75625857338821</v>
          </cell>
          <cell r="AN17">
            <v>706.04896833561952</v>
          </cell>
          <cell r="AO17">
            <v>675.61268528044502</v>
          </cell>
          <cell r="AP17">
            <v>664.64072541977851</v>
          </cell>
          <cell r="AQ17">
            <v>666.74442656998838</v>
          </cell>
          <cell r="AR17">
            <v>671.00378573083015</v>
          </cell>
          <cell r="AS17">
            <v>676.1344749850083</v>
          </cell>
          <cell r="AT17">
            <v>676.69751105361161</v>
          </cell>
          <cell r="AU17">
            <v>671.80560150661029</v>
          </cell>
          <cell r="AV17">
            <v>671.17108754430456</v>
          </cell>
          <cell r="AW17">
            <v>672.25948123172554</v>
          </cell>
          <cell r="AX17">
            <v>673.17865700868174</v>
          </cell>
          <cell r="AY17">
            <v>673.54113555499043</v>
          </cell>
          <cell r="AZ17">
            <v>673.10891231665403</v>
          </cell>
          <cell r="BA17">
            <v>672.51081252716119</v>
          </cell>
          <cell r="BB17">
            <v>672.62834769725293</v>
          </cell>
          <cell r="BC17">
            <v>672.87122438941094</v>
          </cell>
          <cell r="BD17">
            <v>672.97318158235862</v>
          </cell>
        </row>
        <row r="18">
          <cell r="C18" t="str">
            <v>OR_Single Family</v>
          </cell>
          <cell r="D18" t="str">
            <v>Single Family</v>
          </cell>
          <cell r="E18" t="str">
            <v>Existing</v>
          </cell>
          <cell r="F18"/>
          <cell r="G18"/>
          <cell r="H18"/>
          <cell r="I18"/>
          <cell r="J18"/>
          <cell r="K18"/>
          <cell r="L18"/>
          <cell r="M18"/>
          <cell r="N18"/>
          <cell r="O18"/>
          <cell r="P18"/>
          <cell r="Q18"/>
          <cell r="R18"/>
          <cell r="S18"/>
          <cell r="T18"/>
          <cell r="U18"/>
          <cell r="V18"/>
          <cell r="W18"/>
          <cell r="X18"/>
          <cell r="Y18"/>
          <cell r="Z18"/>
          <cell r="AA18"/>
          <cell r="AB18"/>
          <cell r="AC18"/>
          <cell r="AD18"/>
          <cell r="AE18"/>
          <cell r="AF18"/>
          <cell r="AG18"/>
          <cell r="AH18"/>
          <cell r="AI18"/>
          <cell r="AJ18"/>
          <cell r="AK18">
            <v>1281442</v>
          </cell>
          <cell r="AL18">
            <v>1278532.125467059</v>
          </cell>
          <cell r="AM18">
            <v>1275628.858622798</v>
          </cell>
          <cell r="AN18">
            <v>1272732.1844626011</v>
          </cell>
          <cell r="AO18">
            <v>1269842.0880159247</v>
          </cell>
          <cell r="AP18">
            <v>1266958.5543462196</v>
          </cell>
          <cell r="AQ18">
            <v>1264081.5685508549</v>
          </cell>
          <cell r="AR18">
            <v>1261211.1157610398</v>
          </cell>
          <cell r="AS18">
            <v>1258347.1811417476</v>
          </cell>
          <cell r="AT18">
            <v>1255489.7498916385</v>
          </cell>
          <cell r="AU18">
            <v>1252638.8072429833</v>
          </cell>
          <cell r="AV18">
            <v>1249794.338461587</v>
          </cell>
          <cell r="AW18">
            <v>1246956.3288467131</v>
          </cell>
          <cell r="AX18">
            <v>1244124.763731007</v>
          </cell>
          <cell r="AY18">
            <v>1241299.6284804204</v>
          </cell>
          <cell r="AZ18">
            <v>1238480.9084941361</v>
          </cell>
          <cell r="BA18">
            <v>1235668.5892044916</v>
          </cell>
          <cell r="BB18">
            <v>1232862.6560769046</v>
          </cell>
          <cell r="BC18">
            <v>1230063.0946097979</v>
          </cell>
          <cell r="BD18">
            <v>1227269.890334524</v>
          </cell>
        </row>
        <row r="19">
          <cell r="C19" t="str">
            <v>OR_Multi Family</v>
          </cell>
          <cell r="D19" t="str">
            <v>Multifamily - Low Rise</v>
          </cell>
          <cell r="E19" t="str">
            <v>Existing</v>
          </cell>
          <cell r="F19"/>
          <cell r="G19"/>
          <cell r="H19"/>
          <cell r="I19"/>
          <cell r="J19"/>
          <cell r="K19"/>
          <cell r="L19"/>
          <cell r="M19"/>
          <cell r="N19"/>
          <cell r="O19"/>
          <cell r="P19"/>
          <cell r="Q19"/>
          <cell r="R19"/>
          <cell r="S19"/>
          <cell r="T19"/>
          <cell r="U19"/>
          <cell r="V19"/>
          <cell r="W19"/>
          <cell r="X19"/>
          <cell r="Y19"/>
          <cell r="Z19"/>
          <cell r="AA19"/>
          <cell r="AB19"/>
          <cell r="AC19"/>
          <cell r="AD19"/>
          <cell r="AE19"/>
          <cell r="AF19"/>
          <cell r="AG19"/>
          <cell r="AH19"/>
          <cell r="AI19"/>
          <cell r="AJ19"/>
          <cell r="AK19">
            <v>277837.92835758231</v>
          </cell>
          <cell r="AL19">
            <v>277207.00904135435</v>
          </cell>
          <cell r="AM19">
            <v>276577.52242794685</v>
          </cell>
          <cell r="AN19">
            <v>275949.46526395273</v>
          </cell>
          <cell r="AO19">
            <v>275322.83430335281</v>
          </cell>
          <cell r="AP19">
            <v>274697.62630749901</v>
          </cell>
          <cell r="AQ19">
            <v>274073.83804509765</v>
          </cell>
          <cell r="AR19">
            <v>273451.46629219269</v>
          </cell>
          <cell r="AS19">
            <v>272830.50783214916</v>
          </cell>
          <cell r="AT19">
            <v>272210.95945563645</v>
          </cell>
          <cell r="AU19">
            <v>271592.81796061178</v>
          </cell>
          <cell r="AV19">
            <v>270976.08015230362</v>
          </cell>
          <cell r="AW19">
            <v>270360.74284319516</v>
          </cell>
          <cell r="AX19">
            <v>269746.80285300786</v>
          </cell>
          <cell r="AY19">
            <v>269134.25700868503</v>
          </cell>
          <cell r="AZ19">
            <v>268523.10214437544</v>
          </cell>
          <cell r="BA19">
            <v>267913.33510141686</v>
          </cell>
          <cell r="BB19">
            <v>267304.95272831985</v>
          </cell>
          <cell r="BC19">
            <v>266697.95188075147</v>
          </cell>
          <cell r="BD19">
            <v>266092.32942151889</v>
          </cell>
        </row>
        <row r="20">
          <cell r="D20" t="str">
            <v>Multifamily - High Rise</v>
          </cell>
          <cell r="E20" t="str">
            <v>Existing</v>
          </cell>
          <cell r="F20"/>
          <cell r="G20"/>
          <cell r="H20"/>
          <cell r="I20"/>
          <cell r="J20"/>
          <cell r="K20"/>
          <cell r="L20"/>
          <cell r="M20"/>
          <cell r="N20"/>
          <cell r="O20"/>
          <cell r="P20"/>
          <cell r="Q20"/>
          <cell r="R20"/>
          <cell r="S20"/>
          <cell r="T20"/>
          <cell r="U20"/>
          <cell r="V20"/>
          <cell r="W20"/>
          <cell r="X20"/>
          <cell r="Y20"/>
          <cell r="Z20"/>
          <cell r="AA20"/>
          <cell r="AB20"/>
          <cell r="AC20"/>
          <cell r="AD20"/>
          <cell r="AE20"/>
          <cell r="AF20"/>
          <cell r="AG20"/>
          <cell r="AH20"/>
          <cell r="AI20"/>
          <cell r="AJ20"/>
          <cell r="AK20">
            <v>63346.033033662934</v>
          </cell>
          <cell r="AL20">
            <v>63202.185733607068</v>
          </cell>
          <cell r="AM20">
            <v>63058.665084562206</v>
          </cell>
          <cell r="AN20">
            <v>62915.470344763409</v>
          </cell>
          <cell r="AO20">
            <v>62772.600774130158</v>
          </cell>
          <cell r="AP20">
            <v>62630.05563426252</v>
          </cell>
          <cell r="AQ20">
            <v>62487.834188437337</v>
          </cell>
          <cell r="AR20">
            <v>62345.935701604409</v>
          </cell>
          <cell r="AS20">
            <v>62204.359440382708</v>
          </cell>
          <cell r="AT20">
            <v>62063.104673056572</v>
          </cell>
          <cell r="AU20">
            <v>61922.17066957194</v>
          </cell>
          <cell r="AV20">
            <v>61781.556701532572</v>
          </cell>
          <cell r="AW20">
            <v>61641.262042196271</v>
          </cell>
          <cell r="AX20">
            <v>61501.28596647115</v>
          </cell>
          <cell r="AY20">
            <v>61361.627750911874</v>
          </cell>
          <cell r="AZ20">
            <v>61222.286673715913</v>
          </cell>
          <cell r="BA20">
            <v>61083.262014719818</v>
          </cell>
          <cell r="BB20">
            <v>60944.55305539551</v>
          </cell>
          <cell r="BC20">
            <v>60806.159078846555</v>
          </cell>
          <cell r="BD20">
            <v>60668.079369804451</v>
          </cell>
        </row>
        <row r="21">
          <cell r="C21" t="str">
            <v>OR_Other Family</v>
          </cell>
          <cell r="D21" t="str">
            <v>Manufactured</v>
          </cell>
          <cell r="E21" t="str">
            <v>Existing</v>
          </cell>
          <cell r="F21"/>
          <cell r="G21"/>
          <cell r="H21"/>
          <cell r="I21"/>
          <cell r="J21"/>
          <cell r="K21"/>
          <cell r="L21"/>
          <cell r="M21"/>
          <cell r="N21"/>
          <cell r="O21"/>
          <cell r="P21"/>
          <cell r="Q21"/>
          <cell r="R21"/>
          <cell r="S21"/>
          <cell r="T21"/>
          <cell r="U21"/>
          <cell r="V21"/>
          <cell r="W21"/>
          <cell r="X21"/>
          <cell r="Y21"/>
          <cell r="Z21"/>
          <cell r="AA21"/>
          <cell r="AB21"/>
          <cell r="AC21"/>
          <cell r="AD21"/>
          <cell r="AE21"/>
          <cell r="AF21"/>
          <cell r="AG21"/>
          <cell r="AH21"/>
          <cell r="AI21"/>
          <cell r="AJ21"/>
          <cell r="AK21">
            <v>202413.31790123455</v>
          </cell>
          <cell r="AL21">
            <v>200250.12950997456</v>
          </cell>
          <cell r="AM21">
            <v>198110.05908380006</v>
          </cell>
          <cell r="AN21">
            <v>195992.85956133081</v>
          </cell>
          <cell r="AO21">
            <v>193898.28652152821</v>
          </cell>
          <cell r="AP21">
            <v>191826.09815547793</v>
          </cell>
          <cell r="AQ21">
            <v>189776.05523847431</v>
          </cell>
          <cell r="AR21">
            <v>187747.92110240282</v>
          </cell>
          <cell r="AS21">
            <v>185741.46160841791</v>
          </cell>
          <cell r="AT21">
            <v>183756.44511991271</v>
          </cell>
          <cell r="AU21">
            <v>181792.64247577763</v>
          </cell>
          <cell r="AV21">
            <v>179849.82696394474</v>
          </cell>
          <cell r="AW21">
            <v>177927.77429521491</v>
          </cell>
          <cell r="AX21">
            <v>176026.26257736469</v>
          </cell>
          <cell r="AY21">
            <v>174145.07228952978</v>
          </cell>
          <cell r="AZ21">
            <v>172283.98625686244</v>
          </cell>
          <cell r="BA21">
            <v>170442.78962545953</v>
          </cell>
          <cell r="BB21">
            <v>168621.26983755868</v>
          </cell>
          <cell r="BC21">
            <v>166819.21660699949</v>
          </cell>
          <cell r="BD21">
            <v>165036.42189494686</v>
          </cell>
        </row>
        <row r="22">
          <cell r="BD22"/>
        </row>
        <row r="23">
          <cell r="D23" t="str">
            <v>WASHINGTON</v>
          </cell>
          <cell r="E23"/>
          <cell r="F23"/>
          <cell r="G23"/>
          <cell r="BD23"/>
        </row>
        <row r="24">
          <cell r="C24" t="str">
            <v>WA_Single Family</v>
          </cell>
          <cell r="D24" t="str">
            <v>Single Family</v>
          </cell>
          <cell r="E24" t="str">
            <v>New</v>
          </cell>
          <cell r="F24">
            <v>17836</v>
          </cell>
          <cell r="G24">
            <v>19224</v>
          </cell>
          <cell r="H24">
            <v>20881</v>
          </cell>
          <cell r="I24">
            <v>22030</v>
          </cell>
          <cell r="J24">
            <v>26693</v>
          </cell>
          <cell r="K24">
            <v>29534</v>
          </cell>
          <cell r="L24">
            <v>25256</v>
          </cell>
          <cell r="M24">
            <v>32825</v>
          </cell>
          <cell r="N24">
            <v>33591</v>
          </cell>
          <cell r="O24">
            <v>34363</v>
          </cell>
          <cell r="P24">
            <v>28330</v>
          </cell>
          <cell r="Q24">
            <v>28658</v>
          </cell>
          <cell r="R24">
            <v>28846</v>
          </cell>
          <cell r="S24">
            <v>29714</v>
          </cell>
          <cell r="T24">
            <v>28101</v>
          </cell>
          <cell r="U24">
            <v>25350</v>
          </cell>
          <cell r="V24">
            <v>26054</v>
          </cell>
          <cell r="W24">
            <v>30098</v>
          </cell>
          <cell r="X24">
            <v>34243</v>
          </cell>
          <cell r="Y24">
            <v>36326</v>
          </cell>
          <cell r="Z24">
            <v>40247</v>
          </cell>
          <cell r="AA24">
            <v>36985</v>
          </cell>
          <cell r="AB24">
            <v>30373</v>
          </cell>
          <cell r="AC24">
            <v>18826</v>
          </cell>
          <cell r="AD24">
            <v>13391</v>
          </cell>
          <cell r="AE24">
            <v>14886</v>
          </cell>
          <cell r="AF24">
            <v>13829</v>
          </cell>
          <cell r="AG24">
            <v>16887</v>
          </cell>
          <cell r="AH24">
            <v>18274</v>
          </cell>
          <cell r="AI24">
            <v>24247</v>
          </cell>
          <cell r="AJ24">
            <v>30852</v>
          </cell>
          <cell r="AK24">
            <v>33055</v>
          </cell>
          <cell r="AL24">
            <v>31044</v>
          </cell>
          <cell r="AM24">
            <v>28849</v>
          </cell>
          <cell r="AN24">
            <v>27415</v>
          </cell>
          <cell r="AO24">
            <v>26216</v>
          </cell>
          <cell r="AP24">
            <v>24554</v>
          </cell>
          <cell r="AQ24">
            <v>23488</v>
          </cell>
          <cell r="AR24">
            <v>23152</v>
          </cell>
          <cell r="AS24">
            <v>22514</v>
          </cell>
          <cell r="AT24">
            <v>22375</v>
          </cell>
          <cell r="AU24">
            <v>22305</v>
          </cell>
          <cell r="AV24">
            <v>21816</v>
          </cell>
          <cell r="AW24">
            <v>21213</v>
          </cell>
          <cell r="AX24">
            <v>21215</v>
          </cell>
          <cell r="AY24">
            <v>21402</v>
          </cell>
          <cell r="AZ24">
            <v>21237</v>
          </cell>
          <cell r="BA24">
            <v>20416</v>
          </cell>
          <cell r="BB24">
            <v>20299</v>
          </cell>
          <cell r="BC24">
            <v>20303</v>
          </cell>
          <cell r="BD24">
            <v>20372</v>
          </cell>
        </row>
        <row r="25">
          <cell r="C25" t="str">
            <v>WA_Multi Family</v>
          </cell>
          <cell r="D25" t="str">
            <v>Multifamily - Low Rise</v>
          </cell>
          <cell r="E25" t="str">
            <v>New</v>
          </cell>
          <cell r="F25">
            <v>15061.883667534441</v>
          </cell>
          <cell r="G25">
            <v>14869.183557824352</v>
          </cell>
          <cell r="H25">
            <v>15220.21190520253</v>
          </cell>
          <cell r="I25">
            <v>18940.327900324999</v>
          </cell>
          <cell r="J25">
            <v>18837.087988326672</v>
          </cell>
          <cell r="K25">
            <v>17883.866659845167</v>
          </cell>
          <cell r="L25">
            <v>8123.2235993523336</v>
          </cell>
          <cell r="M25">
            <v>7903.1488702815295</v>
          </cell>
          <cell r="N25">
            <v>7592.1801314599406</v>
          </cell>
          <cell r="O25">
            <v>9401.6361134168346</v>
          </cell>
          <cell r="P25">
            <v>9701.2779324751245</v>
          </cell>
          <cell r="Q25">
            <v>11104.526723200062</v>
          </cell>
          <cell r="R25">
            <v>10897.632074550364</v>
          </cell>
          <cell r="S25">
            <v>12645.60766842474</v>
          </cell>
          <cell r="T25">
            <v>11965.262831791384</v>
          </cell>
          <cell r="U25">
            <v>10483.919915783859</v>
          </cell>
          <cell r="V25">
            <v>9971.9026959155963</v>
          </cell>
          <cell r="W25">
            <v>7253.9578552287549</v>
          </cell>
          <cell r="X25">
            <v>7119.6062546632547</v>
          </cell>
          <cell r="Y25">
            <v>7985.0504417912043</v>
          </cell>
          <cell r="Z25">
            <v>8677.2745487052198</v>
          </cell>
          <cell r="AA25">
            <v>9569.5883473366248</v>
          </cell>
          <cell r="AB25">
            <v>10771.842399662728</v>
          </cell>
          <cell r="AC25">
            <v>8763.9200796845034</v>
          </cell>
          <cell r="AD25">
            <v>2981.3702838569475</v>
          </cell>
          <cell r="AE25">
            <v>3522.5521445353306</v>
          </cell>
          <cell r="AF25">
            <v>5265.721927064159</v>
          </cell>
          <cell r="AG25">
            <v>8692.3033155335615</v>
          </cell>
          <cell r="AH25">
            <v>12312.39973222512</v>
          </cell>
          <cell r="AI25">
            <v>11883.279860328872</v>
          </cell>
          <cell r="AJ25">
            <v>13265.608797275603</v>
          </cell>
          <cell r="AK25">
            <v>13028.433829152391</v>
          </cell>
          <cell r="AL25">
            <v>13080.239965534132</v>
          </cell>
          <cell r="AM25">
            <v>12923.202614626804</v>
          </cell>
          <cell r="AN25">
            <v>11912.982955180836</v>
          </cell>
          <cell r="AO25">
            <v>10886.573878115541</v>
          </cell>
          <cell r="AP25">
            <v>10714.966051350757</v>
          </cell>
          <cell r="AQ25">
            <v>10719.822876636612</v>
          </cell>
          <cell r="AR25">
            <v>11250.835774550411</v>
          </cell>
          <cell r="AS25">
            <v>11653.142802390561</v>
          </cell>
          <cell r="AT25">
            <v>12252.151254305772</v>
          </cell>
          <cell r="AU25">
            <v>12363.048764997984</v>
          </cell>
          <cell r="AV25">
            <v>12613.98473809777</v>
          </cell>
          <cell r="AW25">
            <v>12900.537429959741</v>
          </cell>
          <cell r="AX25">
            <v>13132.046101915988</v>
          </cell>
          <cell r="AY25">
            <v>13215.421602655624</v>
          </cell>
          <cell r="AZ25">
            <v>13014.672824175932</v>
          </cell>
          <cell r="BA25">
            <v>12900.537429959741</v>
          </cell>
          <cell r="BB25">
            <v>12809.067220410498</v>
          </cell>
          <cell r="BC25">
            <v>12840.636584768163</v>
          </cell>
          <cell r="BD25">
            <v>12863.301769435224</v>
          </cell>
        </row>
        <row r="26">
          <cell r="C26" t="str">
            <v>WA</v>
          </cell>
          <cell r="D26" t="str">
            <v>Multifamily - High Rise</v>
          </cell>
          <cell r="E26" t="str">
            <v>New</v>
          </cell>
          <cell r="F26">
            <v>926.11633246555948</v>
          </cell>
          <cell r="G26">
            <v>968.81644217564758</v>
          </cell>
          <cell r="H26">
            <v>1167.7880947974693</v>
          </cell>
          <cell r="I26">
            <v>1180.6720996750003</v>
          </cell>
          <cell r="J26">
            <v>1129.91201167333</v>
          </cell>
          <cell r="K26">
            <v>657.13334015483224</v>
          </cell>
          <cell r="L26">
            <v>654.77640064766615</v>
          </cell>
          <cell r="M26">
            <v>652.8511297184707</v>
          </cell>
          <cell r="N26">
            <v>756.81986854005959</v>
          </cell>
          <cell r="O26">
            <v>787.36388658316514</v>
          </cell>
          <cell r="P26">
            <v>872.72206752487591</v>
          </cell>
          <cell r="Q26">
            <v>879.4732767999385</v>
          </cell>
          <cell r="R26">
            <v>984.36792544963578</v>
          </cell>
          <cell r="S26">
            <v>957.39233157526019</v>
          </cell>
          <cell r="T26">
            <v>887.73716820861637</v>
          </cell>
          <cell r="U26">
            <v>863.08008421613988</v>
          </cell>
          <cell r="V26">
            <v>722.09730408440362</v>
          </cell>
          <cell r="W26">
            <v>726.04214477124526</v>
          </cell>
          <cell r="X26">
            <v>786.3937453367455</v>
          </cell>
          <cell r="Y26">
            <v>838.94955820879602</v>
          </cell>
          <cell r="Z26">
            <v>904.72545129478021</v>
          </cell>
          <cell r="AA26">
            <v>978.41165266337521</v>
          </cell>
          <cell r="AB26">
            <v>852.15760033727156</v>
          </cell>
          <cell r="AC26">
            <v>520.07992031549577</v>
          </cell>
          <cell r="AD26">
            <v>564.62971614305252</v>
          </cell>
          <cell r="AE26">
            <v>705.44785546466926</v>
          </cell>
          <cell r="AF26">
            <v>1217.2780729358408</v>
          </cell>
          <cell r="AG26">
            <v>806.69668446643777</v>
          </cell>
          <cell r="AH26">
            <v>792.60026777487974</v>
          </cell>
          <cell r="AI26">
            <v>992.72013967112821</v>
          </cell>
          <cell r="AJ26">
            <v>3024.5103613152296</v>
          </cell>
          <cell r="AK26">
            <v>2970.4353347186084</v>
          </cell>
          <cell r="AL26">
            <v>2982.246944623661</v>
          </cell>
          <cell r="AM26">
            <v>2946.4430020989594</v>
          </cell>
          <cell r="AN26">
            <v>2716.1166089502017</v>
          </cell>
          <cell r="AO26">
            <v>2482.099087706139</v>
          </cell>
          <cell r="AP26">
            <v>2442.9731298956272</v>
          </cell>
          <cell r="AQ26">
            <v>2444.0804683242377</v>
          </cell>
          <cell r="AR26">
            <v>2565.1494698511356</v>
          </cell>
          <cell r="AS26">
            <v>2656.874003020107</v>
          </cell>
          <cell r="AT26">
            <v>2793.4457425474475</v>
          </cell>
          <cell r="AU26">
            <v>2818.729970000426</v>
          </cell>
          <cell r="AV26">
            <v>2875.9424554781176</v>
          </cell>
          <cell r="AW26">
            <v>2941.2754227654787</v>
          </cell>
          <cell r="AX26">
            <v>2994.0585545287277</v>
          </cell>
          <cell r="AY26">
            <v>3013.0678642196926</v>
          </cell>
          <cell r="AZ26">
            <v>2967.2978758375662</v>
          </cell>
          <cell r="BA26">
            <v>2941.2754227654787</v>
          </cell>
          <cell r="BB26">
            <v>2920.4205490268364</v>
          </cell>
          <cell r="BC26">
            <v>2927.6182488127561</v>
          </cell>
          <cell r="BD26">
            <v>2932.7858281462154</v>
          </cell>
        </row>
        <row r="27">
          <cell r="C27" t="str">
            <v>WA_Other Family</v>
          </cell>
          <cell r="D27" t="str">
            <v>Manufactured</v>
          </cell>
          <cell r="E27" t="str">
            <v>New</v>
          </cell>
          <cell r="F27">
            <v>5597</v>
          </cell>
          <cell r="G27">
            <v>4550</v>
          </cell>
          <cell r="H27">
            <v>3873</v>
          </cell>
          <cell r="I27">
            <v>4184</v>
          </cell>
          <cell r="J27">
            <v>4397</v>
          </cell>
          <cell r="K27">
            <v>5645</v>
          </cell>
          <cell r="L27">
            <v>5353</v>
          </cell>
          <cell r="M27">
            <v>5964</v>
          </cell>
          <cell r="N27">
            <v>6849</v>
          </cell>
          <cell r="O27">
            <v>7332</v>
          </cell>
          <cell r="P27">
            <v>7252</v>
          </cell>
          <cell r="Q27">
            <v>6257</v>
          </cell>
          <cell r="R27">
            <v>6419</v>
          </cell>
          <cell r="S27">
            <v>6874</v>
          </cell>
          <cell r="T27">
            <v>5339</v>
          </cell>
          <cell r="U27">
            <v>3853</v>
          </cell>
          <cell r="V27">
            <v>2971</v>
          </cell>
          <cell r="W27">
            <v>2933</v>
          </cell>
          <cell r="X27">
            <v>2868</v>
          </cell>
          <cell r="Y27">
            <v>2705</v>
          </cell>
          <cell r="Z27">
            <v>2723</v>
          </cell>
          <cell r="AA27">
            <v>2653</v>
          </cell>
          <cell r="AB27">
            <v>2063</v>
          </cell>
          <cell r="AC27">
            <v>1621</v>
          </cell>
          <cell r="AD27">
            <v>859</v>
          </cell>
          <cell r="AE27">
            <v>681</v>
          </cell>
          <cell r="AF27">
            <v>563</v>
          </cell>
          <cell r="AG27">
            <v>560</v>
          </cell>
          <cell r="AH27">
            <v>1057.8333333333333</v>
          </cell>
          <cell r="AI27">
            <v>890.30555555555554</v>
          </cell>
          <cell r="AJ27">
            <v>768.52314814814815</v>
          </cell>
          <cell r="AK27">
            <v>753.44367283950612</v>
          </cell>
          <cell r="AL27">
            <v>765.51761831275724</v>
          </cell>
          <cell r="AM27">
            <v>799.27055469821664</v>
          </cell>
          <cell r="AN27">
            <v>839.14898048125281</v>
          </cell>
          <cell r="AO27">
            <v>802.70158833923949</v>
          </cell>
          <cell r="AP27">
            <v>788.10092713652</v>
          </cell>
          <cell r="AQ27">
            <v>791.36389030124872</v>
          </cell>
          <cell r="AR27">
            <v>797.68392654487252</v>
          </cell>
          <cell r="AS27">
            <v>803.04497791689175</v>
          </cell>
          <cell r="AT27">
            <v>803.6740484533376</v>
          </cell>
          <cell r="AU27">
            <v>797.76155978201825</v>
          </cell>
          <cell r="AV27">
            <v>796.93822168914812</v>
          </cell>
          <cell r="AW27">
            <v>798.41110411458612</v>
          </cell>
          <cell r="AX27">
            <v>799.58563975014238</v>
          </cell>
          <cell r="AY27">
            <v>799.90259195102078</v>
          </cell>
          <cell r="AZ27">
            <v>799.37886095670899</v>
          </cell>
          <cell r="BA27">
            <v>798.6629963739374</v>
          </cell>
          <cell r="BB27">
            <v>798.81323580592414</v>
          </cell>
          <cell r="BC27">
            <v>799.12573815872008</v>
          </cell>
          <cell r="BD27">
            <v>799.24484383274228</v>
          </cell>
        </row>
        <row r="28">
          <cell r="C28" t="str">
            <v>WA_Single Family</v>
          </cell>
          <cell r="D28" t="str">
            <v>Single Family</v>
          </cell>
          <cell r="E28" t="str">
            <v>Existing</v>
          </cell>
          <cell r="F28"/>
          <cell r="G28"/>
          <cell r="H28"/>
          <cell r="I28"/>
          <cell r="J28"/>
          <cell r="K28"/>
          <cell r="L28"/>
          <cell r="M28"/>
          <cell r="N28"/>
          <cell r="O28"/>
          <cell r="P28"/>
          <cell r="Q28"/>
          <cell r="R28"/>
          <cell r="S28"/>
          <cell r="T28"/>
          <cell r="U28"/>
          <cell r="V28"/>
          <cell r="W28"/>
          <cell r="X28"/>
          <cell r="Y28"/>
          <cell r="Z28"/>
          <cell r="AA28"/>
          <cell r="AB28"/>
          <cell r="AC28"/>
          <cell r="AD28"/>
          <cell r="AE28"/>
          <cell r="AF28"/>
          <cell r="AG28"/>
          <cell r="AH28"/>
          <cell r="AI28"/>
          <cell r="AJ28"/>
          <cell r="AK28">
            <v>2177155</v>
          </cell>
          <cell r="AL28">
            <v>2172211.1571348798</v>
          </cell>
          <cell r="AM28">
            <v>2167278.5406556972</v>
          </cell>
          <cell r="AN28">
            <v>2162357.1250697845</v>
          </cell>
          <cell r="AO28">
            <v>2157446.8849423626</v>
          </cell>
          <cell r="AP28">
            <v>2152547.7948964094</v>
          </cell>
          <cell r="AQ28">
            <v>2147659.8296125284</v>
          </cell>
          <cell r="AR28">
            <v>2142782.9638288179</v>
          </cell>
          <cell r="AS28">
            <v>2137917.1723407404</v>
          </cell>
          <cell r="AT28">
            <v>2133062.4300009925</v>
          </cell>
          <cell r="AU28">
            <v>2128218.7117193746</v>
          </cell>
          <cell r="AV28">
            <v>2123385.9924626616</v>
          </cell>
          <cell r="AW28">
            <v>2118564.2472544736</v>
          </cell>
          <cell r="AX28">
            <v>2113753.4511751467</v>
          </cell>
          <cell r="AY28">
            <v>2108953.5793616036</v>
          </cell>
          <cell r="AZ28">
            <v>2104164.6070072255</v>
          </cell>
          <cell r="BA28">
            <v>2099386.5093617244</v>
          </cell>
          <cell r="BB28">
            <v>2094619.2617310151</v>
          </cell>
          <cell r="BC28">
            <v>2089862.8394770864</v>
          </cell>
          <cell r="BD28">
            <v>2085117.2180178757</v>
          </cell>
        </row>
        <row r="29">
          <cell r="C29" t="str">
            <v>WA_Multi Family</v>
          </cell>
          <cell r="D29" t="str">
            <v>Multifamily - Low Rise</v>
          </cell>
          <cell r="E29" t="str">
            <v>Existing</v>
          </cell>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cell r="AI29"/>
          <cell r="AJ29"/>
          <cell r="AK29">
            <v>558037.0832749434</v>
          </cell>
          <cell r="AL29">
            <v>556769.88272716023</v>
          </cell>
          <cell r="AM29">
            <v>555505.55976095074</v>
          </cell>
          <cell r="AN29">
            <v>554244.10784185154</v>
          </cell>
          <cell r="AO29">
            <v>552985.52045023767</v>
          </cell>
          <cell r="AP29">
            <v>551729.79108128918</v>
          </cell>
          <cell r="AQ29">
            <v>550476.91324495722</v>
          </cell>
          <cell r="AR29">
            <v>549226.88046593068</v>
          </cell>
          <cell r="AS29">
            <v>547979.68628360284</v>
          </cell>
          <cell r="AT29">
            <v>546735.3242520378</v>
          </cell>
          <cell r="AU29">
            <v>545493.78793993709</v>
          </cell>
          <cell r="AV29">
            <v>544255.07093060669</v>
          </cell>
          <cell r="AW29">
            <v>543019.16682192357</v>
          </cell>
          <cell r="AX29">
            <v>541786.06922630291</v>
          </cell>
          <cell r="AY29">
            <v>540555.77177066484</v>
          </cell>
          <cell r="AZ29">
            <v>539328.26809640159</v>
          </cell>
          <cell r="BA29">
            <v>538103.55185934459</v>
          </cell>
          <cell r="BB29">
            <v>536881.6167297319</v>
          </cell>
          <cell r="BC29">
            <v>535662.45639217517</v>
          </cell>
          <cell r="BD29">
            <v>534446.06454562722</v>
          </cell>
        </row>
        <row r="30">
          <cell r="D30" t="str">
            <v>Multifamily - High Rise</v>
          </cell>
          <cell r="E30" t="str">
            <v>Existing</v>
          </cell>
          <cell r="F30"/>
          <cell r="G30"/>
          <cell r="H30"/>
          <cell r="I30"/>
          <cell r="J30"/>
          <cell r="K30"/>
          <cell r="L30"/>
          <cell r="M30"/>
          <cell r="N30"/>
          <cell r="O30"/>
          <cell r="P30"/>
          <cell r="Q30"/>
          <cell r="R30"/>
          <cell r="S30"/>
          <cell r="T30"/>
          <cell r="U30"/>
          <cell r="V30"/>
          <cell r="W30"/>
          <cell r="X30"/>
          <cell r="Y30"/>
          <cell r="Z30"/>
          <cell r="AA30"/>
          <cell r="AB30"/>
          <cell r="AC30"/>
          <cell r="AD30"/>
          <cell r="AE30"/>
          <cell r="AF30"/>
          <cell r="AG30"/>
          <cell r="AH30"/>
          <cell r="AI30"/>
          <cell r="AJ30"/>
          <cell r="AK30">
            <v>127230.41710003006</v>
          </cell>
          <cell r="AL30">
            <v>126941.50000280481</v>
          </cell>
          <cell r="AM30">
            <v>126653.23898366978</v>
          </cell>
          <cell r="AN30">
            <v>126365.63255279115</v>
          </cell>
          <cell r="AO30">
            <v>126078.67922371827</v>
          </cell>
          <cell r="AP30">
            <v>125792.3775133759</v>
          </cell>
          <cell r="AQ30">
            <v>125506.72594205666</v>
          </cell>
          <cell r="AR30">
            <v>125221.72303341323</v>
          </cell>
          <cell r="AS30">
            <v>124937.36731445088</v>
          </cell>
          <cell r="AT30">
            <v>124653.65731551975</v>
          </cell>
          <cell r="AU30">
            <v>124370.5915703073</v>
          </cell>
          <cell r="AV30">
            <v>124088.1686158307</v>
          </cell>
          <cell r="AW30">
            <v>123806.3869924293</v>
          </cell>
          <cell r="AX30">
            <v>123525.24524375708</v>
          </cell>
          <cell r="AY30">
            <v>123244.74191677509</v>
          </cell>
          <cell r="AZ30">
            <v>122964.875561744</v>
          </cell>
          <cell r="BA30">
            <v>122685.64473221656</v>
          </cell>
          <cell r="BB30">
            <v>122407.04798503013</v>
          </cell>
          <cell r="BC30">
            <v>122129.08388029925</v>
          </cell>
          <cell r="BD30">
            <v>121851.75098140814</v>
          </cell>
        </row>
        <row r="31">
          <cell r="C31" t="str">
            <v>WA_Other Family</v>
          </cell>
          <cell r="D31" t="str">
            <v>Manufactured</v>
          </cell>
          <cell r="E31" t="str">
            <v>Existing</v>
          </cell>
          <cell r="F31"/>
          <cell r="G31"/>
          <cell r="H31"/>
          <cell r="I31"/>
          <cell r="J31"/>
          <cell r="K31"/>
          <cell r="L31"/>
          <cell r="M31"/>
          <cell r="N31"/>
          <cell r="O31"/>
          <cell r="P31"/>
          <cell r="Q31"/>
          <cell r="R31"/>
          <cell r="S31"/>
          <cell r="T31"/>
          <cell r="U31"/>
          <cell r="V31"/>
          <cell r="W31"/>
          <cell r="X31"/>
          <cell r="Y31"/>
          <cell r="Z31"/>
          <cell r="AA31"/>
          <cell r="AB31"/>
          <cell r="AC31"/>
          <cell r="AD31"/>
          <cell r="AE31"/>
          <cell r="AF31"/>
          <cell r="AG31"/>
          <cell r="AH31"/>
          <cell r="AI31"/>
          <cell r="AJ31"/>
          <cell r="AK31">
            <v>244055.10570987655</v>
          </cell>
          <cell r="AL31">
            <v>241446.89209541003</v>
          </cell>
          <cell r="AM31">
            <v>238866.55242457156</v>
          </cell>
          <cell r="AN31">
            <v>236313.78880890249</v>
          </cell>
          <cell r="AO31">
            <v>233788.30654347411</v>
          </cell>
          <cell r="AP31">
            <v>231289.81407286532</v>
          </cell>
          <cell r="AQ31">
            <v>228818.02295750388</v>
          </cell>
          <cell r="AR31">
            <v>226372.64784036731</v>
          </cell>
          <cell r="AS31">
            <v>223953.40641403978</v>
          </cell>
          <cell r="AT31">
            <v>221560.01938812103</v>
          </cell>
          <cell r="AU31">
            <v>219192.21045698351</v>
          </cell>
          <cell r="AV31">
            <v>216849.70626787416</v>
          </cell>
          <cell r="AW31">
            <v>214532.23638935713</v>
          </cell>
          <cell r="AX31">
            <v>212239.53328009363</v>
          </cell>
          <cell r="AY31">
            <v>209971.33225795557</v>
          </cell>
          <cell r="AZ31">
            <v>207727.37146946916</v>
          </cell>
          <cell r="BA31">
            <v>205507.39185958516</v>
          </cell>
          <cell r="BB31">
            <v>203311.13714177214</v>
          </cell>
          <cell r="BC31">
            <v>201138.35376842934</v>
          </cell>
          <cell r="BD31">
            <v>198988.79090161584</v>
          </cell>
        </row>
        <row r="32">
          <cell r="BD32"/>
        </row>
        <row r="33">
          <cell r="D33" t="str">
            <v>IDAHO</v>
          </cell>
          <cell r="E33"/>
          <cell r="F33"/>
          <cell r="G33"/>
          <cell r="BD33"/>
        </row>
        <row r="34">
          <cell r="C34" t="str">
            <v>ID_Single Family</v>
          </cell>
          <cell r="D34" t="str">
            <v>Single Family</v>
          </cell>
          <cell r="E34" t="str">
            <v>New</v>
          </cell>
          <cell r="F34">
            <v>3059</v>
          </cell>
          <cell r="G34">
            <v>2868</v>
          </cell>
          <cell r="H34">
            <v>2692</v>
          </cell>
          <cell r="I34">
            <v>2813</v>
          </cell>
          <cell r="J34">
            <v>3536</v>
          </cell>
          <cell r="K34">
            <v>4754</v>
          </cell>
          <cell r="L34">
            <v>5803</v>
          </cell>
          <cell r="M34">
            <v>8453</v>
          </cell>
          <cell r="N34">
            <v>9522</v>
          </cell>
          <cell r="O34">
            <v>10120</v>
          </cell>
          <cell r="P34">
            <v>8784</v>
          </cell>
          <cell r="Q34">
            <v>9538</v>
          </cell>
          <cell r="R34">
            <v>9107</v>
          </cell>
          <cell r="S34">
            <v>10575</v>
          </cell>
          <cell r="T34">
            <v>10544</v>
          </cell>
          <cell r="U34">
            <v>9631</v>
          </cell>
          <cell r="V34">
            <v>9441</v>
          </cell>
          <cell r="W34">
            <v>10730</v>
          </cell>
          <cell r="X34">
            <v>12976</v>
          </cell>
          <cell r="Y34">
            <v>15094</v>
          </cell>
          <cell r="Z34">
            <v>18771</v>
          </cell>
          <cell r="AA34">
            <v>15444</v>
          </cell>
          <cell r="AB34">
            <v>9693</v>
          </cell>
          <cell r="AC34">
            <v>6027</v>
          </cell>
          <cell r="AD34">
            <v>4336</v>
          </cell>
          <cell r="AE34">
            <v>3706</v>
          </cell>
          <cell r="AF34">
            <v>3258</v>
          </cell>
          <cell r="AG34">
            <v>5091</v>
          </cell>
          <cell r="AH34">
            <v>7002</v>
          </cell>
          <cell r="AI34">
            <v>7509</v>
          </cell>
          <cell r="AJ34">
            <v>9778</v>
          </cell>
          <cell r="AK34">
            <v>10507</v>
          </cell>
          <cell r="AL34">
            <v>10382</v>
          </cell>
          <cell r="AM34">
            <v>10055</v>
          </cell>
          <cell r="AN34">
            <v>10071</v>
          </cell>
          <cell r="AO34">
            <v>10039</v>
          </cell>
          <cell r="AP34">
            <v>9821</v>
          </cell>
          <cell r="AQ34">
            <v>9813</v>
          </cell>
          <cell r="AR34">
            <v>9958</v>
          </cell>
          <cell r="AS34">
            <v>10085</v>
          </cell>
          <cell r="AT34">
            <v>10505</v>
          </cell>
          <cell r="AU34">
            <v>10749</v>
          </cell>
          <cell r="AV34">
            <v>10878</v>
          </cell>
          <cell r="AW34">
            <v>10846</v>
          </cell>
          <cell r="AX34">
            <v>10975</v>
          </cell>
          <cell r="AY34">
            <v>11099</v>
          </cell>
          <cell r="AZ34">
            <v>11121</v>
          </cell>
          <cell r="BA34">
            <v>10926</v>
          </cell>
          <cell r="BB34">
            <v>11030</v>
          </cell>
          <cell r="BC34">
            <v>11073</v>
          </cell>
          <cell r="BD34">
            <v>11167</v>
          </cell>
        </row>
        <row r="35">
          <cell r="C35" t="str">
            <v>ID_Multi Family</v>
          </cell>
          <cell r="D35" t="str">
            <v>Multifamily - Low Rise</v>
          </cell>
          <cell r="E35" t="str">
            <v>New</v>
          </cell>
          <cell r="F35">
            <v>945.31021109984124</v>
          </cell>
          <cell r="G35">
            <v>848.82991832591654</v>
          </cell>
          <cell r="H35">
            <v>518.17882714524762</v>
          </cell>
          <cell r="I35">
            <v>288.37484437276629</v>
          </cell>
          <cell r="J35">
            <v>818.68632809921849</v>
          </cell>
          <cell r="K35">
            <v>922.54881309467987</v>
          </cell>
          <cell r="L35">
            <v>713.12107820425172</v>
          </cell>
          <cell r="M35">
            <v>1322.6430437243826</v>
          </cell>
          <cell r="N35">
            <v>1874.8440142054371</v>
          </cell>
          <cell r="O35">
            <v>2484.0690897878753</v>
          </cell>
          <cell r="P35">
            <v>1754.5624245646084</v>
          </cell>
          <cell r="Q35">
            <v>1502.6818009503679</v>
          </cell>
          <cell r="R35">
            <v>1099.0598706051132</v>
          </cell>
          <cell r="S35">
            <v>998.51700550573537</v>
          </cell>
          <cell r="T35">
            <v>1279.6542411025091</v>
          </cell>
          <cell r="U35">
            <v>931.97705912690287</v>
          </cell>
          <cell r="V35">
            <v>1416.4873706075907</v>
          </cell>
          <cell r="W35">
            <v>1622.1096316302473</v>
          </cell>
          <cell r="X35">
            <v>1725.2037386728252</v>
          </cell>
          <cell r="Y35">
            <v>1627.7922787378966</v>
          </cell>
          <cell r="Z35">
            <v>1461.0310065714518</v>
          </cell>
          <cell r="AA35">
            <v>1503.1641209172849</v>
          </cell>
          <cell r="AB35">
            <v>1434.6085653222435</v>
          </cell>
          <cell r="AC35">
            <v>616.53672479350837</v>
          </cell>
          <cell r="AD35">
            <v>410.6655928821981</v>
          </cell>
          <cell r="AE35">
            <v>283.5340494616637</v>
          </cell>
          <cell r="AF35">
            <v>511.5577769900774</v>
          </cell>
          <cell r="AG35">
            <v>753.64796270668967</v>
          </cell>
          <cell r="AH35">
            <v>1498.8895230864375</v>
          </cell>
          <cell r="AI35">
            <v>1723.6804258697659</v>
          </cell>
          <cell r="AJ35">
            <v>2047.1518579637404</v>
          </cell>
          <cell r="AK35">
            <v>2037.4382073921424</v>
          </cell>
          <cell r="AL35">
            <v>2026.9150859395779</v>
          </cell>
          <cell r="AM35">
            <v>2022.8677315347454</v>
          </cell>
          <cell r="AN35">
            <v>1909.5418081994781</v>
          </cell>
          <cell r="AO35">
            <v>1724.9824473391584</v>
          </cell>
          <cell r="AP35">
            <v>1653.7490098141207</v>
          </cell>
          <cell r="AQ35">
            <v>1669.9384274334507</v>
          </cell>
          <cell r="AR35">
            <v>1698.2699082672639</v>
          </cell>
          <cell r="AS35">
            <v>1706.3646170769289</v>
          </cell>
          <cell r="AT35">
            <v>1733.8866270297899</v>
          </cell>
          <cell r="AU35">
            <v>1733.0771561488234</v>
          </cell>
          <cell r="AV35">
            <v>1759.7896952207038</v>
          </cell>
          <cell r="AW35">
            <v>1788.1211760545311</v>
          </cell>
          <cell r="AX35">
            <v>1819.6905404122106</v>
          </cell>
          <cell r="AY35">
            <v>1830.2136618647751</v>
          </cell>
          <cell r="AZ35">
            <v>1848.8314921269903</v>
          </cell>
          <cell r="BA35">
            <v>1873.925089436952</v>
          </cell>
          <cell r="BB35">
            <v>1904.6849829136791</v>
          </cell>
          <cell r="BC35">
            <v>1945.9679978429422</v>
          </cell>
          <cell r="BD35">
            <v>1994.5362507009463</v>
          </cell>
        </row>
        <row r="36">
          <cell r="C36" t="str">
            <v>ID</v>
          </cell>
          <cell r="D36" t="str">
            <v>Multifamily - High Rise</v>
          </cell>
          <cell r="E36" t="str">
            <v>New</v>
          </cell>
          <cell r="F36">
            <v>60.689788900158746</v>
          </cell>
          <cell r="G36">
            <v>45.170081674083427</v>
          </cell>
          <cell r="H36">
            <v>35.82117285475239</v>
          </cell>
          <cell r="I36">
            <v>62.625155627233696</v>
          </cell>
          <cell r="J36">
            <v>68.313671900781529</v>
          </cell>
          <cell r="K36">
            <v>60.451186905320142</v>
          </cell>
          <cell r="L36">
            <v>93.878921795748312</v>
          </cell>
          <cell r="M36">
            <v>125.35695627561738</v>
          </cell>
          <cell r="N36">
            <v>157.15598579456281</v>
          </cell>
          <cell r="O36">
            <v>120.93091021212476</v>
          </cell>
          <cell r="P36">
            <v>108.43757543539168</v>
          </cell>
          <cell r="Q36">
            <v>88.318199049632</v>
          </cell>
          <cell r="R36">
            <v>84.940129394886824</v>
          </cell>
          <cell r="S36">
            <v>100.48299449426467</v>
          </cell>
          <cell r="T36">
            <v>84.345758897490967</v>
          </cell>
          <cell r="U36">
            <v>113.02294087309717</v>
          </cell>
          <cell r="V36">
            <v>126.51262939240925</v>
          </cell>
          <cell r="W36">
            <v>133.89036836975254</v>
          </cell>
          <cell r="X36">
            <v>129.79626132717482</v>
          </cell>
          <cell r="Y36">
            <v>122.20772126210333</v>
          </cell>
          <cell r="Z36">
            <v>125.96899342854817</v>
          </cell>
          <cell r="AA36">
            <v>120.8358790827151</v>
          </cell>
          <cell r="AB36">
            <v>73.391434677756436</v>
          </cell>
          <cell r="AC36">
            <v>61.463275206491645</v>
          </cell>
          <cell r="AD36">
            <v>55.334407117801909</v>
          </cell>
          <cell r="AE36">
            <v>72.465950538336273</v>
          </cell>
          <cell r="AF36">
            <v>121.44222300992257</v>
          </cell>
          <cell r="AG36">
            <v>99.352037293310332</v>
          </cell>
          <cell r="AH36">
            <v>115.11047691356247</v>
          </cell>
          <cell r="AI36">
            <v>146.31957413023412</v>
          </cell>
          <cell r="AJ36">
            <v>466.74314765475788</v>
          </cell>
          <cell r="AK36">
            <v>464.52847079755878</v>
          </cell>
          <cell r="AL36">
            <v>462.12923753559477</v>
          </cell>
          <cell r="AM36">
            <v>461.20645551175875</v>
          </cell>
          <cell r="AN36">
            <v>435.3685588444369</v>
          </cell>
          <cell r="AO36">
            <v>393.28969855764842</v>
          </cell>
          <cell r="AP36">
            <v>377.04873493818434</v>
          </cell>
          <cell r="AQ36">
            <v>380.7398630335195</v>
          </cell>
          <cell r="AR36">
            <v>387.1993372003484</v>
          </cell>
          <cell r="AS36">
            <v>389.04490124801771</v>
          </cell>
          <cell r="AT36">
            <v>395.31981901007907</v>
          </cell>
          <cell r="AU36">
            <v>395.13526260531506</v>
          </cell>
          <cell r="AV36">
            <v>401.22562396261065</v>
          </cell>
          <cell r="AW36">
            <v>407.6850981294449</v>
          </cell>
          <cell r="AX36">
            <v>414.88279791534046</v>
          </cell>
          <cell r="AY36">
            <v>417.28203117730709</v>
          </cell>
          <cell r="AZ36">
            <v>421.52682848694133</v>
          </cell>
          <cell r="BA36">
            <v>427.24807703470356</v>
          </cell>
          <cell r="BB36">
            <v>434.26122041583335</v>
          </cell>
          <cell r="BC36">
            <v>443.67359705893341</v>
          </cell>
          <cell r="BD36">
            <v>454.74698134493076</v>
          </cell>
        </row>
        <row r="37">
          <cell r="C37" t="str">
            <v>ID_Other Family</v>
          </cell>
          <cell r="D37" t="str">
            <v>Manufactured</v>
          </cell>
          <cell r="E37" t="str">
            <v>New</v>
          </cell>
          <cell r="F37">
            <v>1200</v>
          </cell>
          <cell r="G37">
            <v>838</v>
          </cell>
          <cell r="H37">
            <v>605</v>
          </cell>
          <cell r="I37">
            <v>572</v>
          </cell>
          <cell r="J37">
            <v>703</v>
          </cell>
          <cell r="K37">
            <v>820</v>
          </cell>
          <cell r="L37">
            <v>1089</v>
          </cell>
          <cell r="M37">
            <v>1696</v>
          </cell>
          <cell r="N37">
            <v>2779</v>
          </cell>
          <cell r="O37">
            <v>3712</v>
          </cell>
          <cell r="P37">
            <v>3167</v>
          </cell>
          <cell r="Q37">
            <v>2635</v>
          </cell>
          <cell r="R37">
            <v>2634</v>
          </cell>
          <cell r="S37">
            <v>2980</v>
          </cell>
          <cell r="T37">
            <v>2343</v>
          </cell>
          <cell r="U37">
            <v>1317</v>
          </cell>
          <cell r="V37">
            <v>998</v>
          </cell>
          <cell r="W37">
            <v>1042</v>
          </cell>
          <cell r="X37">
            <v>785</v>
          </cell>
          <cell r="Y37">
            <v>765</v>
          </cell>
          <cell r="Z37">
            <v>798</v>
          </cell>
          <cell r="AA37">
            <v>849</v>
          </cell>
          <cell r="AB37">
            <v>721</v>
          </cell>
          <cell r="AC37">
            <v>526</v>
          </cell>
          <cell r="AD37">
            <v>273</v>
          </cell>
          <cell r="AE37">
            <v>283</v>
          </cell>
          <cell r="AF37">
            <v>264</v>
          </cell>
          <cell r="AG37">
            <v>217</v>
          </cell>
          <cell r="AH37">
            <v>268.84999999999997</v>
          </cell>
          <cell r="AI37">
            <v>305.30833333333334</v>
          </cell>
          <cell r="AJ37">
            <v>268.5263888888889</v>
          </cell>
          <cell r="AK37">
            <v>267.78078703703704</v>
          </cell>
          <cell r="AL37">
            <v>265.24425154320988</v>
          </cell>
          <cell r="AM37">
            <v>265.45162680041153</v>
          </cell>
          <cell r="AN37">
            <v>273.52689793381347</v>
          </cell>
          <cell r="AO37">
            <v>274.30638092278235</v>
          </cell>
          <cell r="AP37">
            <v>269.13938885435721</v>
          </cell>
          <cell r="AQ37">
            <v>269.2415555152686</v>
          </cell>
          <cell r="AR37">
            <v>269.48501692830718</v>
          </cell>
          <cell r="AS37">
            <v>270.19181115915677</v>
          </cell>
          <cell r="AT37">
            <v>270.9818418856143</v>
          </cell>
          <cell r="AU37">
            <v>270.55766587758109</v>
          </cell>
          <cell r="AV37">
            <v>269.93288003671415</v>
          </cell>
          <cell r="AW37">
            <v>270.06512856710702</v>
          </cell>
          <cell r="AX37">
            <v>270.2023907424134</v>
          </cell>
          <cell r="AY37">
            <v>270.32195304476443</v>
          </cell>
          <cell r="AZ37">
            <v>270.34364335903234</v>
          </cell>
          <cell r="BA37">
            <v>270.23727693793541</v>
          </cell>
          <cell r="BB37">
            <v>270.18387878132779</v>
          </cell>
          <cell r="BC37">
            <v>270.22571190543005</v>
          </cell>
          <cell r="BD37">
            <v>270.25247579515059</v>
          </cell>
        </row>
        <row r="38">
          <cell r="C38" t="str">
            <v>ID_Single Family</v>
          </cell>
          <cell r="D38" t="str">
            <v>Single Family</v>
          </cell>
          <cell r="E38" t="str">
            <v>Existing</v>
          </cell>
          <cell r="F38"/>
          <cell r="G38"/>
          <cell r="H38"/>
          <cell r="I38"/>
          <cell r="J38"/>
          <cell r="K38"/>
          <cell r="L38"/>
          <cell r="M38"/>
          <cell r="N38"/>
          <cell r="O38"/>
          <cell r="P38"/>
          <cell r="Q38"/>
          <cell r="R38"/>
          <cell r="S38"/>
          <cell r="T38"/>
          <cell r="U38"/>
          <cell r="V38"/>
          <cell r="W38"/>
          <cell r="X38"/>
          <cell r="Y38"/>
          <cell r="Z38"/>
          <cell r="AA38"/>
          <cell r="AB38"/>
          <cell r="AC38"/>
          <cell r="AD38"/>
          <cell r="AE38"/>
          <cell r="AF38"/>
          <cell r="AG38"/>
          <cell r="AH38"/>
          <cell r="AI38"/>
          <cell r="AJ38"/>
          <cell r="AK38">
            <v>560451</v>
          </cell>
          <cell r="AL38">
            <v>559178.33834862499</v>
          </cell>
          <cell r="AM38">
            <v>557908.56663353147</v>
          </cell>
          <cell r="AN38">
            <v>556641.67829230614</v>
          </cell>
          <cell r="AO38">
            <v>555377.66677743755</v>
          </cell>
          <cell r="AP38">
            <v>554116.52555628214</v>
          </cell>
          <cell r="AQ38">
            <v>552858.24811103067</v>
          </cell>
          <cell r="AR38">
            <v>551602.82793867437</v>
          </cell>
          <cell r="AS38">
            <v>550350.25855097128</v>
          </cell>
          <cell r="AT38">
            <v>549100.5334744131</v>
          </cell>
          <cell r="AU38">
            <v>547853.64625019114</v>
          </cell>
          <cell r="AV38">
            <v>546609.59043416334</v>
          </cell>
          <cell r="AW38">
            <v>545368.35959682101</v>
          </cell>
          <cell r="AX38">
            <v>544129.94732325536</v>
          </cell>
          <cell r="AY38">
            <v>542894.34721312439</v>
          </cell>
          <cell r="AZ38">
            <v>541661.55288062</v>
          </cell>
          <cell r="BA38">
            <v>540431.55795443489</v>
          </cell>
          <cell r="BB38">
            <v>539204.35607772938</v>
          </cell>
          <cell r="BC38">
            <v>537979.94090809906</v>
          </cell>
          <cell r="BD38">
            <v>536758.30611754162</v>
          </cell>
        </row>
        <row r="39">
          <cell r="C39" t="str">
            <v>ID_Multi Family</v>
          </cell>
          <cell r="D39" t="str">
            <v>Multifamily - Low Rise</v>
          </cell>
          <cell r="E39" t="str">
            <v>Existing</v>
          </cell>
          <cell r="F39"/>
          <cell r="G39"/>
          <cell r="H39"/>
          <cell r="I39"/>
          <cell r="J39"/>
          <cell r="K39"/>
          <cell r="L39"/>
          <cell r="M39"/>
          <cell r="N39"/>
          <cell r="O39"/>
          <cell r="P39"/>
          <cell r="Q39"/>
          <cell r="R39"/>
          <cell r="S39"/>
          <cell r="T39"/>
          <cell r="U39"/>
          <cell r="V39"/>
          <cell r="W39"/>
          <cell r="X39"/>
          <cell r="Y39"/>
          <cell r="Z39"/>
          <cell r="AA39"/>
          <cell r="AB39"/>
          <cell r="AC39"/>
          <cell r="AD39"/>
          <cell r="AE39"/>
          <cell r="AF39"/>
          <cell r="AG39"/>
          <cell r="AH39"/>
          <cell r="AI39"/>
          <cell r="AJ39"/>
          <cell r="AK39">
            <v>62297.688470046371</v>
          </cell>
          <cell r="AL39">
            <v>62156.22176949741</v>
          </cell>
          <cell r="AM39">
            <v>62015.076314051694</v>
          </cell>
          <cell r="AN39">
            <v>61874.251374220112</v>
          </cell>
          <cell r="AO39">
            <v>61733.746222170106</v>
          </cell>
          <cell r="AP39">
            <v>61593.560131721882</v>
          </cell>
          <cell r="AQ39">
            <v>61453.692378344676</v>
          </cell>
          <cell r="AR39">
            <v>61314.142239152992</v>
          </cell>
          <cell r="AS39">
            <v>61174.908992902885</v>
          </cell>
          <cell r="AT39">
            <v>61035.991919988213</v>
          </cell>
          <cell r="AU39">
            <v>60897.390302436943</v>
          </cell>
          <cell r="AV39">
            <v>60759.103423907414</v>
          </cell>
          <cell r="AW39">
            <v>60621.130569684647</v>
          </cell>
          <cell r="AX39">
            <v>60483.471026676656</v>
          </cell>
          <cell r="AY39">
            <v>60346.124083410752</v>
          </cell>
          <cell r="AZ39">
            <v>60209.089030029871</v>
          </cell>
          <cell r="BA39">
            <v>60072.365158288914</v>
          </cell>
          <cell r="BB39">
            <v>59935.951761551063</v>
          </cell>
          <cell r="BC39">
            <v>59799.848134784159</v>
          </cell>
          <cell r="BD39">
            <v>59664.053574557031</v>
          </cell>
        </row>
        <row r="40">
          <cell r="D40" t="str">
            <v>Multifamily - High Rise</v>
          </cell>
          <cell r="E40" t="str">
            <v>Existing</v>
          </cell>
          <cell r="F40"/>
          <cell r="G40"/>
          <cell r="H40"/>
          <cell r="I40"/>
          <cell r="J40"/>
          <cell r="K40"/>
          <cell r="L40"/>
          <cell r="M40"/>
          <cell r="N40"/>
          <cell r="O40"/>
          <cell r="P40"/>
          <cell r="Q40"/>
          <cell r="R40"/>
          <cell r="S40"/>
          <cell r="T40"/>
          <cell r="U40"/>
          <cell r="V40"/>
          <cell r="W40"/>
          <cell r="X40"/>
          <cell r="Y40"/>
          <cell r="Z40"/>
          <cell r="AA40"/>
          <cell r="AB40"/>
          <cell r="AC40"/>
          <cell r="AD40"/>
          <cell r="AE40"/>
          <cell r="AF40"/>
          <cell r="AG40"/>
          <cell r="AH40"/>
          <cell r="AI40"/>
          <cell r="AJ40"/>
          <cell r="AK40">
            <v>14203.645467243141</v>
          </cell>
          <cell r="AL40">
            <v>14171.391576137949</v>
          </cell>
          <cell r="AM40">
            <v>14139.210927743146</v>
          </cell>
          <cell r="AN40">
            <v>14107.103355737881</v>
          </cell>
          <cell r="AO40">
            <v>14075.068694178986</v>
          </cell>
          <cell r="AP40">
            <v>14043.106777500123</v>
          </cell>
          <cell r="AQ40">
            <v>14011.21744051092</v>
          </cell>
          <cell r="AR40">
            <v>13979.400518396127</v>
          </cell>
          <cell r="AS40">
            <v>13947.655846714757</v>
          </cell>
          <cell r="AT40">
            <v>13915.983261399238</v>
          </cell>
          <cell r="AU40">
            <v>13884.382598754568</v>
          </cell>
          <cell r="AV40">
            <v>13852.853695457465</v>
          </cell>
          <cell r="AW40">
            <v>13821.396388555522</v>
          </cell>
          <cell r="AX40">
            <v>13790.010515466372</v>
          </cell>
          <cell r="AY40">
            <v>13758.695913976841</v>
          </cell>
          <cell r="AZ40">
            <v>13727.45242224211</v>
          </cell>
          <cell r="BA40">
            <v>13696.279878784881</v>
          </cell>
          <cell r="BB40">
            <v>13665.178122494543</v>
          </cell>
          <cell r="BC40">
            <v>13634.146992626336</v>
          </cell>
          <cell r="BD40">
            <v>13603.186328800522</v>
          </cell>
        </row>
        <row r="41">
          <cell r="C41" t="str">
            <v>ID_Other Family</v>
          </cell>
          <cell r="D41" t="str">
            <v>Manufactured</v>
          </cell>
          <cell r="E41" t="str">
            <v>Existing</v>
          </cell>
          <cell r="F41"/>
          <cell r="G41"/>
          <cell r="H41"/>
          <cell r="I41"/>
          <cell r="J41"/>
          <cell r="K41"/>
          <cell r="L41"/>
          <cell r="M41"/>
          <cell r="N41"/>
          <cell r="O41"/>
          <cell r="P41"/>
          <cell r="Q41"/>
          <cell r="R41"/>
          <cell r="S41"/>
          <cell r="T41"/>
          <cell r="U41"/>
          <cell r="V41"/>
          <cell r="W41"/>
          <cell r="X41"/>
          <cell r="Y41"/>
          <cell r="Z41"/>
          <cell r="AA41"/>
          <cell r="AB41"/>
          <cell r="AC41"/>
          <cell r="AD41"/>
          <cell r="AE41"/>
          <cell r="AF41"/>
          <cell r="AG41"/>
          <cell r="AH41"/>
          <cell r="AI41"/>
          <cell r="AJ41"/>
          <cell r="AK41">
            <v>84820.465509259258</v>
          </cell>
          <cell r="AL41">
            <v>83913.990341353419</v>
          </cell>
          <cell r="AM41">
            <v>83017.202661309115</v>
          </cell>
          <cell r="AN41">
            <v>82129.998939074561</v>
          </cell>
          <cell r="AO41">
            <v>81252.276751022233</v>
          </cell>
          <cell r="AP41">
            <v>80383.934768124556</v>
          </cell>
          <cell r="AQ41">
            <v>79524.872744255888</v>
          </cell>
          <cell r="AR41">
            <v>78674.991504619567</v>
          </cell>
          <cell r="AS41">
            <v>77834.19293429864</v>
          </cell>
          <cell r="AT41">
            <v>77002.379966928973</v>
          </cell>
          <cell r="AU41">
            <v>76179.456573493328</v>
          </cell>
          <cell r="AV41">
            <v>75365.32775123528</v>
          </cell>
          <cell r="AW41">
            <v>74559.899512691583</v>
          </cell>
          <cell r="AX41">
            <v>73763.07887484174</v>
          </cell>
          <cell r="AY41">
            <v>72974.773848373516</v>
          </cell>
          <cell r="AZ41">
            <v>72194.893427063245</v>
          </cell>
          <cell r="BA41">
            <v>71423.347577269524</v>
          </cell>
          <cell r="BB41">
            <v>70660.047227539253</v>
          </cell>
          <cell r="BC41">
            <v>69904.90425832475</v>
          </cell>
          <cell r="BD41">
            <v>69157.831491810764</v>
          </cell>
        </row>
        <row r="42">
          <cell r="BD42"/>
        </row>
        <row r="43">
          <cell r="D43" t="str">
            <v>MONTANA</v>
          </cell>
          <cell r="E43">
            <v>0.56999999999999995</v>
          </cell>
          <cell r="F43" t="str">
            <v>Western MT portion of state</v>
          </cell>
          <cell r="G43"/>
          <cell r="BD43"/>
        </row>
        <row r="44">
          <cell r="C44" t="str">
            <v>MT_Single Family</v>
          </cell>
          <cell r="D44" t="str">
            <v>Single Family</v>
          </cell>
          <cell r="E44" t="str">
            <v>New</v>
          </cell>
          <cell r="F44">
            <v>1313</v>
          </cell>
          <cell r="G44">
            <v>972.4</v>
          </cell>
          <cell r="H44">
            <v>825.5</v>
          </cell>
          <cell r="I44">
            <v>730.6</v>
          </cell>
          <cell r="J44">
            <v>696.80000000000007</v>
          </cell>
          <cell r="K44">
            <v>925.6</v>
          </cell>
          <cell r="L44">
            <v>1349.4</v>
          </cell>
          <cell r="M44">
            <v>2454.4</v>
          </cell>
          <cell r="N44">
            <v>2601.3000000000002</v>
          </cell>
          <cell r="O44">
            <v>2906.8</v>
          </cell>
          <cell r="P44">
            <v>2382.9</v>
          </cell>
          <cell r="Q44">
            <v>2070.9</v>
          </cell>
          <cell r="R44">
            <v>1963</v>
          </cell>
          <cell r="S44">
            <v>1986.4</v>
          </cell>
          <cell r="T44">
            <v>2096.9</v>
          </cell>
          <cell r="U44">
            <v>2020.2</v>
          </cell>
          <cell r="V44">
            <v>2246.4</v>
          </cell>
          <cell r="W44">
            <v>2694.9</v>
          </cell>
          <cell r="X44">
            <v>3138.2000000000003</v>
          </cell>
          <cell r="Y44">
            <v>4468.1000000000004</v>
          </cell>
          <cell r="Z44">
            <v>4390.1000000000004</v>
          </cell>
          <cell r="AA44">
            <v>4347.2</v>
          </cell>
          <cell r="AB44">
            <v>3862.3</v>
          </cell>
          <cell r="AC44">
            <v>2616.9</v>
          </cell>
          <cell r="AD44">
            <v>1831.7</v>
          </cell>
          <cell r="AE44">
            <v>1666.6000000000001</v>
          </cell>
          <cell r="AF44">
            <v>1527.5</v>
          </cell>
          <cell r="AG44">
            <v>2199.6</v>
          </cell>
          <cell r="AH44">
            <v>2615.6</v>
          </cell>
          <cell r="AI44">
            <v>2434.9</v>
          </cell>
          <cell r="AJ44">
            <v>3003</v>
          </cell>
          <cell r="AK44">
            <v>3248.7000000000003</v>
          </cell>
          <cell r="AL44">
            <v>3173.3</v>
          </cell>
          <cell r="AM44">
            <v>3031.6</v>
          </cell>
          <cell r="AN44">
            <v>2824.9</v>
          </cell>
          <cell r="AO44">
            <v>2748.2000000000003</v>
          </cell>
          <cell r="AP44">
            <v>2665</v>
          </cell>
          <cell r="AQ44">
            <v>2611.7000000000003</v>
          </cell>
          <cell r="AR44">
            <v>2597.4</v>
          </cell>
          <cell r="AS44">
            <v>2561</v>
          </cell>
          <cell r="AT44">
            <v>2563.6</v>
          </cell>
          <cell r="AU44">
            <v>2544.1</v>
          </cell>
          <cell r="AV44">
            <v>2525.9</v>
          </cell>
          <cell r="AW44">
            <v>2477.8000000000002</v>
          </cell>
          <cell r="AX44">
            <v>2484.3000000000002</v>
          </cell>
          <cell r="AY44">
            <v>2481.7000000000003</v>
          </cell>
          <cell r="AZ44">
            <v>2475.2000000000003</v>
          </cell>
          <cell r="BA44">
            <v>2419.3000000000002</v>
          </cell>
          <cell r="BB44">
            <v>2415.4</v>
          </cell>
          <cell r="BC44">
            <v>2401.1</v>
          </cell>
          <cell r="BD44">
            <v>2398.5</v>
          </cell>
        </row>
        <row r="45">
          <cell r="C45" t="str">
            <v>MT_Multi Family</v>
          </cell>
          <cell r="D45" t="str">
            <v>Multifamily - Low Rise</v>
          </cell>
          <cell r="E45" t="str">
            <v>New</v>
          </cell>
          <cell r="F45">
            <v>860.82519174945844</v>
          </cell>
          <cell r="G45">
            <v>474.93825094095956</v>
          </cell>
          <cell r="H45">
            <v>125.55342428746027</v>
          </cell>
          <cell r="I45">
            <v>239.38975865025668</v>
          </cell>
          <cell r="J45">
            <v>86.494038342320181</v>
          </cell>
          <cell r="K45">
            <v>253.07778115310504</v>
          </cell>
          <cell r="L45">
            <v>443.40968982992769</v>
          </cell>
          <cell r="M45">
            <v>238.40668933003624</v>
          </cell>
          <cell r="N45">
            <v>450.83862929341456</v>
          </cell>
          <cell r="O45">
            <v>732.37259269994001</v>
          </cell>
          <cell r="P45">
            <v>865.92745922778568</v>
          </cell>
          <cell r="Q45">
            <v>1098.5131099856153</v>
          </cell>
          <cell r="R45">
            <v>785.96545249482699</v>
          </cell>
          <cell r="S45">
            <v>745.40877474760293</v>
          </cell>
          <cell r="T45">
            <v>685.7461288484983</v>
          </cell>
          <cell r="U45">
            <v>667.72203160881213</v>
          </cell>
          <cell r="V45">
            <v>593.63332238391354</v>
          </cell>
          <cell r="W45">
            <v>1035.9518784735571</v>
          </cell>
          <cell r="X45">
            <v>903.3500469773611</v>
          </cell>
          <cell r="Y45">
            <v>893.8619142539435</v>
          </cell>
          <cell r="Z45">
            <v>928.12087639779793</v>
          </cell>
          <cell r="AA45">
            <v>772.11945727824411</v>
          </cell>
          <cell r="AB45">
            <v>709.88601514140555</v>
          </cell>
          <cell r="AC45">
            <v>356.68663359518177</v>
          </cell>
          <cell r="AD45">
            <v>136.66696241508441</v>
          </cell>
          <cell r="AE45">
            <v>367.84636582419688</v>
          </cell>
          <cell r="AF45">
            <v>584.82600096441138</v>
          </cell>
          <cell r="AG45">
            <v>746.00336992138523</v>
          </cell>
          <cell r="AH45">
            <v>1413.6131024199028</v>
          </cell>
          <cell r="AI45">
            <v>1716.9789419190136</v>
          </cell>
          <cell r="AJ45">
            <v>1648.045460109282</v>
          </cell>
          <cell r="AK45">
            <v>1722.1281540862396</v>
          </cell>
          <cell r="AL45">
            <v>1580.7212534439332</v>
          </cell>
          <cell r="AM45">
            <v>1472.5799608727305</v>
          </cell>
          <cell r="AN45">
            <v>1442.4819321350953</v>
          </cell>
          <cell r="AO45">
            <v>1359.5082188973515</v>
          </cell>
          <cell r="AP45">
            <v>1280.00164720679</v>
          </cell>
          <cell r="AQ45">
            <v>1292.5421730399576</v>
          </cell>
          <cell r="AR45">
            <v>1322.3745937064909</v>
          </cell>
          <cell r="AS45">
            <v>1349.4518116826594</v>
          </cell>
          <cell r="AT45">
            <v>1351.6834656111594</v>
          </cell>
          <cell r="AU45">
            <v>1377.387737087626</v>
          </cell>
          <cell r="AV45">
            <v>1321.0487447305225</v>
          </cell>
          <cell r="AW45">
            <v>1307.9885038256584</v>
          </cell>
          <cell r="AX45">
            <v>1321.4989092063927</v>
          </cell>
          <cell r="AY45">
            <v>1360.8548786347953</v>
          </cell>
          <cell r="AZ45">
            <v>1395.7475402061953</v>
          </cell>
          <cell r="BA45">
            <v>1395.1035096345979</v>
          </cell>
          <cell r="BB45">
            <v>1429.4425019916998</v>
          </cell>
          <cell r="BC45">
            <v>1435.6741559201971</v>
          </cell>
          <cell r="BD45">
            <v>1447.3521406344007</v>
          </cell>
        </row>
        <row r="46">
          <cell r="C46" t="str">
            <v>MT</v>
          </cell>
          <cell r="D46" t="str">
            <v>Multifamily - High Rise</v>
          </cell>
          <cell r="E46" t="str">
            <v>New</v>
          </cell>
          <cell r="F46">
            <v>42.174808250541538</v>
          </cell>
          <cell r="G46">
            <v>26.061749059040462</v>
          </cell>
          <cell r="H46">
            <v>31.446575712539726</v>
          </cell>
          <cell r="I46">
            <v>24.610241349743323</v>
          </cell>
          <cell r="J46">
            <v>33.505961657679826</v>
          </cell>
          <cell r="K46">
            <v>42.922218846894957</v>
          </cell>
          <cell r="L46">
            <v>33.5903101700723</v>
          </cell>
          <cell r="M46">
            <v>45.593310669963749</v>
          </cell>
          <cell r="N46">
            <v>61.161370706585451</v>
          </cell>
          <cell r="O46">
            <v>69.627407300060014</v>
          </cell>
          <cell r="P46">
            <v>82.072540772214268</v>
          </cell>
          <cell r="Q46">
            <v>66.486890014384684</v>
          </cell>
          <cell r="R46">
            <v>65.034547505173009</v>
          </cell>
          <cell r="S46">
            <v>62.591225252397024</v>
          </cell>
          <cell r="T46">
            <v>62.253871151501713</v>
          </cell>
          <cell r="U46">
            <v>60.277968391187819</v>
          </cell>
          <cell r="V46">
            <v>85.366677616086406</v>
          </cell>
          <cell r="W46">
            <v>79.048121526442912</v>
          </cell>
          <cell r="X46">
            <v>79.649953022638883</v>
          </cell>
          <cell r="Y46">
            <v>82.138085746056518</v>
          </cell>
          <cell r="Z46">
            <v>73.879123602202057</v>
          </cell>
          <cell r="AA46">
            <v>69.880542721755916</v>
          </cell>
          <cell r="AB46">
            <v>49.113984858594421</v>
          </cell>
          <cell r="AC46">
            <v>37.313366404818197</v>
          </cell>
          <cell r="AD46">
            <v>52.333037584915587</v>
          </cell>
          <cell r="AE46">
            <v>68.15363417580312</v>
          </cell>
          <cell r="AF46">
            <v>105.17399903558866</v>
          </cell>
          <cell r="AG46">
            <v>93.9966300786148</v>
          </cell>
          <cell r="AH46">
            <v>113.38689758009713</v>
          </cell>
          <cell r="AI46">
            <v>125.02105808098651</v>
          </cell>
          <cell r="AJ46">
            <v>382.95453989071814</v>
          </cell>
          <cell r="AK46">
            <v>352.8718459137603</v>
          </cell>
          <cell r="AL46">
            <v>331.27874655606695</v>
          </cell>
          <cell r="AM46">
            <v>322.42003912726955</v>
          </cell>
          <cell r="AN46">
            <v>304.51806786490465</v>
          </cell>
          <cell r="AO46">
            <v>290.49178110264859</v>
          </cell>
          <cell r="AP46">
            <v>293.99835279320996</v>
          </cell>
          <cell r="AQ46">
            <v>300.45782696004244</v>
          </cell>
          <cell r="AR46">
            <v>305.62540629350912</v>
          </cell>
          <cell r="AS46">
            <v>306.54818831734065</v>
          </cell>
          <cell r="AT46">
            <v>309.31653438884064</v>
          </cell>
          <cell r="AU46">
            <v>298.61226291237398</v>
          </cell>
          <cell r="AV46">
            <v>296.95125526947754</v>
          </cell>
          <cell r="AW46">
            <v>301.01149617434152</v>
          </cell>
          <cell r="AX46">
            <v>309.50109079360732</v>
          </cell>
          <cell r="AY46">
            <v>316.14512136520466</v>
          </cell>
          <cell r="AZ46">
            <v>317.25245979380469</v>
          </cell>
          <cell r="BA46">
            <v>323.89649036540203</v>
          </cell>
          <cell r="BB46">
            <v>325.55749800830023</v>
          </cell>
          <cell r="BC46">
            <v>328.32584407980289</v>
          </cell>
          <cell r="BD46">
            <v>331.6478593655994</v>
          </cell>
        </row>
        <row r="47">
          <cell r="C47" t="str">
            <v>MT_Other Family</v>
          </cell>
          <cell r="D47" t="str">
            <v>Manufactured</v>
          </cell>
          <cell r="E47" t="str">
            <v>New</v>
          </cell>
          <cell r="F47">
            <v>923</v>
          </cell>
          <cell r="G47">
            <v>667</v>
          </cell>
          <cell r="H47">
            <v>514</v>
          </cell>
          <cell r="I47">
            <v>441</v>
          </cell>
          <cell r="J47">
            <v>480</v>
          </cell>
          <cell r="K47">
            <v>505</v>
          </cell>
          <cell r="L47">
            <v>653</v>
          </cell>
          <cell r="M47">
            <v>1021</v>
          </cell>
          <cell r="N47">
            <v>1453</v>
          </cell>
          <cell r="O47">
            <v>1871</v>
          </cell>
          <cell r="P47">
            <v>1772</v>
          </cell>
          <cell r="Q47">
            <v>1749</v>
          </cell>
          <cell r="R47">
            <v>1681</v>
          </cell>
          <cell r="S47">
            <v>1919</v>
          </cell>
          <cell r="T47">
            <v>1736</v>
          </cell>
          <cell r="U47">
            <v>1195</v>
          </cell>
          <cell r="V47">
            <v>922</v>
          </cell>
          <cell r="W47">
            <v>972</v>
          </cell>
          <cell r="X47">
            <v>827</v>
          </cell>
          <cell r="Y47">
            <v>697</v>
          </cell>
          <cell r="Z47">
            <v>641</v>
          </cell>
          <cell r="AA47">
            <v>611</v>
          </cell>
          <cell r="AB47">
            <v>593</v>
          </cell>
          <cell r="AC47">
            <v>437</v>
          </cell>
          <cell r="AD47">
            <v>290</v>
          </cell>
          <cell r="AE47">
            <v>325</v>
          </cell>
          <cell r="AF47">
            <v>361</v>
          </cell>
          <cell r="AG47">
            <v>468</v>
          </cell>
          <cell r="AH47">
            <v>308.75</v>
          </cell>
          <cell r="AI47">
            <v>364.95833333333331</v>
          </cell>
          <cell r="AJ47">
            <v>352.95138888888891</v>
          </cell>
          <cell r="AK47">
            <v>363.44328703703701</v>
          </cell>
          <cell r="AL47">
            <v>369.85050154320987</v>
          </cell>
          <cell r="AM47">
            <v>371.32558513374482</v>
          </cell>
          <cell r="AN47">
            <v>355.2131826560356</v>
          </cell>
          <cell r="AO47">
            <v>362.95704643204158</v>
          </cell>
          <cell r="AP47">
            <v>362.62349861515963</v>
          </cell>
          <cell r="AQ47">
            <v>364.23551690287144</v>
          </cell>
          <cell r="AR47">
            <v>364.36755521384384</v>
          </cell>
          <cell r="AS47">
            <v>363.45373082561611</v>
          </cell>
          <cell r="AT47">
            <v>362.14175510759469</v>
          </cell>
          <cell r="AU47">
            <v>363.29651718285459</v>
          </cell>
          <cell r="AV47">
            <v>363.35309564132336</v>
          </cell>
          <cell r="AW47">
            <v>363.47469514568405</v>
          </cell>
          <cell r="AX47">
            <v>363.34789151948604</v>
          </cell>
          <cell r="AY47">
            <v>363.17794757042651</v>
          </cell>
          <cell r="AZ47">
            <v>363.13198369456154</v>
          </cell>
          <cell r="BA47">
            <v>363.29702179238939</v>
          </cell>
          <cell r="BB47">
            <v>363.29710589397854</v>
          </cell>
          <cell r="BC47">
            <v>363.28777426942105</v>
          </cell>
          <cell r="BD47">
            <v>363.25662079004383</v>
          </cell>
        </row>
        <row r="48">
          <cell r="C48" t="str">
            <v>MT_Single Family</v>
          </cell>
          <cell r="D48" t="str">
            <v>Single Family</v>
          </cell>
          <cell r="E48" t="str">
            <v>Existing</v>
          </cell>
          <cell r="F48"/>
          <cell r="G48"/>
          <cell r="H48"/>
          <cell r="I48"/>
          <cell r="J48"/>
          <cell r="K48"/>
          <cell r="L48"/>
          <cell r="M48"/>
          <cell r="N48"/>
          <cell r="O48"/>
          <cell r="P48"/>
          <cell r="Q48"/>
          <cell r="R48"/>
          <cell r="S48"/>
          <cell r="T48"/>
          <cell r="U48"/>
          <cell r="V48"/>
          <cell r="W48"/>
          <cell r="X48"/>
          <cell r="Y48"/>
          <cell r="Z48"/>
          <cell r="AA48"/>
          <cell r="AB48"/>
          <cell r="AC48"/>
          <cell r="AD48"/>
          <cell r="AE48"/>
          <cell r="AF48"/>
          <cell r="AG48"/>
          <cell r="AH48"/>
          <cell r="AI48"/>
          <cell r="AJ48"/>
          <cell r="AK48">
            <v>323649.60000000009</v>
          </cell>
          <cell r="AL48">
            <v>322914.66253998509</v>
          </cell>
          <cell r="AM48">
            <v>322181.39396221231</v>
          </cell>
          <cell r="AN48">
            <v>321449.79047701514</v>
          </cell>
          <cell r="AO48">
            <v>320719.84830333246</v>
          </cell>
          <cell r="AP48">
            <v>319991.56366868917</v>
          </cell>
          <cell r="AQ48">
            <v>319264.93280917662</v>
          </cell>
          <cell r="AR48">
            <v>318539.95196943317</v>
          </cell>
          <cell r="AS48">
            <v>317816.61740262475</v>
          </cell>
          <cell r="AT48">
            <v>317094.92537042563</v>
          </cell>
          <cell r="AU48">
            <v>316374.87214299885</v>
          </cell>
          <cell r="AV48">
            <v>315656.4539989772</v>
          </cell>
          <cell r="AW48">
            <v>314939.66722544387</v>
          </cell>
          <cell r="AX48">
            <v>314224.50811791327</v>
          </cell>
          <cell r="AY48">
            <v>313510.9729803119</v>
          </cell>
          <cell r="AZ48">
            <v>312799.05812495912</v>
          </cell>
          <cell r="BA48">
            <v>312088.7598725484</v>
          </cell>
          <cell r="BB48">
            <v>311380.07455212792</v>
          </cell>
          <cell r="BC48">
            <v>310672.99850108189</v>
          </cell>
          <cell r="BD48">
            <v>309967.52806511155</v>
          </cell>
        </row>
        <row r="49">
          <cell r="C49" t="str">
            <v>MT_Multi Family</v>
          </cell>
          <cell r="D49" t="str">
            <v>Multifamily - Low Rise</v>
          </cell>
          <cell r="E49" t="str">
            <v>Existing</v>
          </cell>
          <cell r="F49"/>
          <cell r="G49"/>
          <cell r="H49"/>
          <cell r="I49"/>
          <cell r="J49"/>
          <cell r="K49"/>
          <cell r="L49"/>
          <cell r="M49"/>
          <cell r="N49"/>
          <cell r="O49"/>
          <cell r="P49"/>
          <cell r="Q49"/>
          <cell r="R49"/>
          <cell r="S49"/>
          <cell r="T49"/>
          <cell r="U49"/>
          <cell r="V49"/>
          <cell r="W49"/>
          <cell r="X49"/>
          <cell r="Y49"/>
          <cell r="Z49"/>
          <cell r="AA49"/>
          <cell r="AB49"/>
          <cell r="AC49"/>
          <cell r="AD49"/>
          <cell r="AE49"/>
          <cell r="AF49"/>
          <cell r="AG49"/>
          <cell r="AH49"/>
          <cell r="AI49"/>
          <cell r="AJ49"/>
          <cell r="AK49">
            <v>49246.589456226939</v>
          </cell>
          <cell r="AL49">
            <v>49134.75942376897</v>
          </cell>
          <cell r="AM49">
            <v>49023.183336940492</v>
          </cell>
          <cell r="AN49">
            <v>48911.860619077241</v>
          </cell>
          <cell r="AO49">
            <v>48800.790694824464</v>
          </cell>
          <cell r="AP49">
            <v>48689.972990133923</v>
          </cell>
          <cell r="AQ49">
            <v>48579.406932260943</v>
          </cell>
          <cell r="AR49">
            <v>48469.091949761445</v>
          </cell>
          <cell r="AS49">
            <v>48359.027472489004</v>
          </cell>
          <cell r="AT49">
            <v>48249.212931591894</v>
          </cell>
          <cell r="AU49">
            <v>48139.647759510139</v>
          </cell>
          <cell r="AV49">
            <v>48030.331389972584</v>
          </cell>
          <cell r="AW49">
            <v>47921.263257993989</v>
          </cell>
          <cell r="AX49">
            <v>47812.442799872078</v>
          </cell>
          <cell r="AY49">
            <v>47703.869453184649</v>
          </cell>
          <cell r="AZ49">
            <v>47595.54265678666</v>
          </cell>
          <cell r="BA49">
            <v>47487.461850807311</v>
          </cell>
          <cell r="BB49">
            <v>47379.626476647187</v>
          </cell>
          <cell r="BC49">
            <v>47272.035976975341</v>
          </cell>
          <cell r="BD49">
            <v>47164.689795726423</v>
          </cell>
        </row>
        <row r="50">
          <cell r="C50" t="str">
            <v>MT</v>
          </cell>
          <cell r="D50" t="str">
            <v>Multifamily - High Rise</v>
          </cell>
          <cell r="E50" t="str">
            <v>Existing</v>
          </cell>
          <cell r="F50"/>
          <cell r="G50"/>
          <cell r="H50"/>
          <cell r="I50"/>
          <cell r="J50"/>
          <cell r="K50"/>
          <cell r="L50"/>
          <cell r="M50"/>
          <cell r="N50"/>
          <cell r="O50"/>
          <cell r="P50"/>
          <cell r="Q50"/>
          <cell r="R50"/>
          <cell r="S50"/>
          <cell r="T50"/>
          <cell r="U50"/>
          <cell r="V50"/>
          <cell r="W50"/>
          <cell r="X50"/>
          <cell r="Y50"/>
          <cell r="Z50"/>
          <cell r="AA50"/>
          <cell r="AB50"/>
          <cell r="AC50"/>
          <cell r="AD50"/>
          <cell r="AE50"/>
          <cell r="AF50"/>
          <cell r="AG50"/>
          <cell r="AH50"/>
          <cell r="AI50"/>
          <cell r="AJ50"/>
          <cell r="AK50">
            <v>11228.042553191075</v>
          </cell>
          <cell r="AL50">
            <v>11202.545714180957</v>
          </cell>
          <cell r="AM50">
            <v>11177.106773846983</v>
          </cell>
          <cell r="AN50">
            <v>11151.725600711807</v>
          </cell>
          <cell r="AO50">
            <v>11126.402063596644</v>
          </cell>
          <cell r="AP50">
            <v>11101.136031620596</v>
          </cell>
          <cell r="AQ50">
            <v>11075.927374199966</v>
          </cell>
          <cell r="AR50">
            <v>11050.775961047593</v>
          </cell>
          <cell r="AS50">
            <v>11025.681662172174</v>
          </cell>
          <cell r="AT50">
            <v>11000.644347877589</v>
          </cell>
          <cell r="AU50">
            <v>10975.663888762239</v>
          </cell>
          <cell r="AV50">
            <v>10950.740155718371</v>
          </cell>
          <cell r="AW50">
            <v>10925.87301993141</v>
          </cell>
          <cell r="AX50">
            <v>10901.062352879297</v>
          </cell>
          <cell r="AY50">
            <v>10876.308026331822</v>
          </cell>
          <cell r="AZ50">
            <v>10851.609912349968</v>
          </cell>
          <cell r="BA50">
            <v>10826.967883285235</v>
          </cell>
          <cell r="BB50">
            <v>10802.381811778998</v>
          </cell>
          <cell r="BC50">
            <v>10777.851570761834</v>
          </cell>
          <cell r="BD50">
            <v>10753.377033452874</v>
          </cell>
        </row>
        <row r="51">
          <cell r="C51" t="str">
            <v>MT_Other Family</v>
          </cell>
          <cell r="D51" t="str">
            <v>Manufactured</v>
          </cell>
          <cell r="E51" t="str">
            <v>Existing</v>
          </cell>
          <cell r="F51"/>
          <cell r="G51"/>
          <cell r="H51"/>
          <cell r="I51"/>
          <cell r="J51"/>
          <cell r="K51"/>
          <cell r="L51"/>
          <cell r="M51"/>
          <cell r="N51"/>
          <cell r="O51"/>
          <cell r="P51"/>
          <cell r="Q51"/>
          <cell r="R51"/>
          <cell r="S51"/>
          <cell r="T51"/>
          <cell r="U51"/>
          <cell r="V51"/>
          <cell r="W51"/>
          <cell r="X51"/>
          <cell r="Y51"/>
          <cell r="Z51"/>
          <cell r="AA51"/>
          <cell r="AB51"/>
          <cell r="AC51"/>
          <cell r="AD51"/>
          <cell r="AE51"/>
          <cell r="AF51"/>
          <cell r="AG51"/>
          <cell r="AH51"/>
          <cell r="AI51"/>
          <cell r="AJ51"/>
          <cell r="AK51">
            <v>71434.103009259255</v>
          </cell>
          <cell r="AL51">
            <v>70670.687716372748</v>
          </cell>
          <cell r="AM51">
            <v>69915.431032397973</v>
          </cell>
          <cell r="AN51">
            <v>69168.245766391818</v>
          </cell>
          <cell r="AO51">
            <v>68429.045659219599</v>
          </cell>
          <cell r="AP51">
            <v>67697.74537359683</v>
          </cell>
          <cell r="AQ51">
            <v>66974.260484237457</v>
          </cell>
          <cell r="AR51">
            <v>66258.507468107273</v>
          </cell>
          <cell r="AS51">
            <v>65550.403694781649</v>
          </cell>
          <cell r="AT51">
            <v>64849.867416906163</v>
          </cell>
          <cell r="AU51">
            <v>64156.817760759273</v>
          </cell>
          <cell r="AV51">
            <v>63471.174716915804</v>
          </cell>
          <cell r="AW51">
            <v>62792.859131010227</v>
          </cell>
          <cell r="AX51">
            <v>62121.792694598647</v>
          </cell>
          <cell r="AY51">
            <v>61457.897936118447</v>
          </cell>
          <cell r="AZ51">
            <v>60801.098211944554</v>
          </cell>
          <cell r="BA51">
            <v>60151.317697541279</v>
          </cell>
          <cell r="BB51">
            <v>59508.481378708726</v>
          </cell>
          <cell r="BC51">
            <v>58872.515042922729</v>
          </cell>
          <cell r="BD51">
            <v>58243.345270767371</v>
          </cell>
        </row>
        <row r="53">
          <cell r="D53" t="str">
            <v>REGION</v>
          </cell>
          <cell r="E53"/>
          <cell r="F53"/>
          <cell r="G53"/>
          <cell r="BD53"/>
        </row>
        <row r="54">
          <cell r="C54"/>
          <cell r="D54" t="str">
            <v>Single Family</v>
          </cell>
          <cell r="E54" t="str">
            <v>New</v>
          </cell>
          <cell r="F54">
            <v>28347.41</v>
          </cell>
          <cell r="G54">
            <v>29614.268</v>
          </cell>
          <cell r="H54">
            <v>32248.535</v>
          </cell>
          <cell r="I54">
            <v>34559.442000000003</v>
          </cell>
          <cell r="J54">
            <v>42040.175999999999</v>
          </cell>
          <cell r="K54">
            <v>48415.591999999997</v>
          </cell>
          <cell r="L54">
            <v>44234.158000000003</v>
          </cell>
          <cell r="M54">
            <v>57584.008000000002</v>
          </cell>
          <cell r="N54">
            <v>61360.741000000002</v>
          </cell>
          <cell r="O54">
            <v>63637.875999999997</v>
          </cell>
          <cell r="P54">
            <v>54867.252999999997</v>
          </cell>
          <cell r="Q54">
            <v>57384.413</v>
          </cell>
          <cell r="R54">
            <v>56006.91</v>
          </cell>
          <cell r="S54">
            <v>58939.248</v>
          </cell>
          <cell r="T54">
            <v>56527.233</v>
          </cell>
          <cell r="U54">
            <v>51608.514000000003</v>
          </cell>
          <cell r="V54">
            <v>52738.447999999997</v>
          </cell>
          <cell r="W54">
            <v>59782.093000000001</v>
          </cell>
          <cell r="X54">
            <v>67688.774000000005</v>
          </cell>
          <cell r="Y54">
            <v>74522.816999999995</v>
          </cell>
          <cell r="Z54">
            <v>84872.357000000004</v>
          </cell>
          <cell r="AA54">
            <v>75289.903999999995</v>
          </cell>
          <cell r="AB54">
            <v>57664.510999999999</v>
          </cell>
          <cell r="AC54">
            <v>34509.633000000002</v>
          </cell>
          <cell r="AD54">
            <v>24099.069</v>
          </cell>
          <cell r="AE54">
            <v>24846.962</v>
          </cell>
          <cell r="AF54">
            <v>23007.674999999999</v>
          </cell>
          <cell r="AG54">
            <v>29744.772000000001</v>
          </cell>
          <cell r="AH54">
            <v>35486.892</v>
          </cell>
          <cell r="AI54">
            <v>44415.892999999996</v>
          </cell>
          <cell r="AJ54">
            <v>58293.71</v>
          </cell>
          <cell r="AK54">
            <v>62685.758999999998</v>
          </cell>
          <cell r="AL54">
            <v>59961.781000000003</v>
          </cell>
          <cell r="AM54">
            <v>56834.012000000002</v>
          </cell>
          <cell r="AN54">
            <v>54985.192999999999</v>
          </cell>
          <cell r="AO54">
            <v>53507.474000000002</v>
          </cell>
          <cell r="AP54">
            <v>50982.05</v>
          </cell>
          <cell r="AQ54">
            <v>49561.669000000002</v>
          </cell>
          <cell r="AR54">
            <v>49324.517999999996</v>
          </cell>
          <cell r="AS54">
            <v>48815.77</v>
          </cell>
          <cell r="AT54">
            <v>49683.252</v>
          </cell>
          <cell r="AU54">
            <v>50030.137000000002</v>
          </cell>
          <cell r="AV54">
            <v>49387.762999999999</v>
          </cell>
          <cell r="AW54">
            <v>48079.345999999998</v>
          </cell>
          <cell r="AX54">
            <v>48129.050999999999</v>
          </cell>
          <cell r="AY54">
            <v>48690.569000000003</v>
          </cell>
          <cell r="AZ54">
            <v>48482.864000000001</v>
          </cell>
          <cell r="BA54">
            <v>46879.000999999997</v>
          </cell>
          <cell r="BB54">
            <v>46798.777999999998</v>
          </cell>
          <cell r="BC54">
            <v>46917.627</v>
          </cell>
          <cell r="BD54">
            <v>47236.144999999997</v>
          </cell>
        </row>
        <row r="55">
          <cell r="C55"/>
          <cell r="D55" t="str">
            <v>Multifamily - Low Rise</v>
          </cell>
          <cell r="E55" t="str">
            <v>New</v>
          </cell>
          <cell r="F55">
            <v>20270.709108606741</v>
          </cell>
          <cell r="G55">
            <v>18929.763197074921</v>
          </cell>
          <cell r="H55">
            <v>19012.285997102455</v>
          </cell>
          <cell r="I55">
            <v>22080.053999678374</v>
          </cell>
          <cell r="J55">
            <v>28601.778161129085</v>
          </cell>
          <cell r="K55">
            <v>27202.893689869055</v>
          </cell>
          <cell r="L55">
            <v>12390.21093788289</v>
          </cell>
          <cell r="M55">
            <v>12173.152842775997</v>
          </cell>
          <cell r="N55">
            <v>12361.89700061282</v>
          </cell>
          <cell r="O55">
            <v>17122.743158401601</v>
          </cell>
          <cell r="P55">
            <v>18662.733640245107</v>
          </cell>
          <cell r="Q55">
            <v>21954.730458996564</v>
          </cell>
          <cell r="R55">
            <v>20000.57314201623</v>
          </cell>
          <cell r="S55">
            <v>20642.129902132972</v>
          </cell>
          <cell r="T55">
            <v>18328.494801049026</v>
          </cell>
          <cell r="U55">
            <v>14151.270582179823</v>
          </cell>
          <cell r="V55">
            <v>14626.267683576692</v>
          </cell>
          <cell r="W55">
            <v>12028.647109827847</v>
          </cell>
          <cell r="X55">
            <v>13046.576324182055</v>
          </cell>
          <cell r="Y55">
            <v>13957.232094298253</v>
          </cell>
          <cell r="Z55">
            <v>13931.004497270837</v>
          </cell>
          <cell r="AA55">
            <v>15900.995334173014</v>
          </cell>
          <cell r="AB55">
            <v>15570.247880584542</v>
          </cell>
          <cell r="AC55">
            <v>11944.723214001346</v>
          </cell>
          <cell r="AD55">
            <v>4141.9202192737603</v>
          </cell>
          <cell r="AE55">
            <v>4082.3550519108016</v>
          </cell>
          <cell r="AF55">
            <v>7060.5047847544756</v>
          </cell>
          <cell r="AG55">
            <v>12168.678143163897</v>
          </cell>
          <cell r="AH55">
            <v>19129.179628017948</v>
          </cell>
          <cell r="AI55">
            <v>19420.059444838447</v>
          </cell>
          <cell r="AJ55">
            <v>23068.805408245826</v>
          </cell>
          <cell r="AK55">
            <v>23280.347100904564</v>
          </cell>
          <cell r="AL55">
            <v>23017.418106038647</v>
          </cell>
          <cell r="AM55">
            <v>22811.60852767331</v>
          </cell>
          <cell r="AN55">
            <v>22085.916378202593</v>
          </cell>
          <cell r="AO55">
            <v>20817.853908138593</v>
          </cell>
          <cell r="AP55">
            <v>20070.279329962508</v>
          </cell>
          <cell r="AQ55">
            <v>19887.831284331631</v>
          </cell>
          <cell r="AR55">
            <v>20257.583209811291</v>
          </cell>
          <cell r="AS55">
            <v>20750.368029493613</v>
          </cell>
          <cell r="AT55">
            <v>21314.334279744231</v>
          </cell>
          <cell r="AU55">
            <v>21403.286239774712</v>
          </cell>
          <cell r="AV55">
            <v>21409.137516518917</v>
          </cell>
          <cell r="AW55">
            <v>21443.358292282628</v>
          </cell>
          <cell r="AX55">
            <v>21209.865626522758</v>
          </cell>
          <cell r="AY55">
            <v>20954.17798283829</v>
          </cell>
          <cell r="AZ55">
            <v>20525.44023202754</v>
          </cell>
          <cell r="BA55">
            <v>20175.505597554071</v>
          </cell>
          <cell r="BB55">
            <v>19919.723927484571</v>
          </cell>
          <cell r="BC55">
            <v>19536.194066416414</v>
          </cell>
          <cell r="BD55">
            <v>19462.287131015248</v>
          </cell>
        </row>
        <row r="56">
          <cell r="D56" t="str">
            <v>Multifamily - High Rise</v>
          </cell>
          <cell r="E56" t="str">
            <v>New</v>
          </cell>
          <cell r="F56">
            <v>1479.0008913932584</v>
          </cell>
          <cell r="G56">
            <v>1541.8068029250769</v>
          </cell>
          <cell r="H56">
            <v>1789.2040028975434</v>
          </cell>
          <cell r="I56">
            <v>2697.4260003216255</v>
          </cell>
          <cell r="J56">
            <v>2452.621838870919</v>
          </cell>
          <cell r="K56">
            <v>1250.8263101309401</v>
          </cell>
          <cell r="L56">
            <v>1272.6790621171076</v>
          </cell>
          <cell r="M56">
            <v>1783.7271572240045</v>
          </cell>
          <cell r="N56">
            <v>2321.9429993871795</v>
          </cell>
          <cell r="O56">
            <v>2678.3968415983995</v>
          </cell>
          <cell r="P56">
            <v>3071.6263597548932</v>
          </cell>
          <cell r="Q56">
            <v>2881.3195410034373</v>
          </cell>
          <cell r="R56">
            <v>2811.49685798377</v>
          </cell>
          <cell r="S56">
            <v>2476.4300978670262</v>
          </cell>
          <cell r="T56">
            <v>2052.865198950974</v>
          </cell>
          <cell r="U56">
            <v>2155.6894178201746</v>
          </cell>
          <cell r="V56">
            <v>2035.7623164233071</v>
          </cell>
          <cell r="W56">
            <v>2249.9028901721549</v>
          </cell>
          <cell r="X56">
            <v>2341.7336758179449</v>
          </cell>
          <cell r="Y56">
            <v>2340.0879057017487</v>
          </cell>
          <cell r="Z56">
            <v>2581.1355027291629</v>
          </cell>
          <cell r="AA56">
            <v>2450.9446658269862</v>
          </cell>
          <cell r="AB56">
            <v>2125.3821194154557</v>
          </cell>
          <cell r="AC56">
            <v>1478.8567859986533</v>
          </cell>
          <cell r="AD56">
            <v>1471.80978072624</v>
          </cell>
          <cell r="AE56">
            <v>1909.1649480891979</v>
          </cell>
          <cell r="AF56">
            <v>3074.7952152455237</v>
          </cell>
          <cell r="AG56">
            <v>2010.1218568361005</v>
          </cell>
          <cell r="AH56">
            <v>2152.2103719820498</v>
          </cell>
          <cell r="AI56">
            <v>2768.8805551615533</v>
          </cell>
          <cell r="AJ56">
            <v>5337.8787559635048</v>
          </cell>
          <cell r="AK56">
            <v>5226.2387411561367</v>
          </cell>
          <cell r="AL56">
            <v>5239.95312759432</v>
          </cell>
          <cell r="AM56">
            <v>5271.2612760989568</v>
          </cell>
          <cell r="AN56">
            <v>4985.883552972361</v>
          </cell>
          <cell r="AO56">
            <v>4608.5912035798974</v>
          </cell>
          <cell r="AP56">
            <v>4509.6375960361838</v>
          </cell>
          <cell r="AQ56">
            <v>4481.760351096189</v>
          </cell>
          <cell r="AR56">
            <v>4621.8312800578688</v>
          </cell>
          <cell r="AS56">
            <v>4700.9782942419988</v>
          </cell>
          <cell r="AT56">
            <v>4828.2391631488581</v>
          </cell>
          <cell r="AU56">
            <v>4790.0249139778334</v>
          </cell>
          <cell r="AV56">
            <v>4782.0649962402858</v>
          </cell>
          <cell r="AW56">
            <v>4748.3908346265653</v>
          </cell>
          <cell r="AX56">
            <v>4733.4823682495089</v>
          </cell>
          <cell r="AY56">
            <v>4698.697177079107</v>
          </cell>
          <cell r="AZ56">
            <v>4599.2987885998937</v>
          </cell>
          <cell r="BA56">
            <v>4526.3104216428001</v>
          </cell>
          <cell r="BB56">
            <v>4422.0600452822764</v>
          </cell>
          <cell r="BC56">
            <v>4405.182362066379</v>
          </cell>
          <cell r="BD56">
            <v>4385.1136986120664</v>
          </cell>
        </row>
        <row r="57">
          <cell r="C57"/>
          <cell r="D57" t="str">
            <v>Manufactured</v>
          </cell>
          <cell r="E57" t="str">
            <v>New</v>
          </cell>
          <cell r="F57">
            <v>9693.11</v>
          </cell>
          <cell r="G57">
            <v>8065.19</v>
          </cell>
          <cell r="H57">
            <v>7680.98</v>
          </cell>
          <cell r="I57">
            <v>8859.3700000000008</v>
          </cell>
          <cell r="J57">
            <v>9760.6</v>
          </cell>
          <cell r="K57">
            <v>11657.85</v>
          </cell>
          <cell r="L57">
            <v>11534.21</v>
          </cell>
          <cell r="M57">
            <v>13344.97</v>
          </cell>
          <cell r="N57">
            <v>16910.21</v>
          </cell>
          <cell r="O57">
            <v>19707.47</v>
          </cell>
          <cell r="P57">
            <v>18879.04</v>
          </cell>
          <cell r="Q57">
            <v>16372.93</v>
          </cell>
          <cell r="R57">
            <v>16578.169999999998</v>
          </cell>
          <cell r="S57">
            <v>17170.830000000002</v>
          </cell>
          <cell r="T57">
            <v>13873.52</v>
          </cell>
          <cell r="U57">
            <v>9050.15</v>
          </cell>
          <cell r="V57">
            <v>6886.54</v>
          </cell>
          <cell r="W57">
            <v>7046.04</v>
          </cell>
          <cell r="X57">
            <v>6539.39</v>
          </cell>
          <cell r="Y57">
            <v>6359.29</v>
          </cell>
          <cell r="Z57">
            <v>6381.37</v>
          </cell>
          <cell r="AA57">
            <v>6080.27</v>
          </cell>
          <cell r="AB57">
            <v>4894.01</v>
          </cell>
          <cell r="AC57">
            <v>3674.09</v>
          </cell>
          <cell r="AD57">
            <v>2014.3</v>
          </cell>
          <cell r="AE57">
            <v>1796.25</v>
          </cell>
          <cell r="AF57">
            <v>1477.77</v>
          </cell>
          <cell r="AG57">
            <v>1516.76</v>
          </cell>
          <cell r="AH57">
            <v>2391.3375000000001</v>
          </cell>
          <cell r="AI57">
            <v>2145.0845833333333</v>
          </cell>
          <cell r="AJ57">
            <v>1890.2503472222222</v>
          </cell>
          <cell r="AK57">
            <v>1869.5754050925925</v>
          </cell>
          <cell r="AL57">
            <v>1881.796305941358</v>
          </cell>
          <cell r="AM57">
            <v>1949.1340235982509</v>
          </cell>
          <cell r="AN57">
            <v>2021.1963608646258</v>
          </cell>
          <cell r="AO57">
            <v>1959.5061710087307</v>
          </cell>
          <cell r="AP57">
            <v>1928.5764356212967</v>
          </cell>
          <cell r="AQ57">
            <v>1934.9641170211423</v>
          </cell>
          <cell r="AR57">
            <v>1945.862235675901</v>
          </cell>
          <cell r="AS57">
            <v>1956.539890631658</v>
          </cell>
          <cell r="AT57">
            <v>1957.7742018038925</v>
          </cell>
          <cell r="AU57">
            <v>1947.2038419604366</v>
          </cell>
          <cell r="AV57">
            <v>1945.153453785721</v>
          </cell>
          <cell r="AW57">
            <v>1947.9162901464586</v>
          </cell>
          <cell r="AX57">
            <v>1950.0749856673444</v>
          </cell>
          <cell r="AY57">
            <v>1950.7771106659191</v>
          </cell>
          <cell r="AZ57">
            <v>1949.8166473382953</v>
          </cell>
          <cell r="BA57">
            <v>1948.4903882606959</v>
          </cell>
          <cell r="BB57">
            <v>1948.7048126440727</v>
          </cell>
          <cell r="BC57">
            <v>1949.296705787131</v>
          </cell>
          <cell r="BD57">
            <v>1949.5267750605763</v>
          </cell>
        </row>
        <row r="58">
          <cell r="C58"/>
          <cell r="D58" t="str">
            <v>Single Family</v>
          </cell>
          <cell r="E58" t="str">
            <v>Existing</v>
          </cell>
          <cell r="F58"/>
          <cell r="G58"/>
          <cell r="H58"/>
          <cell r="I58"/>
          <cell r="J58"/>
          <cell r="K58"/>
          <cell r="L58"/>
          <cell r="M58"/>
          <cell r="N58"/>
          <cell r="O58"/>
          <cell r="P58"/>
          <cell r="Q58"/>
          <cell r="R58"/>
          <cell r="S58"/>
          <cell r="T58"/>
          <cell r="U58"/>
          <cell r="V58"/>
          <cell r="W58"/>
          <cell r="X58"/>
          <cell r="Y58"/>
          <cell r="Z58"/>
          <cell r="AA58"/>
          <cell r="AB58"/>
          <cell r="AC58"/>
          <cell r="AD58"/>
          <cell r="AE58"/>
          <cell r="AF58"/>
          <cell r="AG58"/>
          <cell r="AH58"/>
          <cell r="AI58"/>
          <cell r="AJ58"/>
          <cell r="AK58">
            <v>4203528.2719999999</v>
          </cell>
          <cell r="AL58">
            <v>4193982.9785983553</v>
          </cell>
          <cell r="AM58">
            <v>4184459.3604704877</v>
          </cell>
          <cell r="AN58">
            <v>4174957.36839659</v>
          </cell>
          <cell r="AO58">
            <v>4165476.9532686244</v>
          </cell>
          <cell r="AP58">
            <v>4156018.0660900641</v>
          </cell>
          <cell r="AQ58">
            <v>4146580.6579756448</v>
          </cell>
          <cell r="AR58">
            <v>4137164.6801511091</v>
          </cell>
          <cell r="AS58">
            <v>4127770.0839529554</v>
          </cell>
          <cell r="AT58">
            <v>4118396.8208281873</v>
          </cell>
          <cell r="AU58">
            <v>4109044.8423340586</v>
          </cell>
          <cell r="AV58">
            <v>4099714.1001378288</v>
          </cell>
          <cell r="AW58">
            <v>4090404.5460165106</v>
          </cell>
          <cell r="AX58">
            <v>4081116.1318566194</v>
          </cell>
          <cell r="AY58">
            <v>4071848.8096539262</v>
          </cell>
          <cell r="AZ58">
            <v>4062602.5315132081</v>
          </cell>
          <cell r="BA58">
            <v>4053377.2496480034</v>
          </cell>
          <cell r="BB58">
            <v>4044172.9163803621</v>
          </cell>
          <cell r="BC58">
            <v>4034989.4841406001</v>
          </cell>
          <cell r="BD58">
            <v>4025826.9054670548</v>
          </cell>
        </row>
        <row r="59">
          <cell r="C59"/>
          <cell r="D59" t="str">
            <v>Multifamily - Low Rise</v>
          </cell>
          <cell r="E59" t="str">
            <v>Existing</v>
          </cell>
          <cell r="F59"/>
          <cell r="G59"/>
          <cell r="H59"/>
          <cell r="I59"/>
          <cell r="J59"/>
          <cell r="K59"/>
          <cell r="L59"/>
          <cell r="M59"/>
          <cell r="N59"/>
          <cell r="O59"/>
          <cell r="P59"/>
          <cell r="Q59"/>
          <cell r="R59"/>
          <cell r="S59"/>
          <cell r="T59"/>
          <cell r="U59"/>
          <cell r="V59"/>
          <cell r="W59"/>
          <cell r="X59"/>
          <cell r="Y59"/>
          <cell r="Z59"/>
          <cell r="AA59"/>
          <cell r="AB59"/>
          <cell r="AC59"/>
          <cell r="AD59"/>
          <cell r="AE59"/>
          <cell r="AF59"/>
          <cell r="AG59"/>
          <cell r="AH59"/>
          <cell r="AI59"/>
          <cell r="AJ59"/>
          <cell r="AK59">
            <v>926243.25609262148</v>
          </cell>
          <cell r="AL59">
            <v>924139.92640956037</v>
          </cell>
          <cell r="AM59">
            <v>922041.3730050053</v>
          </cell>
          <cell r="AN59">
            <v>919947.58503289847</v>
          </cell>
          <cell r="AO59">
            <v>917858.55167181045</v>
          </cell>
          <cell r="AP59">
            <v>915774.26212488639</v>
          </cell>
          <cell r="AQ59">
            <v>913694.70561978838</v>
          </cell>
          <cell r="AR59">
            <v>911619.87140864041</v>
          </cell>
          <cell r="AS59">
            <v>909549.74876797362</v>
          </cell>
          <cell r="AT59">
            <v>907484.32699866977</v>
          </cell>
          <cell r="AU59">
            <v>905423.59542590659</v>
          </cell>
          <cell r="AV59">
            <v>903367.54339910217</v>
          </cell>
          <cell r="AW59">
            <v>901316.16029185988</v>
          </cell>
          <cell r="AX59">
            <v>899269.43550191447</v>
          </cell>
          <cell r="AY59">
            <v>897227.35845107585</v>
          </cell>
          <cell r="AZ59">
            <v>895189.9185851753</v>
          </cell>
          <cell r="BA59">
            <v>893157.10537401051</v>
          </cell>
          <cell r="BB59">
            <v>891128.90831129183</v>
          </cell>
          <cell r="BC59">
            <v>889105.31691458682</v>
          </cell>
          <cell r="BD59">
            <v>887086.32072526717</v>
          </cell>
        </row>
        <row r="60">
          <cell r="D60" t="str">
            <v>Multifamily - High Rise</v>
          </cell>
          <cell r="E60" t="str">
            <v>Existing</v>
          </cell>
          <cell r="F60"/>
          <cell r="G60"/>
          <cell r="H60"/>
          <cell r="I60"/>
          <cell r="J60"/>
          <cell r="K60"/>
          <cell r="L60"/>
          <cell r="M60"/>
          <cell r="N60"/>
          <cell r="O60"/>
          <cell r="P60"/>
          <cell r="Q60"/>
          <cell r="R60"/>
          <cell r="S60"/>
          <cell r="T60"/>
          <cell r="U60"/>
          <cell r="V60"/>
          <cell r="W60"/>
          <cell r="X60"/>
          <cell r="Y60"/>
          <cell r="Z60"/>
          <cell r="AA60"/>
          <cell r="AB60"/>
          <cell r="AC60"/>
          <cell r="AD60"/>
          <cell r="AE60"/>
          <cell r="AF60"/>
          <cell r="AG60"/>
          <cell r="AH60"/>
          <cell r="AI60"/>
          <cell r="AJ60"/>
          <cell r="AK60">
            <v>211180.07985625503</v>
          </cell>
          <cell r="AL60">
            <v>210700.52836963299</v>
          </cell>
          <cell r="AM60">
            <v>210222.06585706791</v>
          </cell>
          <cell r="AN60">
            <v>209744.68984569819</v>
          </cell>
          <cell r="AO60">
            <v>209268.39786827751</v>
          </cell>
          <cell r="AP60">
            <v>208793.18746316229</v>
          </cell>
          <cell r="AQ60">
            <v>208319.05617429892</v>
          </cell>
          <cell r="AR60">
            <v>207846.00155121088</v>
          </cell>
          <cell r="AS60">
            <v>207374.0211489865</v>
          </cell>
          <cell r="AT60">
            <v>206903.11252826577</v>
          </cell>
          <cell r="AU60">
            <v>206433.27325522827</v>
          </cell>
          <cell r="AV60">
            <v>205964.50090158021</v>
          </cell>
          <cell r="AW60">
            <v>205496.79304454199</v>
          </cell>
          <cell r="AX60">
            <v>205030.14726683579</v>
          </cell>
          <cell r="AY60">
            <v>204564.56115667295</v>
          </cell>
          <cell r="AZ60">
            <v>204100.03230774152</v>
          </cell>
          <cell r="BA60">
            <v>203636.55831919383</v>
          </cell>
          <cell r="BB60">
            <v>203174.13679563423</v>
          </cell>
          <cell r="BC60">
            <v>202712.76534710638</v>
          </cell>
          <cell r="BD60">
            <v>202252.44158908122</v>
          </cell>
        </row>
        <row r="61">
          <cell r="C61"/>
          <cell r="D61" t="str">
            <v>Manufactured</v>
          </cell>
          <cell r="E61" t="str">
            <v>Existing</v>
          </cell>
          <cell r="F61"/>
          <cell r="G61"/>
          <cell r="H61"/>
          <cell r="I61"/>
          <cell r="J61"/>
          <cell r="K61"/>
          <cell r="L61"/>
          <cell r="M61"/>
          <cell r="N61"/>
          <cell r="O61"/>
          <cell r="P61"/>
          <cell r="Q61"/>
          <cell r="R61"/>
          <cell r="S61"/>
          <cell r="T61"/>
          <cell r="U61"/>
          <cell r="V61"/>
          <cell r="W61"/>
          <cell r="X61"/>
          <cell r="Y61"/>
          <cell r="Z61"/>
          <cell r="AA61"/>
          <cell r="AB61"/>
          <cell r="AC61"/>
          <cell r="AD61"/>
          <cell r="AE61"/>
          <cell r="AF61"/>
          <cell r="AG61"/>
          <cell r="AH61"/>
          <cell r="AI61"/>
          <cell r="AJ61"/>
          <cell r="AK61">
            <v>572006.3278356482</v>
          </cell>
          <cell r="AL61">
            <v>565893.30394507048</v>
          </cell>
          <cell r="AM61">
            <v>559845.60985814757</v>
          </cell>
          <cell r="AN61">
            <v>553862.54739615123</v>
          </cell>
          <cell r="AO61">
            <v>547943.42584177968</v>
          </cell>
          <cell r="AP61">
            <v>542087.56185941794</v>
          </cell>
          <cell r="AQ61">
            <v>536294.27941624937</v>
          </cell>
          <cell r="AR61">
            <v>530562.90970421082</v>
          </cell>
          <cell r="AS61">
            <v>524892.79106278194</v>
          </cell>
          <cell r="AT61">
            <v>519283.26890259917</v>
          </cell>
          <cell r="AU61">
            <v>513733.69562988722</v>
          </cell>
          <cell r="AV61">
            <v>508243.4305716962</v>
          </cell>
          <cell r="AW61">
            <v>502811.8399019395</v>
          </cell>
          <cell r="AX61">
            <v>497438.2965682213</v>
          </cell>
          <cell r="AY61">
            <v>492122.18021944637</v>
          </cell>
          <cell r="AZ61">
            <v>486862.87713420321</v>
          </cell>
          <cell r="BA61">
            <v>481659.78014991269</v>
          </cell>
          <cell r="BB61">
            <v>476512.28859273402</v>
          </cell>
          <cell r="BC61">
            <v>471419.80820821953</v>
          </cell>
          <cell r="BD61">
            <v>466381.75109271082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Overview"/>
      <sheetName val="Update Log"/>
      <sheetName val="MLIST"/>
      <sheetName val="FILES"/>
      <sheetName val="APPLIC"/>
      <sheetName val="FEAS"/>
      <sheetName val="BASE"/>
      <sheetName val="STOCK"/>
      <sheetName val="TURN"/>
      <sheetName val="ACHIEV"/>
      <sheetName val="CODE"/>
      <sheetName val="SATS"/>
      <sheetName val="Bldgs"/>
      <sheetName val="Vars"/>
      <sheetName val="taxonomy"/>
      <sheetName val="Lookup"/>
      <sheetName val="UEC"/>
      <sheetName val="Tracking Status"/>
    </sheetNames>
    <definedNames>
      <definedName name="ResApplic" refersTo="='APPLIC'!$B$8:$F$119"/>
    </definedNames>
    <sheetDataSet>
      <sheetData sheetId="0">
        <row r="116">
          <cell r="B116" t="str">
            <v>Contents</v>
          </cell>
        </row>
        <row r="117">
          <cell r="B117" t="str">
            <v>Overview of model structure</v>
          </cell>
        </row>
        <row r="118">
          <cell r="B118" t="str">
            <v xml:space="preserve">Update Log:  Log for updates to Draft 6th Plan Assessment </v>
          </cell>
        </row>
        <row r="119">
          <cell r="B119" t="str">
            <v>Master List of measure bundles</v>
          </cell>
        </row>
      </sheetData>
      <sheetData sheetId="1"/>
      <sheetData sheetId="2">
        <row r="8">
          <cell r="B8" t="str">
            <v>Base Measure Name</v>
          </cell>
          <cell r="C8" t="str">
            <v>VCohort</v>
          </cell>
          <cell r="D8" t="str">
            <v>Measure Index Name</v>
          </cell>
          <cell r="E8" t="str">
            <v>M BUNDLE ID</v>
          </cell>
          <cell r="F8" t="str">
            <v>Measure Bundle Description</v>
          </cell>
        </row>
        <row r="9">
          <cell r="B9" t="str">
            <v>Lighting</v>
          </cell>
          <cell r="C9" t="str">
            <v>New</v>
          </cell>
          <cell r="D9" t="str">
            <v>Lighting - New</v>
          </cell>
        </row>
        <row r="10">
          <cell r="B10" t="str">
            <v>Lighting</v>
          </cell>
          <cell r="C10" t="str">
            <v>NR</v>
          </cell>
          <cell r="D10" t="str">
            <v>Lighting - NR</v>
          </cell>
        </row>
        <row r="11">
          <cell r="B11" t="str">
            <v>Lighting</v>
          </cell>
          <cell r="C11" t="str">
            <v>PPA</v>
          </cell>
          <cell r="D11" t="str">
            <v>Lighting - PPA</v>
          </cell>
        </row>
        <row r="12">
          <cell r="B12" t="str">
            <v>Dishwasher</v>
          </cell>
          <cell r="C12" t="str">
            <v>New</v>
          </cell>
          <cell r="D12" t="str">
            <v>Dishwasher - New</v>
          </cell>
        </row>
        <row r="13">
          <cell r="B13" t="str">
            <v>Dishwasher</v>
          </cell>
          <cell r="C13" t="str">
            <v>NR</v>
          </cell>
          <cell r="D13" t="str">
            <v>Dishwasher - NR</v>
          </cell>
        </row>
        <row r="14">
          <cell r="B14" t="str">
            <v>Clothes Washer</v>
          </cell>
          <cell r="C14" t="str">
            <v>New</v>
          </cell>
          <cell r="D14" t="str">
            <v>Clothes Washer - New</v>
          </cell>
        </row>
        <row r="15">
          <cell r="B15" t="str">
            <v>Clothes Washer</v>
          </cell>
          <cell r="C15" t="str">
            <v>NR</v>
          </cell>
          <cell r="D15" t="str">
            <v>Clothes Washer - NR</v>
          </cell>
        </row>
        <row r="16">
          <cell r="B16" t="str">
            <v>WasteWater Heat Recovery</v>
          </cell>
          <cell r="C16" t="str">
            <v>New</v>
          </cell>
          <cell r="D16" t="str">
            <v>WasteWater Heat Recovery - New</v>
          </cell>
        </row>
        <row r="17">
          <cell r="B17" t="str">
            <v>Showerheads</v>
          </cell>
          <cell r="C17" t="str">
            <v>New</v>
          </cell>
          <cell r="D17" t="str">
            <v>Showerheads - New</v>
          </cell>
        </row>
        <row r="18">
          <cell r="B18" t="str">
            <v>Showerheads</v>
          </cell>
          <cell r="C18" t="str">
            <v>Retro</v>
          </cell>
          <cell r="D18" t="str">
            <v>Showerheads - Retro</v>
          </cell>
        </row>
        <row r="19">
          <cell r="B19" t="str">
            <v>HPWH</v>
          </cell>
          <cell r="C19" t="str">
            <v>New</v>
          </cell>
          <cell r="D19" t="str">
            <v>HPWH - New</v>
          </cell>
        </row>
        <row r="20">
          <cell r="B20" t="str">
            <v>HPWH</v>
          </cell>
          <cell r="C20" t="str">
            <v>NR</v>
          </cell>
          <cell r="D20" t="str">
            <v>HPWH - NR</v>
          </cell>
        </row>
        <row r="21">
          <cell r="B21" t="str">
            <v>EV Supply Equip</v>
          </cell>
          <cell r="C21" t="str">
            <v>NR</v>
          </cell>
          <cell r="D21" t="str">
            <v>EV Supply Equip - NR</v>
          </cell>
        </row>
        <row r="22">
          <cell r="B22" t="str">
            <v>Clothes Dryer</v>
          </cell>
          <cell r="C22" t="str">
            <v>New</v>
          </cell>
          <cell r="D22" t="str">
            <v>Clothes Dryer - New</v>
          </cell>
        </row>
        <row r="23">
          <cell r="B23" t="str">
            <v>Clothes Dryer</v>
          </cell>
          <cell r="C23" t="str">
            <v>NR</v>
          </cell>
          <cell r="D23" t="str">
            <v>Clothes Dryer - NR</v>
          </cell>
        </row>
        <row r="24">
          <cell r="B24" t="str">
            <v>Refrigerator</v>
          </cell>
          <cell r="C24" t="str">
            <v>New</v>
          </cell>
          <cell r="D24" t="str">
            <v>Refrigerator - New</v>
          </cell>
        </row>
        <row r="25">
          <cell r="B25" t="str">
            <v>Refrigerator</v>
          </cell>
          <cell r="C25" t="str">
            <v>NR</v>
          </cell>
          <cell r="D25" t="str">
            <v>Refrigerator - NR</v>
          </cell>
        </row>
        <row r="26">
          <cell r="B26" t="str">
            <v>Freezer</v>
          </cell>
          <cell r="C26" t="str">
            <v>New</v>
          </cell>
          <cell r="D26" t="str">
            <v>Freezer - New</v>
          </cell>
        </row>
        <row r="27">
          <cell r="B27" t="str">
            <v>Freezer</v>
          </cell>
          <cell r="C27" t="str">
            <v>NR</v>
          </cell>
          <cell r="D27" t="str">
            <v>Freezer - NR</v>
          </cell>
        </row>
        <row r="28">
          <cell r="B28" t="str">
            <v>Solar Water Heater</v>
          </cell>
          <cell r="C28" t="str">
            <v>New</v>
          </cell>
          <cell r="D28" t="str">
            <v>Solar Water Heater - New</v>
          </cell>
        </row>
        <row r="29">
          <cell r="B29" t="str">
            <v>Solar Water Heater</v>
          </cell>
          <cell r="C29" t="str">
            <v>NR</v>
          </cell>
          <cell r="D29" t="str">
            <v>Solar Water Heater - NR</v>
          </cell>
        </row>
        <row r="30">
          <cell r="B30" t="str">
            <v>Solar Water Heater</v>
          </cell>
          <cell r="C30" t="str">
            <v>Retro</v>
          </cell>
          <cell r="D30" t="str">
            <v>Solar Water Heater - Retro</v>
          </cell>
        </row>
        <row r="33">
          <cell r="B33" t="str">
            <v>Electric Oven</v>
          </cell>
          <cell r="C33" t="str">
            <v>New</v>
          </cell>
          <cell r="D33" t="str">
            <v>Electric Oven - New</v>
          </cell>
        </row>
        <row r="34">
          <cell r="B34" t="str">
            <v>Electric Oven</v>
          </cell>
          <cell r="C34" t="str">
            <v>NR</v>
          </cell>
          <cell r="D34" t="str">
            <v>Electric Oven - NR</v>
          </cell>
        </row>
        <row r="35">
          <cell r="B35" t="str">
            <v>Microwave</v>
          </cell>
          <cell r="C35" t="str">
            <v>New</v>
          </cell>
          <cell r="D35" t="str">
            <v>Microwave - New</v>
          </cell>
        </row>
        <row r="36">
          <cell r="B36" t="str">
            <v>Microwave</v>
          </cell>
          <cell r="C36" t="str">
            <v>NR</v>
          </cell>
          <cell r="D36" t="str">
            <v>Microwave - NR</v>
          </cell>
        </row>
        <row r="37">
          <cell r="B37" t="str">
            <v>Monitor</v>
          </cell>
          <cell r="C37" t="str">
            <v>New</v>
          </cell>
          <cell r="D37" t="str">
            <v>Monitor - New</v>
          </cell>
        </row>
        <row r="38">
          <cell r="B38" t="str">
            <v>Monitor</v>
          </cell>
          <cell r="C38" t="str">
            <v>NR</v>
          </cell>
          <cell r="D38" t="str">
            <v>Monitor - NR</v>
          </cell>
        </row>
        <row r="39">
          <cell r="B39" t="str">
            <v>Desktop</v>
          </cell>
          <cell r="C39" t="str">
            <v>New</v>
          </cell>
          <cell r="D39" t="str">
            <v>Desktop - New</v>
          </cell>
        </row>
        <row r="40">
          <cell r="B40" t="str">
            <v>Desktop</v>
          </cell>
          <cell r="C40" t="str">
            <v>NR</v>
          </cell>
          <cell r="D40" t="str">
            <v>Desktop - NR</v>
          </cell>
        </row>
        <row r="41">
          <cell r="B41" t="str">
            <v>Laptop</v>
          </cell>
          <cell r="C41" t="str">
            <v>New</v>
          </cell>
          <cell r="D41" t="str">
            <v>Laptop - New</v>
          </cell>
        </row>
        <row r="42">
          <cell r="B42" t="str">
            <v>Laptop</v>
          </cell>
          <cell r="C42" t="str">
            <v>NR</v>
          </cell>
          <cell r="D42" t="str">
            <v>Laptop - NR</v>
          </cell>
        </row>
        <row r="43">
          <cell r="B43" t="str">
            <v>Computer</v>
          </cell>
          <cell r="C43" t="str">
            <v>New</v>
          </cell>
          <cell r="D43" t="str">
            <v>Computer - New</v>
          </cell>
        </row>
        <row r="44">
          <cell r="B44" t="str">
            <v>Computer</v>
          </cell>
          <cell r="C44" t="str">
            <v>NR</v>
          </cell>
          <cell r="D44" t="str">
            <v>Computer - NR</v>
          </cell>
        </row>
        <row r="45">
          <cell r="B45" t="str">
            <v>ASHP</v>
          </cell>
          <cell r="C45" t="str">
            <v>New</v>
          </cell>
          <cell r="D45" t="str">
            <v>ASHP - New</v>
          </cell>
        </row>
        <row r="46">
          <cell r="B46" t="str">
            <v>ASHP</v>
          </cell>
          <cell r="C46" t="str">
            <v>NR</v>
          </cell>
          <cell r="D46" t="str">
            <v>ASHP - NR</v>
          </cell>
        </row>
        <row r="47">
          <cell r="B47" t="str">
            <v>HP</v>
          </cell>
          <cell r="C47" t="str">
            <v>Retro</v>
          </cell>
          <cell r="D47" t="str">
            <v>HP - Retro</v>
          </cell>
        </row>
        <row r="48">
          <cell r="B48" t="str">
            <v>DHP</v>
          </cell>
          <cell r="C48" t="str">
            <v>New</v>
          </cell>
          <cell r="D48" t="str">
            <v>DHP - New</v>
          </cell>
        </row>
        <row r="49">
          <cell r="B49" t="str">
            <v>DHP</v>
          </cell>
          <cell r="C49" t="str">
            <v>NR</v>
          </cell>
          <cell r="D49" t="str">
            <v>DHP - NR</v>
          </cell>
        </row>
        <row r="50">
          <cell r="B50" t="str">
            <v>DHP</v>
          </cell>
          <cell r="C50" t="str">
            <v>Retro</v>
          </cell>
          <cell r="D50" t="str">
            <v>DHP - Retro</v>
          </cell>
        </row>
        <row r="51">
          <cell r="B51" t="str">
            <v>Duct Sealing</v>
          </cell>
          <cell r="C51" t="str">
            <v>New</v>
          </cell>
          <cell r="D51" t="str">
            <v>Duct Sealing - New</v>
          </cell>
        </row>
        <row r="52">
          <cell r="B52" t="str">
            <v>Duct Sealing</v>
          </cell>
          <cell r="C52" t="str">
            <v>Retro</v>
          </cell>
          <cell r="D52" t="str">
            <v>Duct Sealing - Retro</v>
          </cell>
        </row>
        <row r="53">
          <cell r="B53" t="str">
            <v>WIFI enabled tstats</v>
          </cell>
          <cell r="C53" t="str">
            <v>New</v>
          </cell>
          <cell r="D53" t="str">
            <v>WIFI enabled tstats - New</v>
          </cell>
        </row>
        <row r="54">
          <cell r="B54" t="str">
            <v>WIFI enabled tstats</v>
          </cell>
          <cell r="C54" t="str">
            <v>Retro</v>
          </cell>
          <cell r="D54" t="str">
            <v>WIFI enabled tstats - Retro</v>
          </cell>
        </row>
        <row r="55">
          <cell r="B55" t="str">
            <v>Combo DHP/HPWH units</v>
          </cell>
          <cell r="C55" t="str">
            <v>New</v>
          </cell>
          <cell r="D55" t="str">
            <v>Combo DHP/HPWH units - New</v>
          </cell>
        </row>
        <row r="56">
          <cell r="B56" t="str">
            <v>Combo DHP/HPWH units</v>
          </cell>
          <cell r="C56" t="str">
            <v>NR</v>
          </cell>
          <cell r="D56" t="str">
            <v>Combo DHP/HPWH units - NR</v>
          </cell>
        </row>
        <row r="57">
          <cell r="B57" t="str">
            <v>Combo DHP/HPWH units</v>
          </cell>
          <cell r="C57" t="str">
            <v>Retro</v>
          </cell>
          <cell r="D57" t="str">
            <v>Combo DHP/HPWH units - Retro</v>
          </cell>
        </row>
        <row r="58">
          <cell r="B58" t="str">
            <v>Aerator</v>
          </cell>
          <cell r="C58" t="str">
            <v>New</v>
          </cell>
          <cell r="D58" t="str">
            <v>Aerator - New</v>
          </cell>
        </row>
        <row r="59">
          <cell r="B59" t="str">
            <v>Aerator</v>
          </cell>
          <cell r="C59" t="str">
            <v>Retro</v>
          </cell>
          <cell r="D59" t="str">
            <v>Aerator - Retro</v>
          </cell>
        </row>
        <row r="60">
          <cell r="B60" t="str">
            <v>Behavior</v>
          </cell>
          <cell r="C60" t="str">
            <v>Retro</v>
          </cell>
          <cell r="D60" t="str">
            <v>Behavior - Retro</v>
          </cell>
        </row>
        <row r="61">
          <cell r="B61" t="str">
            <v>Behavior</v>
          </cell>
          <cell r="C61" t="str">
            <v>New</v>
          </cell>
          <cell r="D61" t="str">
            <v>Behavior - New</v>
          </cell>
        </row>
        <row r="63">
          <cell r="B63" t="str">
            <v>Heat Recovery Ventilation</v>
          </cell>
          <cell r="C63" t="str">
            <v>New</v>
          </cell>
          <cell r="D63" t="str">
            <v>Heat Recovery Ventilation - New</v>
          </cell>
        </row>
        <row r="64">
          <cell r="B64" t="str">
            <v>GSHP</v>
          </cell>
          <cell r="C64" t="str">
            <v>New</v>
          </cell>
          <cell r="D64" t="str">
            <v>GSHP - New</v>
          </cell>
        </row>
        <row r="65">
          <cell r="B65" t="str">
            <v>GSHP</v>
          </cell>
          <cell r="C65" t="str">
            <v>NR</v>
          </cell>
          <cell r="D65" t="str">
            <v>GSHP - NR</v>
          </cell>
        </row>
        <row r="66">
          <cell r="C66" t="str">
            <v>Retro</v>
          </cell>
        </row>
        <row r="67">
          <cell r="B67" t="str">
            <v>ECM for HVAC ventilation</v>
          </cell>
          <cell r="C67" t="str">
            <v>New</v>
          </cell>
          <cell r="D67" t="str">
            <v>ECM for HVAC ventilation - New</v>
          </cell>
        </row>
        <row r="68">
          <cell r="B68" t="str">
            <v>ECM for HVAC ventilation</v>
          </cell>
          <cell r="C68" t="str">
            <v>NR</v>
          </cell>
          <cell r="D68" t="str">
            <v>ECM for HVAC ventilation - NR</v>
          </cell>
        </row>
        <row r="69">
          <cell r="B69" t="str">
            <v>Whole house/attic fan</v>
          </cell>
          <cell r="C69" t="str">
            <v>New</v>
          </cell>
          <cell r="D69" t="str">
            <v>Whole house/attic fan - New</v>
          </cell>
        </row>
        <row r="70">
          <cell r="B70" t="str">
            <v>Whole house/attic fan</v>
          </cell>
          <cell r="C70" t="str">
            <v>Retro</v>
          </cell>
          <cell r="D70" t="str">
            <v>Whole house/attic fan - Retro</v>
          </cell>
        </row>
        <row r="71">
          <cell r="B71" t="str">
            <v>WH Pipe insulation</v>
          </cell>
          <cell r="C71" t="str">
            <v>Retro</v>
          </cell>
          <cell r="D71" t="str">
            <v>WH Pipe insulation - Retro</v>
          </cell>
        </row>
        <row r="72">
          <cell r="B72" t="str">
            <v>DHP Ducted</v>
          </cell>
          <cell r="C72" t="str">
            <v>NR</v>
          </cell>
          <cell r="D72" t="str">
            <v>DHP Ducted - NR</v>
          </cell>
        </row>
        <row r="73">
          <cell r="B73" t="str">
            <v>Advanced Power Strips</v>
          </cell>
          <cell r="C73" t="str">
            <v>New</v>
          </cell>
          <cell r="D73" t="str">
            <v>Advanced Power Strips - New</v>
          </cell>
        </row>
        <row r="74">
          <cell r="B74" t="str">
            <v>Advanced Power Strips</v>
          </cell>
          <cell r="C74" t="str">
            <v>Retro</v>
          </cell>
          <cell r="D74" t="str">
            <v>Advanced Power Strips - Retro</v>
          </cell>
        </row>
        <row r="75">
          <cell r="B75" t="str">
            <v>Controls Commissioning and Sizing</v>
          </cell>
          <cell r="C75" t="str">
            <v>New</v>
          </cell>
          <cell r="D75" t="str">
            <v>Controls Commissioning and Sizing - New</v>
          </cell>
        </row>
        <row r="76">
          <cell r="B76" t="str">
            <v>Controls Commissioning and Sizing</v>
          </cell>
          <cell r="C76" t="str">
            <v>NR</v>
          </cell>
          <cell r="D76" t="str">
            <v>Controls Commissioning and Sizing - NR</v>
          </cell>
        </row>
        <row r="77">
          <cell r="B77" t="str">
            <v>ResWx</v>
          </cell>
          <cell r="C77" t="str">
            <v>Retro</v>
          </cell>
          <cell r="D77" t="str">
            <v>ResWx - Retro</v>
          </cell>
        </row>
        <row r="78">
          <cell r="B78" t="str">
            <v>ATTIC R0 - R19</v>
          </cell>
          <cell r="C78" t="str">
            <v>Retro</v>
          </cell>
          <cell r="D78" t="str">
            <v>ATTIC R0 - R19 - Retro</v>
          </cell>
        </row>
        <row r="79">
          <cell r="B79" t="str">
            <v>ATTIC R0 - R22</v>
          </cell>
          <cell r="C79" t="str">
            <v>Retro</v>
          </cell>
          <cell r="D79" t="str">
            <v>ATTIC R0 - R22 - Retro</v>
          </cell>
        </row>
        <row r="80">
          <cell r="B80" t="str">
            <v>ATTIC R0 - R30</v>
          </cell>
          <cell r="C80" t="str">
            <v>Retro</v>
          </cell>
          <cell r="D80" t="str">
            <v>ATTIC R0 - R30 - Retro</v>
          </cell>
        </row>
        <row r="81">
          <cell r="B81" t="str">
            <v>ATTIC R0 - R38</v>
          </cell>
          <cell r="C81" t="str">
            <v>Retro</v>
          </cell>
          <cell r="D81" t="str">
            <v>ATTIC R0 - R38 - Retro</v>
          </cell>
        </row>
        <row r="82">
          <cell r="B82" t="str">
            <v>ATTIC R0 - R49</v>
          </cell>
          <cell r="C82" t="str">
            <v>Retro</v>
          </cell>
          <cell r="D82" t="str">
            <v>ATTIC R0 - R49 - Retro</v>
          </cell>
        </row>
        <row r="83">
          <cell r="B83" t="str">
            <v>ATTIC R11 - R30</v>
          </cell>
          <cell r="C83" t="str">
            <v>Retro</v>
          </cell>
          <cell r="D83" t="str">
            <v>ATTIC R11 - R30 - Retro</v>
          </cell>
        </row>
        <row r="84">
          <cell r="B84" t="str">
            <v>ATTIC R11 - R38</v>
          </cell>
          <cell r="C84" t="str">
            <v>Retro</v>
          </cell>
          <cell r="D84" t="str">
            <v>ATTIC R11 - R38 - Retro</v>
          </cell>
        </row>
        <row r="85">
          <cell r="B85" t="str">
            <v>ATTIC R11 - R49</v>
          </cell>
          <cell r="C85" t="str">
            <v>Retro</v>
          </cell>
          <cell r="D85" t="str">
            <v>ATTIC R11 - R49 - Retro</v>
          </cell>
        </row>
        <row r="86">
          <cell r="B86" t="str">
            <v>ATTIC R19 - R30</v>
          </cell>
          <cell r="C86" t="str">
            <v>Retro</v>
          </cell>
          <cell r="D86" t="str">
            <v>ATTIC R19 - R30 - Retro</v>
          </cell>
        </row>
        <row r="87">
          <cell r="B87" t="str">
            <v>ATTIC R19 - R38</v>
          </cell>
          <cell r="C87" t="str">
            <v>Retro</v>
          </cell>
          <cell r="D87" t="str">
            <v>ATTIC R19 - R38 - Retro</v>
          </cell>
        </row>
        <row r="88">
          <cell r="B88" t="str">
            <v>ATTIC R19 - R49</v>
          </cell>
          <cell r="C88" t="str">
            <v>Retro</v>
          </cell>
          <cell r="D88" t="str">
            <v>ATTIC R19 - R49 - Retro</v>
          </cell>
        </row>
        <row r="89">
          <cell r="B89" t="str">
            <v>WALL R0 - R11</v>
          </cell>
          <cell r="C89" t="str">
            <v>Retro</v>
          </cell>
          <cell r="D89" t="str">
            <v>WALL R0 - R11 - Retro</v>
          </cell>
        </row>
        <row r="90">
          <cell r="B90" t="str">
            <v>FLOOR R0 - R19</v>
          </cell>
          <cell r="C90" t="str">
            <v>Retro</v>
          </cell>
          <cell r="D90" t="str">
            <v>FLOOR R0 - R19 - Retro</v>
          </cell>
        </row>
        <row r="91">
          <cell r="B91" t="str">
            <v>FLOOR R0 - R22</v>
          </cell>
          <cell r="C91" t="str">
            <v>Retro</v>
          </cell>
          <cell r="D91" t="str">
            <v>FLOOR R0 - R22 - Retro</v>
          </cell>
        </row>
        <row r="92">
          <cell r="B92" t="str">
            <v>FLOOR R0 - R25</v>
          </cell>
          <cell r="C92" t="str">
            <v>Retro</v>
          </cell>
          <cell r="D92" t="str">
            <v>FLOOR R0 - R25 - Retro</v>
          </cell>
        </row>
        <row r="93">
          <cell r="B93" t="str">
            <v>FLOOR R0 - R30</v>
          </cell>
          <cell r="C93" t="str">
            <v>Retro</v>
          </cell>
          <cell r="D93" t="str">
            <v>FLOOR R0 - R30 - Retro</v>
          </cell>
        </row>
        <row r="94">
          <cell r="B94" t="str">
            <v>FLOOR R11 - R22</v>
          </cell>
          <cell r="C94" t="str">
            <v>Retro</v>
          </cell>
          <cell r="D94" t="str">
            <v>FLOOR R11 - R22 - Retro</v>
          </cell>
        </row>
        <row r="95">
          <cell r="B95" t="str">
            <v>WINDOW CL30 Prime Window Replacement of Single Pane Base</v>
          </cell>
          <cell r="C95" t="str">
            <v>Retro</v>
          </cell>
          <cell r="D95" t="str">
            <v>WINDOW CL30 Prime Window Replacement of Single Pane Base - Retro</v>
          </cell>
        </row>
        <row r="96">
          <cell r="B96" t="str">
            <v>WINDOW CL30 Prime Window Replacement of Double Pane Base</v>
          </cell>
          <cell r="C96" t="str">
            <v>Retro</v>
          </cell>
          <cell r="D96" t="str">
            <v>WINDOW CL30 Prime Window Replacement of Double Pane Base - Retro</v>
          </cell>
        </row>
        <row r="97">
          <cell r="B97" t="str">
            <v>WINDOW CL22 Prime Window Replacement of Single Pane Base</v>
          </cell>
          <cell r="C97" t="str">
            <v>Retro</v>
          </cell>
          <cell r="D97" t="str">
            <v>WINDOW CL22 Prime Window Replacement of Single Pane Base - Retro</v>
          </cell>
        </row>
        <row r="98">
          <cell r="B98" t="str">
            <v>WINDOW CL22 Prime Window Replacement of Double Pane Base</v>
          </cell>
          <cell r="C98" t="str">
            <v>Retro</v>
          </cell>
          <cell r="D98" t="str">
            <v>WINDOW CL22 Prime Window Replacement of Double Pane Base - Retro</v>
          </cell>
        </row>
        <row r="99">
          <cell r="B99" t="str">
            <v>CFM50 Infiltration Reduction</v>
          </cell>
          <cell r="C99" t="str">
            <v>Retro</v>
          </cell>
          <cell r="D99" t="str">
            <v>CFM50 Infiltration Reduction - Retro</v>
          </cell>
        </row>
      </sheetData>
      <sheetData sheetId="3">
        <row r="4">
          <cell r="H4">
            <v>2035</v>
          </cell>
        </row>
        <row r="8">
          <cell r="B8">
            <v>1</v>
          </cell>
          <cell r="C8">
            <v>2</v>
          </cell>
          <cell r="D8">
            <v>3</v>
          </cell>
          <cell r="E8">
            <v>4</v>
          </cell>
          <cell r="F8">
            <v>5</v>
          </cell>
        </row>
        <row r="9">
          <cell r="B9" t="str">
            <v>Measure Index Name</v>
          </cell>
          <cell r="C9" t="str">
            <v>File Link</v>
          </cell>
          <cell r="D9" t="str">
            <v>Supply Curve Worksheet</v>
          </cell>
          <cell r="E9" t="str">
            <v>Lost Opp</v>
          </cell>
          <cell r="F9" t="str">
            <v>Descriptive Name</v>
          </cell>
        </row>
        <row r="10">
          <cell r="B10" t="str">
            <v>Lighting - New</v>
          </cell>
          <cell r="C10" t="str">
            <v>Res-Lighting-7P_v2.xlsx</v>
          </cell>
        </row>
        <row r="11">
          <cell r="B11" t="str">
            <v>Lighting - NR</v>
          </cell>
          <cell r="C11" t="str">
            <v>Res-Lighting-7P_v2.xlsx</v>
          </cell>
        </row>
        <row r="12">
          <cell r="B12" t="str">
            <v>Lighting - PPA</v>
          </cell>
          <cell r="C12" t="str">
            <v>Res-Lighting_PPA-7P_v3.xlsx</v>
          </cell>
        </row>
        <row r="13">
          <cell r="B13" t="str">
            <v>Dishwasher - New</v>
          </cell>
          <cell r="C13" t="str">
            <v>Res-Dishwasher-7P_v3.xlsx</v>
          </cell>
        </row>
        <row r="14">
          <cell r="B14" t="str">
            <v>Dishwasher - NR</v>
          </cell>
          <cell r="C14" t="str">
            <v>Res-Dishwasher-7P_v3.xlsx</v>
          </cell>
        </row>
        <row r="15">
          <cell r="B15" t="str">
            <v>Clothes Washer - New</v>
          </cell>
          <cell r="C15" t="str">
            <v>Res-ClothesWasher-7P_v2.xlsx</v>
          </cell>
        </row>
        <row r="16">
          <cell r="B16" t="str">
            <v>Clothes Washer - NR</v>
          </cell>
          <cell r="C16" t="str">
            <v>Res-ClothesWasher-7P_v2.xlsx</v>
          </cell>
        </row>
        <row r="17">
          <cell r="B17" t="str">
            <v>WasteWater Heat Recovery - New</v>
          </cell>
          <cell r="C17" t="str">
            <v>Res-GFX-7P_v2p.xlsx</v>
          </cell>
        </row>
        <row r="18">
          <cell r="B18" t="str">
            <v>Showerheads - New</v>
          </cell>
          <cell r="C18" t="str">
            <v>Res-Showerhead-7P_v4.xlsx</v>
          </cell>
        </row>
        <row r="19">
          <cell r="B19" t="str">
            <v>Showerheads - Retro</v>
          </cell>
          <cell r="C19" t="str">
            <v>Res-Showerhead-7P_v4.xlsx</v>
          </cell>
        </row>
        <row r="20">
          <cell r="B20" t="str">
            <v>HPWH - New</v>
          </cell>
          <cell r="C20" t="str">
            <v>Res-HPWH-7P_v3.xlsx</v>
          </cell>
        </row>
        <row r="21">
          <cell r="B21" t="str">
            <v>HPWH - NR</v>
          </cell>
          <cell r="C21" t="str">
            <v>Res-HPWH-7P_v3.xlsx</v>
          </cell>
        </row>
        <row r="22">
          <cell r="B22" t="str">
            <v>EV Supply Equip - NR</v>
          </cell>
          <cell r="C22" t="str">
            <v>Res-EVCharger-7P_v1p.xlsx</v>
          </cell>
        </row>
        <row r="23">
          <cell r="B23" t="str">
            <v>Clothes Dryer - New</v>
          </cell>
          <cell r="C23" t="str">
            <v>Res-ClothesDryer-7P_v2.xlsx</v>
          </cell>
        </row>
        <row r="24">
          <cell r="B24" t="str">
            <v>Clothes Dryer - NR</v>
          </cell>
          <cell r="C24" t="str">
            <v>Res-ClothesDryer-7P_v2.xlsx</v>
          </cell>
        </row>
        <row r="25">
          <cell r="B25" t="str">
            <v>Refrigerator - New</v>
          </cell>
          <cell r="C25" t="str">
            <v>Res-RefrigFreezer-7P_v3.xlsm</v>
          </cell>
        </row>
        <row r="26">
          <cell r="B26" t="str">
            <v>Refrigerator - NR</v>
          </cell>
          <cell r="C26" t="str">
            <v>Res-RefrigFreezer-7P_v3.xlsm</v>
          </cell>
        </row>
        <row r="27">
          <cell r="B27" t="str">
            <v>Freezer - New</v>
          </cell>
          <cell r="C27" t="str">
            <v>Res-RefrigFreezer-7P_v3.xlsm</v>
          </cell>
        </row>
        <row r="28">
          <cell r="B28" t="str">
            <v>Freezer - NR</v>
          </cell>
          <cell r="C28" t="str">
            <v>Res-RefrigFreezer-7P_v3.xlsm</v>
          </cell>
        </row>
        <row r="29">
          <cell r="B29" t="str">
            <v>Solar Water Heater - New</v>
          </cell>
          <cell r="C29" t="str">
            <v>Res-SWH-7P_v1.xlsx</v>
          </cell>
        </row>
        <row r="30">
          <cell r="B30" t="str">
            <v>Solar Water Heater - NR</v>
          </cell>
        </row>
        <row r="31">
          <cell r="B31" t="str">
            <v>Solar Water Heater - Retro</v>
          </cell>
          <cell r="C31" t="str">
            <v>Res-SWH-7P_v1.xlsx</v>
          </cell>
        </row>
        <row r="32">
          <cell r="B32">
            <v>0</v>
          </cell>
        </row>
        <row r="33">
          <cell r="B33">
            <v>0</v>
          </cell>
        </row>
        <row r="34">
          <cell r="B34" t="str">
            <v>Electric Oven - New</v>
          </cell>
          <cell r="C34" t="str">
            <v>Res-Oven-7P_v3.xlsx</v>
          </cell>
        </row>
        <row r="35">
          <cell r="B35" t="str">
            <v>Electric Oven - NR</v>
          </cell>
          <cell r="C35" t="str">
            <v>Res-Oven-7P_v3.xlsx</v>
          </cell>
        </row>
        <row r="36">
          <cell r="B36" t="str">
            <v>Microwave - New</v>
          </cell>
          <cell r="C36" t="str">
            <v>Res-Microwave-7P_v3.xlsx</v>
          </cell>
        </row>
        <row r="37">
          <cell r="B37" t="str">
            <v>Microwave - NR</v>
          </cell>
          <cell r="C37" t="str">
            <v>Res-Microwave-7P_v3.xlsx</v>
          </cell>
        </row>
        <row r="38">
          <cell r="B38" t="str">
            <v>Monitor - New</v>
          </cell>
          <cell r="C38" t="str">
            <v>Res-Computers-7P_v4.xlsx</v>
          </cell>
        </row>
        <row r="39">
          <cell r="B39" t="str">
            <v>Monitor - NR</v>
          </cell>
          <cell r="C39" t="str">
            <v>Res-Computers-7P_v4.xlsx</v>
          </cell>
        </row>
        <row r="40">
          <cell r="B40" t="str">
            <v>Desktop - New</v>
          </cell>
          <cell r="C40" t="str">
            <v>Res-Computers-7P_v4.xlsx</v>
          </cell>
        </row>
        <row r="41">
          <cell r="B41" t="str">
            <v>Desktop - NR</v>
          </cell>
          <cell r="C41" t="str">
            <v>Res-Computers-7P_v4.xlsx</v>
          </cell>
        </row>
        <row r="42">
          <cell r="B42" t="str">
            <v>Laptop - New</v>
          </cell>
          <cell r="C42" t="str">
            <v>Res-Computers-7P_v4.xlsx</v>
          </cell>
        </row>
        <row r="43">
          <cell r="B43" t="str">
            <v>Laptop - NR</v>
          </cell>
          <cell r="C43" t="str">
            <v>Res-Computers-7P_v4.xlsx</v>
          </cell>
        </row>
        <row r="46">
          <cell r="B46" t="str">
            <v>ASHP - New</v>
          </cell>
          <cell r="C46" t="str">
            <v>Res-SF_HP-7P_v3.xlsx</v>
          </cell>
        </row>
        <row r="47">
          <cell r="B47" t="str">
            <v>ASHP - NR</v>
          </cell>
          <cell r="C47" t="str">
            <v>Res-SF_HP-7P_v3.xlsx</v>
          </cell>
        </row>
        <row r="49">
          <cell r="B49" t="str">
            <v>DHP - New</v>
          </cell>
          <cell r="C49" t="str">
            <v>Res-SF_HP-7P_v3.xlsx</v>
          </cell>
        </row>
        <row r="50">
          <cell r="B50" t="str">
            <v>DHP - NR</v>
          </cell>
          <cell r="C50" t="str">
            <v>Res-SF_HP-7P_v3.xlsx</v>
          </cell>
        </row>
        <row r="51">
          <cell r="B51" t="str">
            <v>DHP - Retro</v>
          </cell>
        </row>
        <row r="52">
          <cell r="B52" t="str">
            <v>Duct Sealing - New</v>
          </cell>
          <cell r="C52" t="str">
            <v>Res-Duct_Seal-7P_v3.xlsx</v>
          </cell>
        </row>
        <row r="53">
          <cell r="B53" t="str">
            <v>Duct Sealing - Retro</v>
          </cell>
          <cell r="C53" t="str">
            <v>Res-Duct_Seal-7P_v3.xlsx</v>
          </cell>
        </row>
        <row r="54">
          <cell r="B54" t="str">
            <v>WIFI enabled tstats - New</v>
          </cell>
          <cell r="C54" t="str">
            <v>Res-WiFitstat-7P_v3.xlsx</v>
          </cell>
        </row>
        <row r="55">
          <cell r="B55" t="str">
            <v>WIFI enabled tstats - Retro</v>
          </cell>
          <cell r="C55" t="str">
            <v>Res-WiFitstat-7P_v3.xlsx</v>
          </cell>
        </row>
        <row r="56">
          <cell r="B56" t="str">
            <v>Combo DHP/HPWH units - New</v>
          </cell>
        </row>
        <row r="57">
          <cell r="B57" t="str">
            <v>Combo DHP/HPWH units - NR</v>
          </cell>
        </row>
        <row r="58">
          <cell r="B58" t="str">
            <v>Combo DHP/HPWH units - Retro</v>
          </cell>
        </row>
        <row r="59">
          <cell r="B59" t="str">
            <v>Aerator - New</v>
          </cell>
          <cell r="C59" t="str">
            <v>Res-Aerator-7P_v4.xlsx</v>
          </cell>
        </row>
        <row r="60">
          <cell r="B60" t="str">
            <v>Aerator - Retro</v>
          </cell>
          <cell r="C60" t="str">
            <v>Res-Aerator-7P_v4.xlsx</v>
          </cell>
        </row>
        <row r="61">
          <cell r="B61" t="str">
            <v>Behavior - Retro</v>
          </cell>
          <cell r="C61" t="str">
            <v>Res-COP-7P_v2.xlsx</v>
          </cell>
        </row>
        <row r="62">
          <cell r="B62" t="str">
            <v>Behavior - New</v>
          </cell>
          <cell r="C62" t="str">
            <v>Res-COP-7P_v2.xlsx</v>
          </cell>
        </row>
        <row r="63">
          <cell r="B63">
            <v>0</v>
          </cell>
        </row>
        <row r="64">
          <cell r="B64" t="str">
            <v>Heat Recovery Ventilation - New</v>
          </cell>
          <cell r="C64" t="str">
            <v>Res-HRV-7P_v1.xlsx</v>
          </cell>
        </row>
        <row r="65">
          <cell r="B65" t="str">
            <v>GSHP - New</v>
          </cell>
          <cell r="C65" t="str">
            <v>Res-GSHP-7P_v1.xlsx</v>
          </cell>
        </row>
        <row r="66">
          <cell r="B66" t="str">
            <v>GSHP - NR</v>
          </cell>
          <cell r="C66" t="str">
            <v>Res-GSHP-7P_v1.xlsx</v>
          </cell>
        </row>
        <row r="67">
          <cell r="B67">
            <v>0</v>
          </cell>
        </row>
        <row r="68">
          <cell r="B68" t="str">
            <v>ECM for HVAC ventilation - New</v>
          </cell>
        </row>
        <row r="69">
          <cell r="B69" t="str">
            <v>ECM for HVAC ventilation - NR</v>
          </cell>
        </row>
        <row r="70">
          <cell r="B70" t="str">
            <v>Whole house/attic fan - New</v>
          </cell>
        </row>
        <row r="71">
          <cell r="B71" t="str">
            <v>Whole house/attic fan - Retro</v>
          </cell>
        </row>
        <row r="72">
          <cell r="B72" t="str">
            <v>WH Pipe insulation - Retro</v>
          </cell>
        </row>
        <row r="73">
          <cell r="B73" t="str">
            <v>DHP Ducted - NR</v>
          </cell>
          <cell r="C73" t="str">
            <v>Res-FAF to DHP-7P_v1.xlsx</v>
          </cell>
        </row>
        <row r="74">
          <cell r="B74" t="str">
            <v>Advanced Power Strips - New</v>
          </cell>
          <cell r="C74" t="str">
            <v>Res-PowerStrips-7P_v5.xlsx</v>
          </cell>
        </row>
        <row r="75">
          <cell r="B75" t="str">
            <v>Advanced Power Strips - Retro</v>
          </cell>
          <cell r="C75" t="str">
            <v>Res-PowerStrips-7P_v5.xlsx</v>
          </cell>
        </row>
        <row r="76">
          <cell r="B76" t="str">
            <v>Controls Commissioning and Sizing - New</v>
          </cell>
          <cell r="C76" t="str">
            <v>Res-CCS-7P_v3.xlsx</v>
          </cell>
        </row>
        <row r="77">
          <cell r="B77" t="str">
            <v>Controls Commissioning and Sizing - NR</v>
          </cell>
          <cell r="C77" t="str">
            <v>Res-CCS-7P_v3.xlsx</v>
          </cell>
        </row>
        <row r="78">
          <cell r="B78" t="str">
            <v>ResWx - Retro</v>
          </cell>
          <cell r="C78" t="str">
            <v>Res-SF_Wx-7P_v5.xlsx</v>
          </cell>
        </row>
        <row r="79">
          <cell r="B79" t="str">
            <v>ResWx - Retro</v>
          </cell>
          <cell r="C79" t="str">
            <v>Res-MF_Wx-7P_v4.xlsx</v>
          </cell>
        </row>
        <row r="80">
          <cell r="B80" t="str">
            <v>ResWx - Retro</v>
          </cell>
          <cell r="C80" t="str">
            <v>Res-MH_Wx-7P_v3.xlsx</v>
          </cell>
        </row>
      </sheetData>
      <sheetData sheetId="4">
        <row r="8">
          <cell r="B8" t="str">
            <v>Measure Index Name</v>
          </cell>
          <cell r="C8" t="str">
            <v>Single Family</v>
          </cell>
          <cell r="D8" t="str">
            <v>Multifamily - Low Rise</v>
          </cell>
          <cell r="E8" t="str">
            <v>Multifamily - High Rise</v>
          </cell>
          <cell r="F8" t="str">
            <v>Manufactured</v>
          </cell>
        </row>
        <row r="9">
          <cell r="B9" t="str">
            <v>Lighting - New</v>
          </cell>
          <cell r="C9">
            <v>0.76500000000000001</v>
          </cell>
          <cell r="D9">
            <v>0.76500000000000001</v>
          </cell>
          <cell r="E9">
            <v>0.76500000000000001</v>
          </cell>
          <cell r="F9">
            <v>0.76500000000000001</v>
          </cell>
        </row>
        <row r="10">
          <cell r="B10" t="str">
            <v>Lighting - NR</v>
          </cell>
          <cell r="C10">
            <v>0.9</v>
          </cell>
          <cell r="D10">
            <v>0.9</v>
          </cell>
          <cell r="E10">
            <v>0.9</v>
          </cell>
          <cell r="F10">
            <v>0.9</v>
          </cell>
        </row>
        <row r="11">
          <cell r="B11" t="str">
            <v>Lighting - PPA</v>
          </cell>
          <cell r="C11">
            <v>0.9</v>
          </cell>
          <cell r="D11">
            <v>0.9</v>
          </cell>
          <cell r="E11">
            <v>0.9</v>
          </cell>
          <cell r="F11">
            <v>0.9</v>
          </cell>
        </row>
        <row r="12">
          <cell r="B12" t="str">
            <v>Dishwasher - New</v>
          </cell>
          <cell r="C12">
            <v>1</v>
          </cell>
          <cell r="D12">
            <v>1</v>
          </cell>
          <cell r="E12">
            <v>1</v>
          </cell>
          <cell r="F12">
            <v>1</v>
          </cell>
        </row>
        <row r="13">
          <cell r="B13" t="str">
            <v>Dishwasher - NR</v>
          </cell>
          <cell r="C13">
            <v>1</v>
          </cell>
          <cell r="D13">
            <v>1</v>
          </cell>
          <cell r="E13">
            <v>1</v>
          </cell>
          <cell r="F13">
            <v>1</v>
          </cell>
        </row>
        <row r="14">
          <cell r="B14" t="str">
            <v>Clothes Washer - New</v>
          </cell>
          <cell r="C14">
            <v>1</v>
          </cell>
          <cell r="D14">
            <v>0.75</v>
          </cell>
          <cell r="E14">
            <v>0.75</v>
          </cell>
          <cell r="F14">
            <v>1</v>
          </cell>
        </row>
        <row r="15">
          <cell r="B15" t="str">
            <v>Clothes Washer - NR</v>
          </cell>
          <cell r="C15">
            <v>1</v>
          </cell>
          <cell r="D15">
            <v>0.75</v>
          </cell>
          <cell r="E15">
            <v>0.75</v>
          </cell>
          <cell r="F15">
            <v>1</v>
          </cell>
        </row>
        <row r="16">
          <cell r="B16" t="str">
            <v>WasteWater Heat Recovery - New</v>
          </cell>
          <cell r="C16">
            <v>0.9</v>
          </cell>
          <cell r="D16">
            <v>0.5</v>
          </cell>
          <cell r="E16">
            <v>0.9</v>
          </cell>
          <cell r="F16">
            <v>0</v>
          </cell>
        </row>
        <row r="17">
          <cell r="B17" t="str">
            <v>Showerheads - New</v>
          </cell>
          <cell r="C17">
            <v>0.51600000000000001</v>
          </cell>
          <cell r="D17">
            <v>0.58000000000000007</v>
          </cell>
          <cell r="E17">
            <v>0.58000000000000007</v>
          </cell>
          <cell r="F17">
            <v>0.33999999999999997</v>
          </cell>
        </row>
        <row r="18">
          <cell r="B18" t="str">
            <v>Showerheads - Retro</v>
          </cell>
          <cell r="C18">
            <v>0.44247428657992416</v>
          </cell>
          <cell r="D18">
            <v>0.58000000000000007</v>
          </cell>
          <cell r="E18">
            <v>0.58000000000000007</v>
          </cell>
          <cell r="F18">
            <v>0.33999999999999997</v>
          </cell>
        </row>
        <row r="19">
          <cell r="B19" t="str">
            <v>HPWH - New</v>
          </cell>
          <cell r="C19">
            <v>0.94904999999999995</v>
          </cell>
          <cell r="D19">
            <v>0</v>
          </cell>
          <cell r="E19">
            <v>0</v>
          </cell>
          <cell r="F19">
            <v>0.95</v>
          </cell>
        </row>
        <row r="20">
          <cell r="B20" t="str">
            <v>HPWH - NR</v>
          </cell>
          <cell r="C20">
            <v>0.94904999999999995</v>
          </cell>
          <cell r="D20">
            <v>0</v>
          </cell>
          <cell r="E20">
            <v>0</v>
          </cell>
          <cell r="F20">
            <v>0.95</v>
          </cell>
        </row>
        <row r="21">
          <cell r="B21" t="str">
            <v>EV Supply Equip - NR</v>
          </cell>
          <cell r="C21">
            <v>0.89100000000000001</v>
          </cell>
          <cell r="D21">
            <v>0</v>
          </cell>
          <cell r="E21">
            <v>0</v>
          </cell>
          <cell r="F21">
            <v>0</v>
          </cell>
        </row>
        <row r="22">
          <cell r="B22" t="str">
            <v>Clothes Dryer - New</v>
          </cell>
          <cell r="C22">
            <v>0.9</v>
          </cell>
          <cell r="D22">
            <v>0.9</v>
          </cell>
          <cell r="E22">
            <v>0.9</v>
          </cell>
          <cell r="F22">
            <v>0.9</v>
          </cell>
        </row>
        <row r="23">
          <cell r="B23" t="str">
            <v>Clothes Dryer - NR</v>
          </cell>
          <cell r="C23">
            <v>0.9</v>
          </cell>
          <cell r="D23">
            <v>0.9</v>
          </cell>
          <cell r="E23">
            <v>0.9</v>
          </cell>
          <cell r="F23">
            <v>0.9</v>
          </cell>
        </row>
        <row r="24">
          <cell r="B24" t="str">
            <v>Refrigerator - New</v>
          </cell>
          <cell r="C24">
            <v>1</v>
          </cell>
          <cell r="D24">
            <v>1</v>
          </cell>
          <cell r="E24">
            <v>1</v>
          </cell>
          <cell r="F24">
            <v>1</v>
          </cell>
        </row>
        <row r="25">
          <cell r="B25" t="str">
            <v>Refrigerator - NR</v>
          </cell>
          <cell r="C25">
            <v>1</v>
          </cell>
          <cell r="D25">
            <v>1</v>
          </cell>
          <cell r="E25">
            <v>1</v>
          </cell>
          <cell r="F25">
            <v>1</v>
          </cell>
        </row>
        <row r="26">
          <cell r="B26" t="str">
            <v>Freezer - New</v>
          </cell>
          <cell r="C26">
            <v>1</v>
          </cell>
          <cell r="D26">
            <v>1</v>
          </cell>
          <cell r="E26">
            <v>1</v>
          </cell>
          <cell r="F26">
            <v>1</v>
          </cell>
        </row>
        <row r="27">
          <cell r="B27" t="str">
            <v>Freezer - NR</v>
          </cell>
          <cell r="C27">
            <v>1</v>
          </cell>
          <cell r="D27">
            <v>1</v>
          </cell>
          <cell r="E27">
            <v>1</v>
          </cell>
          <cell r="F27">
            <v>1</v>
          </cell>
        </row>
        <row r="28">
          <cell r="B28" t="str">
            <v>Solar Water Heater - New</v>
          </cell>
          <cell r="C28">
            <v>0.2475</v>
          </cell>
          <cell r="D28">
            <v>0.25</v>
          </cell>
          <cell r="E28">
            <v>0</v>
          </cell>
          <cell r="F28">
            <v>0</v>
          </cell>
        </row>
        <row r="29">
          <cell r="B29" t="str">
            <v>Solar Water Heater - NR</v>
          </cell>
          <cell r="C29">
            <v>0.2475</v>
          </cell>
          <cell r="D29">
            <v>0.25</v>
          </cell>
          <cell r="E29">
            <v>0</v>
          </cell>
          <cell r="F29">
            <v>0</v>
          </cell>
        </row>
        <row r="30">
          <cell r="B30" t="str">
            <v>Solar Water Heater - Retro</v>
          </cell>
          <cell r="C30">
            <v>0.2475</v>
          </cell>
          <cell r="D30">
            <v>0.25</v>
          </cell>
          <cell r="E30">
            <v>0</v>
          </cell>
          <cell r="F30">
            <v>0</v>
          </cell>
        </row>
        <row r="31">
          <cell r="B31">
            <v>0</v>
          </cell>
          <cell r="C31">
            <v>0</v>
          </cell>
          <cell r="D31">
            <v>0</v>
          </cell>
          <cell r="E31">
            <v>0</v>
          </cell>
          <cell r="F31">
            <v>0</v>
          </cell>
        </row>
        <row r="32">
          <cell r="B32">
            <v>0</v>
          </cell>
          <cell r="C32">
            <v>0</v>
          </cell>
          <cell r="D32">
            <v>0</v>
          </cell>
          <cell r="E32">
            <v>0</v>
          </cell>
          <cell r="F32">
            <v>0</v>
          </cell>
        </row>
        <row r="33">
          <cell r="B33" t="str">
            <v>Electric Oven - New</v>
          </cell>
          <cell r="C33">
            <v>0.9</v>
          </cell>
          <cell r="D33">
            <v>0.9</v>
          </cell>
          <cell r="E33">
            <v>0.9</v>
          </cell>
          <cell r="F33">
            <v>0.9</v>
          </cell>
        </row>
        <row r="34">
          <cell r="B34" t="str">
            <v>Electric Oven - NR</v>
          </cell>
          <cell r="C34">
            <v>0.9</v>
          </cell>
          <cell r="D34">
            <v>0.9</v>
          </cell>
          <cell r="E34">
            <v>0.9</v>
          </cell>
          <cell r="F34">
            <v>0.9</v>
          </cell>
        </row>
        <row r="35">
          <cell r="B35" t="str">
            <v>Microwave - New</v>
          </cell>
          <cell r="C35">
            <v>1</v>
          </cell>
          <cell r="D35">
            <v>1</v>
          </cell>
          <cell r="E35">
            <v>1</v>
          </cell>
          <cell r="F35">
            <v>1</v>
          </cell>
        </row>
        <row r="36">
          <cell r="B36" t="str">
            <v>Microwave - NR</v>
          </cell>
          <cell r="C36">
            <v>1</v>
          </cell>
          <cell r="D36">
            <v>1</v>
          </cell>
          <cell r="E36">
            <v>1</v>
          </cell>
          <cell r="F36">
            <v>1</v>
          </cell>
        </row>
        <row r="37">
          <cell r="B37" t="str">
            <v>Monitor - New</v>
          </cell>
          <cell r="C37">
            <v>0.44999999999999996</v>
          </cell>
          <cell r="D37">
            <v>0.44999999999999996</v>
          </cell>
          <cell r="E37">
            <v>0.44999999999999996</v>
          </cell>
          <cell r="F37">
            <v>0.44999999999999996</v>
          </cell>
        </row>
        <row r="38">
          <cell r="B38" t="str">
            <v>Monitor - NR</v>
          </cell>
          <cell r="C38">
            <v>0.44999999999999996</v>
          </cell>
          <cell r="D38">
            <v>0.44999999999999996</v>
          </cell>
          <cell r="E38">
            <v>0.44999999999999996</v>
          </cell>
          <cell r="F38">
            <v>0.44999999999999996</v>
          </cell>
        </row>
        <row r="39">
          <cell r="B39" t="str">
            <v>Desktop - New</v>
          </cell>
          <cell r="C39">
            <v>0.75</v>
          </cell>
          <cell r="D39">
            <v>0.75</v>
          </cell>
          <cell r="E39">
            <v>0.75</v>
          </cell>
          <cell r="F39">
            <v>0.75</v>
          </cell>
        </row>
        <row r="40">
          <cell r="B40" t="str">
            <v>Desktop - NR</v>
          </cell>
          <cell r="C40">
            <v>0.75</v>
          </cell>
          <cell r="D40">
            <v>0.75</v>
          </cell>
          <cell r="E40">
            <v>0.75</v>
          </cell>
          <cell r="F40">
            <v>0.75</v>
          </cell>
        </row>
        <row r="41">
          <cell r="B41" t="str">
            <v>Laptop - New</v>
          </cell>
          <cell r="C41">
            <v>0.26</v>
          </cell>
          <cell r="D41">
            <v>0.26</v>
          </cell>
          <cell r="E41">
            <v>0.26</v>
          </cell>
          <cell r="F41">
            <v>0.26</v>
          </cell>
        </row>
        <row r="42">
          <cell r="B42" t="str">
            <v>Laptop - NR</v>
          </cell>
          <cell r="C42">
            <v>0.26</v>
          </cell>
          <cell r="D42">
            <v>0.26</v>
          </cell>
          <cell r="E42">
            <v>0.26</v>
          </cell>
          <cell r="F42">
            <v>0.26</v>
          </cell>
        </row>
        <row r="43">
          <cell r="B43" t="str">
            <v>Computer - New</v>
          </cell>
        </row>
        <row r="44">
          <cell r="B44" t="str">
            <v>Computer - NR</v>
          </cell>
        </row>
        <row r="45">
          <cell r="B45" t="str">
            <v>ASHP - New</v>
          </cell>
          <cell r="C45">
            <v>0.88200000000000001</v>
          </cell>
          <cell r="D45">
            <v>0.5</v>
          </cell>
          <cell r="E45">
            <v>0</v>
          </cell>
          <cell r="F45">
            <v>0.9</v>
          </cell>
        </row>
        <row r="46">
          <cell r="B46" t="str">
            <v>ASHP - NR</v>
          </cell>
          <cell r="C46">
            <v>0.73499999999999999</v>
          </cell>
          <cell r="D46">
            <v>0.5</v>
          </cell>
          <cell r="E46">
            <v>0</v>
          </cell>
          <cell r="F46">
            <v>0.25</v>
          </cell>
        </row>
        <row r="47">
          <cell r="B47" t="str">
            <v>HP - Retro</v>
          </cell>
          <cell r="C47">
            <v>0</v>
          </cell>
          <cell r="D47">
            <v>0</v>
          </cell>
          <cell r="E47">
            <v>0</v>
          </cell>
          <cell r="F47">
            <v>0</v>
          </cell>
        </row>
        <row r="48">
          <cell r="B48" t="str">
            <v>DHP - New</v>
          </cell>
          <cell r="C48">
            <v>0.97019999999999995</v>
          </cell>
          <cell r="D48">
            <v>0.99</v>
          </cell>
          <cell r="E48">
            <v>0</v>
          </cell>
          <cell r="F48">
            <v>0.99</v>
          </cell>
        </row>
        <row r="49">
          <cell r="B49" t="str">
            <v>DHP - NR</v>
          </cell>
          <cell r="C49">
            <v>0.97019999999999995</v>
          </cell>
          <cell r="D49">
            <v>0.99</v>
          </cell>
          <cell r="E49">
            <v>0</v>
          </cell>
          <cell r="F49">
            <v>0.99</v>
          </cell>
        </row>
        <row r="50">
          <cell r="B50" t="str">
            <v>DHP - Retro</v>
          </cell>
          <cell r="C50">
            <v>0</v>
          </cell>
          <cell r="D50">
            <v>0</v>
          </cell>
          <cell r="E50">
            <v>0</v>
          </cell>
          <cell r="F50">
            <v>0</v>
          </cell>
        </row>
        <row r="51">
          <cell r="B51" t="str">
            <v>Duct Sealing - New</v>
          </cell>
          <cell r="C51">
            <v>0.4519771928174614</v>
          </cell>
          <cell r="D51">
            <v>0</v>
          </cell>
          <cell r="E51">
            <v>0</v>
          </cell>
          <cell r="F51">
            <v>0.56056700768085099</v>
          </cell>
        </row>
        <row r="52">
          <cell r="B52" t="str">
            <v>Duct Sealing - Retro</v>
          </cell>
          <cell r="C52">
            <v>0.4293783331765883</v>
          </cell>
          <cell r="D52">
            <v>0</v>
          </cell>
          <cell r="E52">
            <v>0</v>
          </cell>
          <cell r="F52">
            <v>0.53253865729680838</v>
          </cell>
        </row>
        <row r="53">
          <cell r="B53" t="str">
            <v>WIFI enabled tstats - New</v>
          </cell>
          <cell r="C53">
            <v>0.2</v>
          </cell>
          <cell r="D53">
            <v>0.2</v>
          </cell>
          <cell r="E53">
            <v>0</v>
          </cell>
          <cell r="F53">
            <v>0.2</v>
          </cell>
        </row>
        <row r="54">
          <cell r="B54" t="str">
            <v>WIFI enabled tstats - Retro</v>
          </cell>
          <cell r="C54">
            <v>0.19800000000000001</v>
          </cell>
          <cell r="D54">
            <v>0.19800000000000001</v>
          </cell>
          <cell r="E54">
            <v>0</v>
          </cell>
          <cell r="F54">
            <v>0.19800000000000001</v>
          </cell>
        </row>
        <row r="55">
          <cell r="B55" t="str">
            <v>Combo DHP/HPWH units - New</v>
          </cell>
          <cell r="C55">
            <v>0</v>
          </cell>
          <cell r="D55">
            <v>0</v>
          </cell>
          <cell r="E55">
            <v>0</v>
          </cell>
          <cell r="F55">
            <v>0</v>
          </cell>
        </row>
        <row r="56">
          <cell r="B56" t="str">
            <v>Combo DHP/HPWH units - NR</v>
          </cell>
          <cell r="C56">
            <v>0</v>
          </cell>
          <cell r="D56">
            <v>0</v>
          </cell>
          <cell r="E56">
            <v>0</v>
          </cell>
          <cell r="F56">
            <v>0</v>
          </cell>
        </row>
        <row r="57">
          <cell r="B57" t="str">
            <v>Combo DHP/HPWH units - Retro</v>
          </cell>
          <cell r="C57">
            <v>0</v>
          </cell>
          <cell r="D57">
            <v>0</v>
          </cell>
          <cell r="E57">
            <v>0</v>
          </cell>
          <cell r="F57">
            <v>0</v>
          </cell>
        </row>
        <row r="58">
          <cell r="B58" t="str">
            <v>Aerator - New</v>
          </cell>
          <cell r="C58">
            <v>0.315</v>
          </cell>
          <cell r="D58">
            <v>0.315</v>
          </cell>
          <cell r="E58">
            <v>0.315</v>
          </cell>
          <cell r="F58">
            <v>0.315</v>
          </cell>
        </row>
        <row r="59">
          <cell r="B59" t="str">
            <v>Aerator - Retro</v>
          </cell>
          <cell r="C59">
            <v>0.315</v>
          </cell>
          <cell r="D59">
            <v>0.315</v>
          </cell>
          <cell r="E59">
            <v>0.315</v>
          </cell>
          <cell r="F59">
            <v>0.315</v>
          </cell>
        </row>
        <row r="60">
          <cell r="B60" t="str">
            <v>Behavior - Retro</v>
          </cell>
          <cell r="C60">
            <v>0.48999999999999994</v>
          </cell>
          <cell r="D60">
            <v>0.48999999999999994</v>
          </cell>
          <cell r="E60">
            <v>0.48999999999999994</v>
          </cell>
          <cell r="F60">
            <v>0.48999999999999994</v>
          </cell>
        </row>
        <row r="61">
          <cell r="B61" t="str">
            <v>Behavior - New</v>
          </cell>
          <cell r="C61">
            <v>0.48999999999999994</v>
          </cell>
          <cell r="D61">
            <v>0.48999999999999994</v>
          </cell>
          <cell r="E61">
            <v>0.48999999999999994</v>
          </cell>
          <cell r="F61">
            <v>0.48999999999999994</v>
          </cell>
        </row>
        <row r="62">
          <cell r="B62">
            <v>0</v>
          </cell>
          <cell r="C62">
            <v>0</v>
          </cell>
          <cell r="D62">
            <v>0</v>
          </cell>
          <cell r="E62">
            <v>0</v>
          </cell>
          <cell r="F62">
            <v>0</v>
          </cell>
        </row>
        <row r="63">
          <cell r="B63" t="str">
            <v>Heat Recovery Ventilation - New</v>
          </cell>
          <cell r="C63">
            <v>0.89100000000000001</v>
          </cell>
          <cell r="D63">
            <v>0</v>
          </cell>
          <cell r="E63">
            <v>0</v>
          </cell>
          <cell r="F63">
            <v>0</v>
          </cell>
        </row>
        <row r="64">
          <cell r="B64" t="str">
            <v>GSHP - New</v>
          </cell>
          <cell r="C64">
            <v>0.12485156673907999</v>
          </cell>
          <cell r="D64">
            <v>0</v>
          </cell>
          <cell r="E64">
            <v>0</v>
          </cell>
          <cell r="F64">
            <v>0</v>
          </cell>
        </row>
        <row r="65">
          <cell r="B65" t="str">
            <v>GSHP - NR</v>
          </cell>
          <cell r="C65">
            <v>0.12485156673907999</v>
          </cell>
          <cell r="D65">
            <v>0</v>
          </cell>
          <cell r="E65">
            <v>0</v>
          </cell>
          <cell r="F65">
            <v>0</v>
          </cell>
        </row>
        <row r="66">
          <cell r="B66">
            <v>0</v>
          </cell>
          <cell r="C66">
            <v>0</v>
          </cell>
          <cell r="D66">
            <v>0</v>
          </cell>
          <cell r="E66">
            <v>0</v>
          </cell>
          <cell r="F66">
            <v>0</v>
          </cell>
        </row>
        <row r="67">
          <cell r="B67" t="str">
            <v>ECM for HVAC ventilation - New</v>
          </cell>
          <cell r="C67">
            <v>0</v>
          </cell>
          <cell r="D67">
            <v>0</v>
          </cell>
          <cell r="E67">
            <v>0</v>
          </cell>
          <cell r="F67">
            <v>0</v>
          </cell>
        </row>
        <row r="68">
          <cell r="B68" t="str">
            <v>ECM for HVAC ventilation - NR</v>
          </cell>
          <cell r="C68">
            <v>0</v>
          </cell>
          <cell r="D68">
            <v>0</v>
          </cell>
          <cell r="E68">
            <v>0</v>
          </cell>
          <cell r="F68">
            <v>0</v>
          </cell>
        </row>
        <row r="69">
          <cell r="B69" t="str">
            <v>Whole house/attic fan - New</v>
          </cell>
          <cell r="C69">
            <v>0</v>
          </cell>
          <cell r="D69">
            <v>0</v>
          </cell>
          <cell r="E69">
            <v>0</v>
          </cell>
          <cell r="F69">
            <v>0</v>
          </cell>
        </row>
        <row r="70">
          <cell r="B70" t="str">
            <v>Whole house/attic fan - Retro</v>
          </cell>
          <cell r="C70">
            <v>0</v>
          </cell>
          <cell r="D70">
            <v>0</v>
          </cell>
          <cell r="E70">
            <v>0</v>
          </cell>
          <cell r="F70">
            <v>0</v>
          </cell>
        </row>
        <row r="71">
          <cell r="B71" t="str">
            <v>WH Pipe insulation - Retro</v>
          </cell>
          <cell r="C71">
            <v>0</v>
          </cell>
          <cell r="D71">
            <v>0</v>
          </cell>
          <cell r="E71">
            <v>0</v>
          </cell>
          <cell r="F71">
            <v>0</v>
          </cell>
        </row>
        <row r="72">
          <cell r="B72" t="str">
            <v>DHP Ducted - NR</v>
          </cell>
          <cell r="C72">
            <v>0.2475</v>
          </cell>
          <cell r="D72">
            <v>0</v>
          </cell>
          <cell r="E72">
            <v>0</v>
          </cell>
          <cell r="F72">
            <v>0.74249999999999994</v>
          </cell>
        </row>
        <row r="73">
          <cell r="B73" t="str">
            <v>Advanced Power Strips - New</v>
          </cell>
          <cell r="C73">
            <v>0.33660000000000001</v>
          </cell>
          <cell r="D73">
            <v>0.2475</v>
          </cell>
          <cell r="E73">
            <v>0.2475</v>
          </cell>
          <cell r="F73">
            <v>0.2475</v>
          </cell>
        </row>
        <row r="74">
          <cell r="B74" t="str">
            <v>Advanced Power Strips - Retro</v>
          </cell>
          <cell r="C74">
            <v>0.33660000000000001</v>
          </cell>
          <cell r="D74">
            <v>0.2475</v>
          </cell>
          <cell r="E74">
            <v>0.2475</v>
          </cell>
          <cell r="F74">
            <v>0.2475</v>
          </cell>
        </row>
        <row r="75">
          <cell r="B75" t="str">
            <v>Controls Commissioning and Sizing - New</v>
          </cell>
          <cell r="C75">
            <v>0.76</v>
          </cell>
          <cell r="D75">
            <v>0</v>
          </cell>
          <cell r="E75">
            <v>0</v>
          </cell>
          <cell r="F75">
            <v>0.76</v>
          </cell>
        </row>
        <row r="76">
          <cell r="B76" t="str">
            <v>Controls Commissioning and Sizing - NR</v>
          </cell>
          <cell r="C76">
            <v>0.76</v>
          </cell>
          <cell r="D76">
            <v>0</v>
          </cell>
          <cell r="E76">
            <v>0</v>
          </cell>
          <cell r="F76">
            <v>0.76</v>
          </cell>
        </row>
        <row r="77">
          <cell r="B77" t="str">
            <v>ResWx - Retro</v>
          </cell>
          <cell r="C77">
            <v>0.95</v>
          </cell>
          <cell r="D77">
            <v>1</v>
          </cell>
          <cell r="E77">
            <v>0</v>
          </cell>
          <cell r="F77">
            <v>0.95</v>
          </cell>
        </row>
        <row r="78">
          <cell r="B78" t="str">
            <v>ATTIC R0 - R19 - Retro</v>
          </cell>
          <cell r="C78">
            <v>0</v>
          </cell>
          <cell r="D78">
            <v>5.4136342171710254E-2</v>
          </cell>
          <cell r="E78">
            <v>0</v>
          </cell>
          <cell r="F78">
            <v>0</v>
          </cell>
        </row>
        <row r="79">
          <cell r="B79" t="str">
            <v>ATTIC R0 - R22 - Retro</v>
          </cell>
          <cell r="C79">
            <v>0</v>
          </cell>
          <cell r="D79">
            <v>0</v>
          </cell>
          <cell r="E79">
            <v>0</v>
          </cell>
          <cell r="F79">
            <v>1.7654231774693385E-2</v>
          </cell>
        </row>
        <row r="80">
          <cell r="B80" t="str">
            <v>ATTIC R0 - R30 - Retro</v>
          </cell>
          <cell r="C80">
            <v>0</v>
          </cell>
          <cell r="D80">
            <v>0</v>
          </cell>
          <cell r="E80">
            <v>0</v>
          </cell>
          <cell r="F80">
            <v>5.370909487280473E-2</v>
          </cell>
        </row>
        <row r="81">
          <cell r="B81" t="str">
            <v>ATTIC R0 - R38 - Retro</v>
          </cell>
          <cell r="C81">
            <v>3.0150417138103489E-2</v>
          </cell>
          <cell r="D81">
            <v>1.0754159339533284E-2</v>
          </cell>
          <cell r="E81">
            <v>0</v>
          </cell>
          <cell r="F81">
            <v>0</v>
          </cell>
        </row>
        <row r="82">
          <cell r="B82" t="str">
            <v>ATTIC R0 - R49 - Retro</v>
          </cell>
          <cell r="C82">
            <v>1.6064798296574784E-2</v>
          </cell>
          <cell r="D82">
            <v>6.4148166587866887E-2</v>
          </cell>
          <cell r="E82">
            <v>0</v>
          </cell>
          <cell r="F82">
            <v>0</v>
          </cell>
        </row>
        <row r="83">
          <cell r="B83" t="str">
            <v>ATTIC R11 - R30 - Retro</v>
          </cell>
          <cell r="C83">
            <v>0</v>
          </cell>
          <cell r="D83">
            <v>0</v>
          </cell>
          <cell r="E83">
            <v>0</v>
          </cell>
          <cell r="F83">
            <v>1.0533305070999921E-3</v>
          </cell>
        </row>
        <row r="84">
          <cell r="B84" t="str">
            <v>ATTIC R11 - R38 - Retro</v>
          </cell>
          <cell r="C84">
            <v>2.4846271780712467E-2</v>
          </cell>
          <cell r="D84">
            <v>0</v>
          </cell>
          <cell r="E84">
            <v>0</v>
          </cell>
          <cell r="F84">
            <v>0</v>
          </cell>
        </row>
        <row r="85">
          <cell r="B85" t="str">
            <v>ATTIC R11 - R49 - Retro</v>
          </cell>
          <cell r="C85">
            <v>1.9498021140463982E-2</v>
          </cell>
          <cell r="D85">
            <v>0</v>
          </cell>
          <cell r="E85">
            <v>0</v>
          </cell>
          <cell r="F85">
            <v>0</v>
          </cell>
        </row>
        <row r="86">
          <cell r="B86" t="str">
            <v>ATTIC R19 - R30 - Retro</v>
          </cell>
          <cell r="C86">
            <v>0</v>
          </cell>
          <cell r="D86">
            <v>6.5125260012002723E-2</v>
          </cell>
          <cell r="E86">
            <v>0</v>
          </cell>
          <cell r="F86">
            <v>0</v>
          </cell>
        </row>
        <row r="87">
          <cell r="B87" t="str">
            <v>ATTIC R19 - R38 - Retro</v>
          </cell>
          <cell r="C87">
            <v>8.2033817107202978E-3</v>
          </cell>
          <cell r="D87">
            <v>1.0053116760243517E-2</v>
          </cell>
          <cell r="E87">
            <v>0</v>
          </cell>
          <cell r="F87">
            <v>0</v>
          </cell>
        </row>
        <row r="88">
          <cell r="B88" t="str">
            <v>ATTIC R19 - R49 - Retro</v>
          </cell>
          <cell r="C88">
            <v>1.7662848312546196E-2</v>
          </cell>
          <cell r="D88">
            <v>0.14766594591946242</v>
          </cell>
          <cell r="E88">
            <v>0</v>
          </cell>
          <cell r="F88">
            <v>0</v>
          </cell>
        </row>
        <row r="89">
          <cell r="B89" t="str">
            <v>WALL R0 - R11 - Retro</v>
          </cell>
          <cell r="C89">
            <v>8.46755457988283E-2</v>
          </cell>
          <cell r="D89">
            <v>8.6999999999999966E-2</v>
          </cell>
          <cell r="E89">
            <v>0</v>
          </cell>
          <cell r="F89">
            <v>0</v>
          </cell>
        </row>
        <row r="90">
          <cell r="B90" t="str">
            <v>FLOOR R0 - R19 - Retro</v>
          </cell>
          <cell r="C90">
            <v>7.8781984396844446E-2</v>
          </cell>
          <cell r="D90">
            <v>2.1455163910870823E-2</v>
          </cell>
          <cell r="E90">
            <v>0</v>
          </cell>
          <cell r="F90">
            <v>0</v>
          </cell>
        </row>
        <row r="91">
          <cell r="B91" t="str">
            <v>FLOOR R0 - R22 - Retro</v>
          </cell>
          <cell r="C91">
            <v>0</v>
          </cell>
          <cell r="D91">
            <v>0</v>
          </cell>
          <cell r="E91">
            <v>0</v>
          </cell>
          <cell r="F91">
            <v>1.0665247527328225E-2</v>
          </cell>
        </row>
        <row r="92">
          <cell r="B92" t="str">
            <v>FLOOR R0 - R25 - Retro</v>
          </cell>
          <cell r="C92">
            <v>4.555152699293441E-2</v>
          </cell>
          <cell r="D92">
            <v>0</v>
          </cell>
          <cell r="E92">
            <v>0</v>
          </cell>
          <cell r="F92">
            <v>0</v>
          </cell>
        </row>
        <row r="93">
          <cell r="B93" t="str">
            <v>FLOOR R0 - R30 - Retro</v>
          </cell>
          <cell r="C93">
            <v>0.10512619459663457</v>
          </cell>
          <cell r="D93">
            <v>0.23754483608912919</v>
          </cell>
          <cell r="E93">
            <v>0</v>
          </cell>
          <cell r="F93">
            <v>0</v>
          </cell>
        </row>
        <row r="94">
          <cell r="B94" t="str">
            <v>FLOOR R11 - R22 - Retro</v>
          </cell>
          <cell r="C94">
            <v>0</v>
          </cell>
          <cell r="D94">
            <v>0</v>
          </cell>
          <cell r="E94">
            <v>0</v>
          </cell>
          <cell r="F94">
            <v>1.6234206236719673E-2</v>
          </cell>
        </row>
        <row r="95">
          <cell r="B95" t="str">
            <v>WINDOW CL30 Prime Window Replacement of Single Pane Base - Retro</v>
          </cell>
          <cell r="C95">
            <v>3.5442601061513916E-2</v>
          </cell>
          <cell r="D95">
            <v>0.12758359544917094</v>
          </cell>
          <cell r="E95">
            <v>0</v>
          </cell>
          <cell r="F95">
            <v>1.3677383586228942E-2</v>
          </cell>
        </row>
        <row r="96">
          <cell r="B96" t="str">
            <v>WINDOW CL30 Prime Window Replacement of Double Pane Base - Retro</v>
          </cell>
          <cell r="C96">
            <v>0.74240695226153941</v>
          </cell>
          <cell r="D96">
            <v>0.66296155480151864</v>
          </cell>
          <cell r="E96">
            <v>0</v>
          </cell>
          <cell r="F96">
            <v>6.9568000974991058E-4</v>
          </cell>
        </row>
        <row r="97">
          <cell r="B97" t="str">
            <v>WINDOW CL22 Prime Window Replacement of Single Pane Base - Retro</v>
          </cell>
          <cell r="C97">
            <v>8.860650265378479E-3</v>
          </cell>
          <cell r="D97">
            <v>3.1895898862292736E-2</v>
          </cell>
          <cell r="E97">
            <v>0</v>
          </cell>
          <cell r="F97">
            <v>3.4193458965572354E-3</v>
          </cell>
        </row>
        <row r="98">
          <cell r="B98" t="str">
            <v>WINDOW CL22 Prime Window Replacement of Double Pane Base - Retro</v>
          </cell>
          <cell r="C98">
            <v>0.18560173806538485</v>
          </cell>
          <cell r="D98">
            <v>0.16574038870037966</v>
          </cell>
          <cell r="E98">
            <v>0</v>
          </cell>
          <cell r="F98">
            <v>1.7392000243747764E-4</v>
          </cell>
        </row>
        <row r="99">
          <cell r="B99" t="str">
            <v>CFM50 Infiltration Reduction - Retro</v>
          </cell>
          <cell r="C99">
            <v>0.3489194352936118</v>
          </cell>
          <cell r="D99">
            <v>0.5</v>
          </cell>
          <cell r="E99">
            <v>0</v>
          </cell>
          <cell r="F99">
            <v>8.366655018171143E-2</v>
          </cell>
        </row>
        <row r="100">
          <cell r="C100">
            <v>0</v>
          </cell>
          <cell r="D100">
            <v>0</v>
          </cell>
          <cell r="E100">
            <v>0</v>
          </cell>
          <cell r="F100">
            <v>0</v>
          </cell>
        </row>
      </sheetData>
      <sheetData sheetId="5">
        <row r="8">
          <cell r="B8" t="str">
            <v>Measure Index Name</v>
          </cell>
          <cell r="C8" t="str">
            <v>Single Family</v>
          </cell>
          <cell r="D8" t="str">
            <v>Multifamily - Low Rise</v>
          </cell>
          <cell r="E8" t="str">
            <v>Multifamily - High Rise</v>
          </cell>
          <cell r="F8" t="str">
            <v>Manufactured</v>
          </cell>
        </row>
        <row r="9">
          <cell r="B9" t="str">
            <v>Lighting - New</v>
          </cell>
          <cell r="C9">
            <v>1</v>
          </cell>
          <cell r="D9">
            <v>1</v>
          </cell>
          <cell r="E9">
            <v>1</v>
          </cell>
          <cell r="F9">
            <v>1</v>
          </cell>
        </row>
        <row r="10">
          <cell r="B10" t="str">
            <v>Lighting - NR</v>
          </cell>
          <cell r="C10">
            <v>1</v>
          </cell>
          <cell r="D10">
            <v>1</v>
          </cell>
          <cell r="E10">
            <v>1</v>
          </cell>
          <cell r="F10">
            <v>1</v>
          </cell>
        </row>
        <row r="11">
          <cell r="B11" t="str">
            <v>Lighting - PPA</v>
          </cell>
          <cell r="C11">
            <v>1</v>
          </cell>
          <cell r="D11">
            <v>1</v>
          </cell>
          <cell r="E11">
            <v>1</v>
          </cell>
          <cell r="F11">
            <v>1</v>
          </cell>
        </row>
        <row r="12">
          <cell r="B12" t="str">
            <v>Dishwasher - New</v>
          </cell>
          <cell r="C12">
            <v>1</v>
          </cell>
          <cell r="D12">
            <v>1</v>
          </cell>
          <cell r="E12">
            <v>1</v>
          </cell>
          <cell r="F12">
            <v>1</v>
          </cell>
        </row>
        <row r="13">
          <cell r="B13" t="str">
            <v>Dishwasher - NR</v>
          </cell>
          <cell r="C13">
            <v>1</v>
          </cell>
          <cell r="D13">
            <v>1</v>
          </cell>
          <cell r="E13">
            <v>1</v>
          </cell>
          <cell r="F13">
            <v>1</v>
          </cell>
        </row>
        <row r="14">
          <cell r="B14" t="str">
            <v>Clothes Washer - New</v>
          </cell>
          <cell r="C14">
            <v>1</v>
          </cell>
          <cell r="D14">
            <v>0.75</v>
          </cell>
          <cell r="E14">
            <v>0.75</v>
          </cell>
          <cell r="F14">
            <v>1</v>
          </cell>
        </row>
        <row r="15">
          <cell r="B15" t="str">
            <v>Clothes Washer - NR</v>
          </cell>
          <cell r="C15">
            <v>1</v>
          </cell>
          <cell r="D15">
            <v>0.75</v>
          </cell>
          <cell r="E15">
            <v>0.75</v>
          </cell>
          <cell r="F15">
            <v>1</v>
          </cell>
        </row>
        <row r="16">
          <cell r="B16" t="str">
            <v>WasteWater Heat Recovery - New</v>
          </cell>
          <cell r="C16">
            <v>0.9</v>
          </cell>
          <cell r="D16">
            <v>0.5</v>
          </cell>
          <cell r="E16">
            <v>0.9</v>
          </cell>
          <cell r="F16">
            <v>0</v>
          </cell>
        </row>
        <row r="17">
          <cell r="B17" t="str">
            <v>Showerheads - New</v>
          </cell>
          <cell r="C17">
            <v>1</v>
          </cell>
          <cell r="D17">
            <v>1</v>
          </cell>
          <cell r="E17">
            <v>1</v>
          </cell>
          <cell r="F17">
            <v>1</v>
          </cell>
        </row>
        <row r="18">
          <cell r="B18" t="str">
            <v>Showerheads - Retro</v>
          </cell>
          <cell r="C18">
            <v>1</v>
          </cell>
          <cell r="D18">
            <v>1</v>
          </cell>
          <cell r="E18">
            <v>1</v>
          </cell>
          <cell r="F18">
            <v>1</v>
          </cell>
        </row>
        <row r="19">
          <cell r="B19" t="str">
            <v>HPWH - New</v>
          </cell>
          <cell r="C19">
            <v>0.95</v>
          </cell>
          <cell r="D19">
            <v>0</v>
          </cell>
          <cell r="E19">
            <v>0</v>
          </cell>
          <cell r="F19">
            <v>0.95</v>
          </cell>
        </row>
        <row r="20">
          <cell r="B20" t="str">
            <v>HPWH - NR</v>
          </cell>
          <cell r="C20">
            <v>0.95</v>
          </cell>
          <cell r="D20">
            <v>0</v>
          </cell>
          <cell r="E20">
            <v>0</v>
          </cell>
          <cell r="F20">
            <v>0.95</v>
          </cell>
        </row>
        <row r="21">
          <cell r="B21" t="str">
            <v>EV Supply Equip - NR</v>
          </cell>
          <cell r="C21">
            <v>0.9</v>
          </cell>
          <cell r="D21">
            <v>0</v>
          </cell>
          <cell r="E21">
            <v>0</v>
          </cell>
          <cell r="F21">
            <v>0</v>
          </cell>
        </row>
        <row r="22">
          <cell r="B22" t="str">
            <v>Clothes Dryer - New</v>
          </cell>
          <cell r="C22">
            <v>0.9</v>
          </cell>
          <cell r="D22">
            <v>0.9</v>
          </cell>
          <cell r="E22">
            <v>0.9</v>
          </cell>
          <cell r="F22">
            <v>0.9</v>
          </cell>
        </row>
        <row r="23">
          <cell r="B23" t="str">
            <v>Clothes Dryer - NR</v>
          </cell>
          <cell r="C23">
            <v>0.9</v>
          </cell>
          <cell r="D23">
            <v>0.9</v>
          </cell>
          <cell r="E23">
            <v>0.9</v>
          </cell>
          <cell r="F23">
            <v>0.9</v>
          </cell>
        </row>
        <row r="24">
          <cell r="B24" t="str">
            <v>Refrigerator - New</v>
          </cell>
          <cell r="C24">
            <v>1</v>
          </cell>
          <cell r="D24">
            <v>1</v>
          </cell>
          <cell r="E24">
            <v>1</v>
          </cell>
          <cell r="F24">
            <v>1</v>
          </cell>
        </row>
        <row r="25">
          <cell r="B25" t="str">
            <v>Refrigerator - NR</v>
          </cell>
          <cell r="C25">
            <v>1</v>
          </cell>
          <cell r="D25">
            <v>1</v>
          </cell>
          <cell r="E25">
            <v>1</v>
          </cell>
          <cell r="F25">
            <v>1</v>
          </cell>
        </row>
        <row r="26">
          <cell r="B26" t="str">
            <v>Freezer - New</v>
          </cell>
          <cell r="C26">
            <v>1</v>
          </cell>
          <cell r="D26">
            <v>1</v>
          </cell>
          <cell r="E26">
            <v>1</v>
          </cell>
          <cell r="F26">
            <v>1</v>
          </cell>
        </row>
        <row r="27">
          <cell r="B27" t="str">
            <v>Freezer - NR</v>
          </cell>
          <cell r="C27">
            <v>1</v>
          </cell>
          <cell r="D27">
            <v>1</v>
          </cell>
          <cell r="E27">
            <v>1</v>
          </cell>
          <cell r="F27">
            <v>1</v>
          </cell>
        </row>
        <row r="28">
          <cell r="B28" t="str">
            <v>Solar Water Heater - New</v>
          </cell>
          <cell r="C28">
            <v>0.25</v>
          </cell>
          <cell r="D28">
            <v>0.25</v>
          </cell>
        </row>
        <row r="29">
          <cell r="B29" t="str">
            <v>Solar Water Heater - NR</v>
          </cell>
          <cell r="C29">
            <v>0.25</v>
          </cell>
          <cell r="D29">
            <v>0.25</v>
          </cell>
        </row>
        <row r="30">
          <cell r="B30" t="str">
            <v>Solar Water Heater - Retro</v>
          </cell>
          <cell r="C30">
            <v>0.25</v>
          </cell>
          <cell r="D30">
            <v>0.25</v>
          </cell>
        </row>
        <row r="31">
          <cell r="B31">
            <v>0</v>
          </cell>
        </row>
        <row r="32">
          <cell r="B32">
            <v>0</v>
          </cell>
        </row>
        <row r="33">
          <cell r="B33" t="str">
            <v>Electric Oven - New</v>
          </cell>
          <cell r="C33">
            <v>1</v>
          </cell>
          <cell r="D33">
            <v>1</v>
          </cell>
          <cell r="E33">
            <v>1</v>
          </cell>
          <cell r="F33">
            <v>1</v>
          </cell>
        </row>
        <row r="34">
          <cell r="B34" t="str">
            <v>Electric Oven - NR</v>
          </cell>
          <cell r="C34">
            <v>1</v>
          </cell>
          <cell r="D34">
            <v>1</v>
          </cell>
          <cell r="E34">
            <v>1</v>
          </cell>
          <cell r="F34">
            <v>1</v>
          </cell>
        </row>
        <row r="35">
          <cell r="B35" t="str">
            <v>Microwave - New</v>
          </cell>
          <cell r="C35">
            <v>1</v>
          </cell>
          <cell r="D35">
            <v>1</v>
          </cell>
          <cell r="E35">
            <v>1</v>
          </cell>
          <cell r="F35">
            <v>1</v>
          </cell>
        </row>
        <row r="36">
          <cell r="B36" t="str">
            <v>Microwave - NR</v>
          </cell>
          <cell r="C36">
            <v>1</v>
          </cell>
          <cell r="D36">
            <v>1</v>
          </cell>
          <cell r="E36">
            <v>1</v>
          </cell>
          <cell r="F36">
            <v>1</v>
          </cell>
        </row>
        <row r="37">
          <cell r="B37" t="str">
            <v>Monitor - New</v>
          </cell>
          <cell r="C37">
            <v>1</v>
          </cell>
          <cell r="D37">
            <v>1</v>
          </cell>
          <cell r="E37">
            <v>1</v>
          </cell>
          <cell r="F37">
            <v>1</v>
          </cell>
        </row>
        <row r="38">
          <cell r="B38" t="str">
            <v>Monitor - NR</v>
          </cell>
          <cell r="C38">
            <v>1</v>
          </cell>
          <cell r="D38">
            <v>1</v>
          </cell>
          <cell r="E38">
            <v>1</v>
          </cell>
          <cell r="F38">
            <v>1</v>
          </cell>
        </row>
        <row r="39">
          <cell r="B39" t="str">
            <v>Desktop - New</v>
          </cell>
          <cell r="C39">
            <v>1</v>
          </cell>
          <cell r="D39">
            <v>1</v>
          </cell>
          <cell r="E39">
            <v>1</v>
          </cell>
          <cell r="F39">
            <v>1</v>
          </cell>
        </row>
        <row r="40">
          <cell r="B40" t="str">
            <v>Desktop - NR</v>
          </cell>
          <cell r="C40">
            <v>1</v>
          </cell>
          <cell r="D40">
            <v>1</v>
          </cell>
          <cell r="E40">
            <v>1</v>
          </cell>
          <cell r="F40">
            <v>1</v>
          </cell>
        </row>
        <row r="41">
          <cell r="B41" t="str">
            <v>Laptop - New</v>
          </cell>
          <cell r="C41">
            <v>1</v>
          </cell>
          <cell r="D41">
            <v>1</v>
          </cell>
          <cell r="E41">
            <v>1</v>
          </cell>
          <cell r="F41">
            <v>1</v>
          </cell>
        </row>
        <row r="42">
          <cell r="B42" t="str">
            <v>Laptop - NR</v>
          </cell>
          <cell r="C42">
            <v>1</v>
          </cell>
          <cell r="D42">
            <v>1</v>
          </cell>
          <cell r="E42">
            <v>1</v>
          </cell>
          <cell r="F42">
            <v>1</v>
          </cell>
        </row>
        <row r="43">
          <cell r="B43" t="str">
            <v>Computer - New</v>
          </cell>
        </row>
        <row r="44">
          <cell r="B44" t="str">
            <v>Computer - NR</v>
          </cell>
        </row>
        <row r="45">
          <cell r="B45" t="str">
            <v>ASHP - New</v>
          </cell>
          <cell r="C45">
            <v>0.9</v>
          </cell>
          <cell r="D45">
            <v>0.5</v>
          </cell>
          <cell r="E45">
            <v>0</v>
          </cell>
          <cell r="F45">
            <v>0.9</v>
          </cell>
        </row>
        <row r="46">
          <cell r="B46" t="str">
            <v>ASHP - NR</v>
          </cell>
          <cell r="C46">
            <v>0.75</v>
          </cell>
          <cell r="D46">
            <v>0.5</v>
          </cell>
          <cell r="E46">
            <v>0</v>
          </cell>
          <cell r="F46">
            <v>0.25</v>
          </cell>
        </row>
        <row r="47">
          <cell r="B47" t="str">
            <v>HP - Retro</v>
          </cell>
        </row>
        <row r="48">
          <cell r="B48" t="str">
            <v>DHP - New</v>
          </cell>
          <cell r="C48">
            <v>0.99</v>
          </cell>
          <cell r="D48">
            <v>0.99</v>
          </cell>
          <cell r="E48">
            <v>0</v>
          </cell>
          <cell r="F48">
            <v>0.99</v>
          </cell>
        </row>
        <row r="49">
          <cell r="B49" t="str">
            <v>DHP - NR</v>
          </cell>
          <cell r="C49">
            <v>0.99</v>
          </cell>
          <cell r="D49">
            <v>0.99</v>
          </cell>
          <cell r="E49">
            <v>0</v>
          </cell>
          <cell r="F49">
            <v>0.99</v>
          </cell>
        </row>
        <row r="50">
          <cell r="B50" t="str">
            <v>DHP - Retro</v>
          </cell>
        </row>
        <row r="51">
          <cell r="B51" t="str">
            <v>Duct Sealing - New</v>
          </cell>
          <cell r="C51">
            <v>1</v>
          </cell>
          <cell r="F51">
            <v>1</v>
          </cell>
        </row>
        <row r="52">
          <cell r="B52" t="str">
            <v>Duct Sealing - Retro</v>
          </cell>
          <cell r="C52">
            <v>0.95</v>
          </cell>
          <cell r="F52">
            <v>0.95</v>
          </cell>
        </row>
        <row r="53">
          <cell r="B53" t="str">
            <v>WIFI enabled tstats - New</v>
          </cell>
          <cell r="C53">
            <v>0.2</v>
          </cell>
          <cell r="D53">
            <v>0.2</v>
          </cell>
          <cell r="E53">
            <v>0</v>
          </cell>
          <cell r="F53">
            <v>0.2</v>
          </cell>
        </row>
        <row r="54">
          <cell r="B54" t="str">
            <v>WIFI enabled tstats - Retro</v>
          </cell>
          <cell r="C54">
            <v>0.2</v>
          </cell>
          <cell r="D54">
            <v>0.2</v>
          </cell>
          <cell r="E54">
            <v>0</v>
          </cell>
          <cell r="F54">
            <v>0.2</v>
          </cell>
        </row>
        <row r="55">
          <cell r="B55" t="str">
            <v>Combo DHP/HPWH units - New</v>
          </cell>
        </row>
        <row r="56">
          <cell r="B56" t="str">
            <v>Combo DHP/HPWH units - NR</v>
          </cell>
        </row>
        <row r="57">
          <cell r="B57" t="str">
            <v>Combo DHP/HPWH units - Retro</v>
          </cell>
        </row>
        <row r="58">
          <cell r="B58" t="str">
            <v>Aerator - New</v>
          </cell>
          <cell r="C58">
            <v>0.9</v>
          </cell>
          <cell r="D58">
            <v>0.9</v>
          </cell>
          <cell r="E58">
            <v>0.9</v>
          </cell>
          <cell r="F58">
            <v>0.9</v>
          </cell>
        </row>
        <row r="59">
          <cell r="B59" t="str">
            <v>Aerator - Retro</v>
          </cell>
          <cell r="C59">
            <v>0.9</v>
          </cell>
          <cell r="D59">
            <v>0.9</v>
          </cell>
          <cell r="E59">
            <v>0.9</v>
          </cell>
          <cell r="F59">
            <v>0.9</v>
          </cell>
        </row>
        <row r="60">
          <cell r="B60" t="str">
            <v>Behavior - Retro</v>
          </cell>
          <cell r="C60">
            <v>0.48999999999999994</v>
          </cell>
          <cell r="D60">
            <v>0.48999999999999994</v>
          </cell>
          <cell r="E60">
            <v>0.48999999999999994</v>
          </cell>
          <cell r="F60">
            <v>0.48999999999999994</v>
          </cell>
        </row>
        <row r="61">
          <cell r="B61" t="str">
            <v>Behavior - New</v>
          </cell>
          <cell r="C61">
            <v>0.48999999999999994</v>
          </cell>
          <cell r="D61">
            <v>0.48999999999999994</v>
          </cell>
          <cell r="E61">
            <v>0.48999999999999994</v>
          </cell>
          <cell r="F61">
            <v>0.48999999999999994</v>
          </cell>
        </row>
        <row r="62">
          <cell r="B62">
            <v>0</v>
          </cell>
        </row>
        <row r="63">
          <cell r="B63" t="str">
            <v>Heat Recovery Ventilation - New</v>
          </cell>
          <cell r="C63">
            <v>0.9</v>
          </cell>
        </row>
        <row r="64">
          <cell r="B64" t="str">
            <v>GSHP - New</v>
          </cell>
          <cell r="C64">
            <v>0.12485156673907999</v>
          </cell>
        </row>
        <row r="65">
          <cell r="B65" t="str">
            <v>GSHP - NR</v>
          </cell>
          <cell r="C65">
            <v>0.12485156673907999</v>
          </cell>
        </row>
        <row r="66">
          <cell r="B66">
            <v>0</v>
          </cell>
        </row>
        <row r="67">
          <cell r="B67" t="str">
            <v>ECM for HVAC ventilation - New</v>
          </cell>
        </row>
        <row r="68">
          <cell r="B68" t="str">
            <v>ECM for HVAC ventilation - NR</v>
          </cell>
        </row>
        <row r="69">
          <cell r="B69" t="str">
            <v>Whole house/attic fan - New</v>
          </cell>
        </row>
        <row r="70">
          <cell r="B70" t="str">
            <v>Whole house/attic fan - Retro</v>
          </cell>
        </row>
        <row r="71">
          <cell r="B71" t="str">
            <v>WH Pipe insulation - Retro</v>
          </cell>
        </row>
        <row r="72">
          <cell r="B72" t="str">
            <v>DHP Ducted - NR</v>
          </cell>
          <cell r="C72">
            <v>0.25</v>
          </cell>
          <cell r="D72">
            <v>0</v>
          </cell>
          <cell r="E72">
            <v>0</v>
          </cell>
          <cell r="F72">
            <v>0.75</v>
          </cell>
        </row>
        <row r="73">
          <cell r="B73" t="str">
            <v>Advanced Power Strips - New</v>
          </cell>
          <cell r="C73">
            <v>0.34</v>
          </cell>
          <cell r="D73">
            <v>0.25</v>
          </cell>
          <cell r="E73">
            <v>0.25</v>
          </cell>
          <cell r="F73">
            <v>0.25</v>
          </cell>
        </row>
        <row r="74">
          <cell r="B74" t="str">
            <v>Advanced Power Strips - Retro</v>
          </cell>
          <cell r="C74">
            <v>0.34</v>
          </cell>
          <cell r="D74">
            <v>0.25</v>
          </cell>
          <cell r="E74">
            <v>0.25</v>
          </cell>
          <cell r="F74">
            <v>0.25</v>
          </cell>
        </row>
        <row r="75">
          <cell r="B75" t="str">
            <v>Controls Commissioning and Sizing - New</v>
          </cell>
          <cell r="C75">
            <v>0.8</v>
          </cell>
          <cell r="F75">
            <v>0.8</v>
          </cell>
        </row>
        <row r="76">
          <cell r="B76" t="str">
            <v>Controls Commissioning and Sizing - NR</v>
          </cell>
          <cell r="C76">
            <v>0.8</v>
          </cell>
          <cell r="F76">
            <v>0.8</v>
          </cell>
        </row>
        <row r="77">
          <cell r="B77" t="str">
            <v>ResWx - Retro</v>
          </cell>
          <cell r="C77">
            <v>1</v>
          </cell>
          <cell r="D77">
            <v>1</v>
          </cell>
          <cell r="E77">
            <v>0</v>
          </cell>
          <cell r="F77">
            <v>1</v>
          </cell>
        </row>
        <row r="78">
          <cell r="B78" t="str">
            <v>ATTIC R0 - R19 - Retro</v>
          </cell>
          <cell r="D78">
            <v>5.4136342171710254E-2</v>
          </cell>
          <cell r="E78">
            <v>0</v>
          </cell>
        </row>
        <row r="79">
          <cell r="B79" t="str">
            <v>ATTIC R0 - R22 - Retro</v>
          </cell>
          <cell r="E79">
            <v>0</v>
          </cell>
          <cell r="F79">
            <v>1</v>
          </cell>
        </row>
        <row r="80">
          <cell r="B80" t="str">
            <v>ATTIC R0 - R30 - Retro</v>
          </cell>
          <cell r="E80">
            <v>0</v>
          </cell>
          <cell r="F80">
            <v>1</v>
          </cell>
        </row>
        <row r="81">
          <cell r="B81" t="str">
            <v>ATTIC R0 - R38 - Retro</v>
          </cell>
          <cell r="C81">
            <v>0.32014844015471466</v>
          </cell>
          <cell r="D81">
            <v>4.7584775838642859E-2</v>
          </cell>
          <cell r="E81">
            <v>0</v>
          </cell>
        </row>
        <row r="82">
          <cell r="B82" t="str">
            <v>ATTIC R0 - R49 - Retro</v>
          </cell>
          <cell r="C82">
            <v>0.17058205505053403</v>
          </cell>
          <cell r="D82">
            <v>0.28384144507905706</v>
          </cell>
          <cell r="E82">
            <v>0</v>
          </cell>
        </row>
        <row r="83">
          <cell r="B83" t="str">
            <v>ATTIC R11 - R30 - Retro</v>
          </cell>
          <cell r="E83">
            <v>0</v>
          </cell>
          <cell r="F83">
            <v>1</v>
          </cell>
        </row>
        <row r="84">
          <cell r="B84" t="str">
            <v>ATTIC R11 - R38 - Retro</v>
          </cell>
          <cell r="C84">
            <v>0.17430969903565588</v>
          </cell>
          <cell r="E84">
            <v>0</v>
          </cell>
        </row>
        <row r="85">
          <cell r="B85" t="str">
            <v>ATTIC R11 - R49 - Retro</v>
          </cell>
          <cell r="C85">
            <v>0.13678890043469027</v>
          </cell>
          <cell r="E85">
            <v>0</v>
          </cell>
        </row>
        <row r="86">
          <cell r="B86" t="str">
            <v>ATTIC R19 - R30 - Retro</v>
          </cell>
          <cell r="D86">
            <v>0.22227051198635747</v>
          </cell>
          <cell r="E86">
            <v>0</v>
          </cell>
        </row>
        <row r="87">
          <cell r="B87" t="str">
            <v>ATTIC R19 - R38 - Retro</v>
          </cell>
          <cell r="C87">
            <v>4.6501964215835925E-2</v>
          </cell>
          <cell r="D87">
            <v>3.4310978703902796E-2</v>
          </cell>
          <cell r="E87">
            <v>0</v>
          </cell>
        </row>
        <row r="88">
          <cell r="B88" t="str">
            <v>ATTIC R19 - R49 - Retro</v>
          </cell>
          <cell r="C88">
            <v>0.1001242132993031</v>
          </cell>
          <cell r="D88">
            <v>0.50397933760908686</v>
          </cell>
          <cell r="E88">
            <v>0</v>
          </cell>
        </row>
        <row r="89">
          <cell r="B89" t="str">
            <v>WALL R0 - R11 - Retro</v>
          </cell>
          <cell r="C89">
            <v>1</v>
          </cell>
          <cell r="D89">
            <v>1</v>
          </cell>
          <cell r="E89">
            <v>0</v>
          </cell>
        </row>
        <row r="90">
          <cell r="B90" t="str">
            <v>FLOOR R0 - R19 - Retro</v>
          </cell>
          <cell r="C90">
            <v>0.34333690117039206</v>
          </cell>
          <cell r="D90">
            <v>8.2838470698342936E-2</v>
          </cell>
          <cell r="E90">
            <v>0</v>
          </cell>
        </row>
        <row r="91">
          <cell r="B91" t="str">
            <v>FLOOR R0 - R22 - Retro</v>
          </cell>
          <cell r="E91">
            <v>0</v>
          </cell>
          <cell r="F91">
            <v>1</v>
          </cell>
        </row>
        <row r="92">
          <cell r="B92" t="str">
            <v>FLOOR R0 - R25 - Retro</v>
          </cell>
          <cell r="C92">
            <v>0.19851645323572223</v>
          </cell>
          <cell r="E92">
            <v>0</v>
          </cell>
        </row>
        <row r="93">
          <cell r="B93" t="str">
            <v>FLOOR R0 - R30 - Retro</v>
          </cell>
          <cell r="C93">
            <v>0.45814664559388574</v>
          </cell>
          <cell r="D93">
            <v>0.91716152930165706</v>
          </cell>
          <cell r="E93">
            <v>0</v>
          </cell>
        </row>
        <row r="94">
          <cell r="B94" t="str">
            <v>FLOOR R11 - R22 - Retro</v>
          </cell>
          <cell r="E94">
            <v>0</v>
          </cell>
          <cell r="F94">
            <v>1</v>
          </cell>
        </row>
        <row r="95">
          <cell r="B95" t="str">
            <v>WINDOW CL30 Prime Window Replacement of Single Pane Base - Retro</v>
          </cell>
          <cell r="C95">
            <v>0.8</v>
          </cell>
          <cell r="D95">
            <v>0.8</v>
          </cell>
          <cell r="E95">
            <v>0</v>
          </cell>
          <cell r="F95">
            <v>0.8</v>
          </cell>
        </row>
        <row r="96">
          <cell r="B96" t="str">
            <v>WINDOW CL30 Prime Window Replacement of Double Pane Base - Retro</v>
          </cell>
          <cell r="C96">
            <v>0.8</v>
          </cell>
          <cell r="D96">
            <v>0.8</v>
          </cell>
          <cell r="E96">
            <v>0</v>
          </cell>
          <cell r="F96">
            <v>0.8</v>
          </cell>
        </row>
        <row r="97">
          <cell r="B97" t="str">
            <v>WINDOW CL22 Prime Window Replacement of Single Pane Base - Retro</v>
          </cell>
          <cell r="C97">
            <v>0.2</v>
          </cell>
          <cell r="D97">
            <v>0.2</v>
          </cell>
          <cell r="E97">
            <v>0</v>
          </cell>
          <cell r="F97">
            <v>0.2</v>
          </cell>
        </row>
        <row r="98">
          <cell r="B98" t="str">
            <v>WINDOW CL22 Prime Window Replacement of Double Pane Base - Retro</v>
          </cell>
          <cell r="C98">
            <v>0.2</v>
          </cell>
          <cell r="D98">
            <v>0.2</v>
          </cell>
          <cell r="E98">
            <v>0</v>
          </cell>
          <cell r="F98">
            <v>0.2</v>
          </cell>
        </row>
        <row r="99">
          <cell r="B99" t="str">
            <v>CFM50 Infiltration Reduction - Retro</v>
          </cell>
          <cell r="C99">
            <v>0.5</v>
          </cell>
          <cell r="D99">
            <v>0.5</v>
          </cell>
          <cell r="E99">
            <v>0</v>
          </cell>
          <cell r="F99">
            <v>1</v>
          </cell>
        </row>
      </sheetData>
      <sheetData sheetId="6">
        <row r="8">
          <cell r="B8" t="str">
            <v>Measure Index Name</v>
          </cell>
          <cell r="C8" t="str">
            <v>Single Family</v>
          </cell>
          <cell r="D8" t="str">
            <v>Multifamily - Low Rise</v>
          </cell>
          <cell r="E8" t="str">
            <v>Multifamily - High Rise</v>
          </cell>
          <cell r="F8" t="str">
            <v>Manufactured</v>
          </cell>
        </row>
        <row r="9">
          <cell r="B9" t="str">
            <v>Lighting - New</v>
          </cell>
          <cell r="C9">
            <v>0.23499999999999999</v>
          </cell>
          <cell r="D9">
            <v>0.23499999999999999</v>
          </cell>
          <cell r="E9">
            <v>0.23499999999999999</v>
          </cell>
          <cell r="F9">
            <v>0.23499999999999999</v>
          </cell>
        </row>
        <row r="10">
          <cell r="B10" t="str">
            <v>Lighting - NR</v>
          </cell>
          <cell r="C10">
            <v>0.1</v>
          </cell>
          <cell r="D10">
            <v>0.1</v>
          </cell>
          <cell r="E10">
            <v>0.1</v>
          </cell>
          <cell r="F10">
            <v>0.1</v>
          </cell>
        </row>
        <row r="11">
          <cell r="B11" t="str">
            <v>Lighting - PPA</v>
          </cell>
          <cell r="C11">
            <v>0.1</v>
          </cell>
          <cell r="D11">
            <v>0.1</v>
          </cell>
          <cell r="E11">
            <v>0.1</v>
          </cell>
          <cell r="F11">
            <v>0.1</v>
          </cell>
        </row>
        <row r="12">
          <cell r="B12" t="str">
            <v>Dishwasher - New</v>
          </cell>
          <cell r="C12">
            <v>0</v>
          </cell>
          <cell r="D12">
            <v>0</v>
          </cell>
          <cell r="E12">
            <v>0</v>
          </cell>
          <cell r="F12">
            <v>0</v>
          </cell>
        </row>
        <row r="13">
          <cell r="B13" t="str">
            <v>Dishwasher - NR</v>
          </cell>
          <cell r="C13">
            <v>0</v>
          </cell>
          <cell r="D13">
            <v>0</v>
          </cell>
          <cell r="E13">
            <v>0</v>
          </cell>
          <cell r="F13">
            <v>0</v>
          </cell>
        </row>
        <row r="14">
          <cell r="B14" t="str">
            <v>Clothes Washer - New</v>
          </cell>
          <cell r="C14">
            <v>0</v>
          </cell>
          <cell r="D14">
            <v>0</v>
          </cell>
          <cell r="E14">
            <v>0</v>
          </cell>
          <cell r="F14">
            <v>0</v>
          </cell>
        </row>
        <row r="15">
          <cell r="B15" t="str">
            <v>Clothes Washer - NR</v>
          </cell>
          <cell r="C15">
            <v>0</v>
          </cell>
          <cell r="D15">
            <v>0</v>
          </cell>
          <cell r="E15">
            <v>0</v>
          </cell>
          <cell r="F15">
            <v>0</v>
          </cell>
        </row>
        <row r="16">
          <cell r="B16" t="str">
            <v>WasteWater Heat Recovery - New</v>
          </cell>
          <cell r="C16">
            <v>0</v>
          </cell>
          <cell r="D16">
            <v>0</v>
          </cell>
          <cell r="E16">
            <v>0</v>
          </cell>
          <cell r="F16">
            <v>0</v>
          </cell>
        </row>
        <row r="17">
          <cell r="B17" t="str">
            <v>Showerheads - New</v>
          </cell>
          <cell r="C17">
            <v>0.48399999999999999</v>
          </cell>
          <cell r="D17">
            <v>0.42</v>
          </cell>
          <cell r="E17">
            <v>0.42</v>
          </cell>
          <cell r="F17">
            <v>0.66</v>
          </cell>
        </row>
        <row r="18">
          <cell r="B18" t="str">
            <v>Showerheads - Retro</v>
          </cell>
          <cell r="C18">
            <v>0.55752571342007584</v>
          </cell>
          <cell r="D18">
            <v>0.42</v>
          </cell>
          <cell r="E18">
            <v>0.42</v>
          </cell>
          <cell r="F18">
            <v>0.66</v>
          </cell>
        </row>
        <row r="19">
          <cell r="B19" t="str">
            <v>HPWH - New</v>
          </cell>
          <cell r="C19">
            <v>1E-3</v>
          </cell>
          <cell r="D19">
            <v>0</v>
          </cell>
          <cell r="E19">
            <v>0</v>
          </cell>
          <cell r="F19">
            <v>0</v>
          </cell>
        </row>
        <row r="20">
          <cell r="B20" t="str">
            <v>HPWH - NR</v>
          </cell>
          <cell r="C20">
            <v>1E-3</v>
          </cell>
          <cell r="D20">
            <v>0</v>
          </cell>
          <cell r="E20">
            <v>0</v>
          </cell>
          <cell r="F20">
            <v>0</v>
          </cell>
        </row>
        <row r="21">
          <cell r="B21" t="str">
            <v>EV Supply Equip - NR</v>
          </cell>
          <cell r="C21">
            <v>0.01</v>
          </cell>
          <cell r="D21">
            <v>0</v>
          </cell>
          <cell r="E21">
            <v>0</v>
          </cell>
          <cell r="F21">
            <v>0</v>
          </cell>
        </row>
        <row r="22">
          <cell r="B22" t="str">
            <v>Clothes Dryer - New</v>
          </cell>
          <cell r="C22">
            <v>0</v>
          </cell>
          <cell r="D22">
            <v>0</v>
          </cell>
          <cell r="E22">
            <v>0</v>
          </cell>
          <cell r="F22">
            <v>0</v>
          </cell>
        </row>
        <row r="23">
          <cell r="B23" t="str">
            <v>Clothes Dryer - NR</v>
          </cell>
          <cell r="C23">
            <v>0</v>
          </cell>
          <cell r="D23">
            <v>0</v>
          </cell>
          <cell r="E23">
            <v>0</v>
          </cell>
          <cell r="F23">
            <v>0</v>
          </cell>
        </row>
        <row r="24">
          <cell r="B24" t="str">
            <v>Refrigerator - New</v>
          </cell>
          <cell r="C24">
            <v>0</v>
          </cell>
          <cell r="D24">
            <v>0</v>
          </cell>
          <cell r="E24">
            <v>0</v>
          </cell>
          <cell r="F24">
            <v>0</v>
          </cell>
        </row>
        <row r="25">
          <cell r="B25" t="str">
            <v>Refrigerator - NR</v>
          </cell>
          <cell r="C25">
            <v>0</v>
          </cell>
          <cell r="D25">
            <v>0</v>
          </cell>
          <cell r="E25">
            <v>0</v>
          </cell>
          <cell r="F25">
            <v>0</v>
          </cell>
        </row>
        <row r="26">
          <cell r="B26" t="str">
            <v>Freezer - New</v>
          </cell>
          <cell r="C26">
            <v>0</v>
          </cell>
          <cell r="D26">
            <v>0</v>
          </cell>
          <cell r="E26">
            <v>0</v>
          </cell>
          <cell r="F26">
            <v>0</v>
          </cell>
        </row>
        <row r="27">
          <cell r="B27" t="str">
            <v>Freezer - NR</v>
          </cell>
          <cell r="C27">
            <v>0</v>
          </cell>
          <cell r="D27">
            <v>0</v>
          </cell>
          <cell r="E27">
            <v>0</v>
          </cell>
          <cell r="F27">
            <v>0</v>
          </cell>
        </row>
        <row r="28">
          <cell r="B28" t="str">
            <v>Solar Water Heater - New</v>
          </cell>
          <cell r="C28">
            <v>0.01</v>
          </cell>
          <cell r="D28">
            <v>0</v>
          </cell>
        </row>
        <row r="29">
          <cell r="B29" t="str">
            <v>Solar Water Heater - NR</v>
          </cell>
          <cell r="C29">
            <v>0.01</v>
          </cell>
          <cell r="D29">
            <v>0</v>
          </cell>
        </row>
        <row r="30">
          <cell r="B30" t="str">
            <v>Solar Water Heater - Retro</v>
          </cell>
          <cell r="C30">
            <v>0.01</v>
          </cell>
          <cell r="D30">
            <v>0</v>
          </cell>
        </row>
        <row r="31">
          <cell r="B31">
            <v>0</v>
          </cell>
        </row>
        <row r="32">
          <cell r="B32">
            <v>0</v>
          </cell>
        </row>
        <row r="33">
          <cell r="B33" t="str">
            <v>Electric Oven - New</v>
          </cell>
          <cell r="C33">
            <v>0.1</v>
          </cell>
          <cell r="D33">
            <v>0.1</v>
          </cell>
          <cell r="E33">
            <v>0.1</v>
          </cell>
          <cell r="F33">
            <v>0.1</v>
          </cell>
        </row>
        <row r="34">
          <cell r="B34" t="str">
            <v>Electric Oven - NR</v>
          </cell>
          <cell r="C34">
            <v>0.1</v>
          </cell>
          <cell r="D34">
            <v>0.1</v>
          </cell>
          <cell r="E34">
            <v>0.1</v>
          </cell>
          <cell r="F34">
            <v>0.1</v>
          </cell>
        </row>
        <row r="35">
          <cell r="B35" t="str">
            <v>Microwave - New</v>
          </cell>
          <cell r="C35">
            <v>0</v>
          </cell>
          <cell r="D35">
            <v>0</v>
          </cell>
          <cell r="E35">
            <v>0</v>
          </cell>
          <cell r="F35">
            <v>0</v>
          </cell>
        </row>
        <row r="36">
          <cell r="B36" t="str">
            <v>Microwave - NR</v>
          </cell>
          <cell r="C36">
            <v>0</v>
          </cell>
          <cell r="D36">
            <v>0</v>
          </cell>
          <cell r="E36">
            <v>0</v>
          </cell>
          <cell r="F36">
            <v>0</v>
          </cell>
        </row>
        <row r="37">
          <cell r="B37" t="str">
            <v>Monitor - New</v>
          </cell>
          <cell r="C37">
            <v>0.55000000000000004</v>
          </cell>
          <cell r="D37">
            <v>0.55000000000000004</v>
          </cell>
          <cell r="E37">
            <v>0.55000000000000004</v>
          </cell>
          <cell r="F37">
            <v>0.55000000000000004</v>
          </cell>
        </row>
        <row r="38">
          <cell r="B38" t="str">
            <v>Monitor - NR</v>
          </cell>
          <cell r="C38">
            <v>0.55000000000000004</v>
          </cell>
          <cell r="D38">
            <v>0.55000000000000004</v>
          </cell>
          <cell r="E38">
            <v>0.55000000000000004</v>
          </cell>
          <cell r="F38">
            <v>0.55000000000000004</v>
          </cell>
        </row>
        <row r="39">
          <cell r="B39" t="str">
            <v>Desktop - New</v>
          </cell>
          <cell r="C39">
            <v>0.25</v>
          </cell>
          <cell r="D39">
            <v>0.25</v>
          </cell>
          <cell r="E39">
            <v>0.25</v>
          </cell>
          <cell r="F39">
            <v>0.25</v>
          </cell>
        </row>
        <row r="40">
          <cell r="B40" t="str">
            <v>Desktop - NR</v>
          </cell>
          <cell r="C40">
            <v>0.25</v>
          </cell>
          <cell r="D40">
            <v>0.25</v>
          </cell>
          <cell r="E40">
            <v>0.25</v>
          </cell>
          <cell r="F40">
            <v>0.25</v>
          </cell>
        </row>
        <row r="41">
          <cell r="B41" t="str">
            <v>Laptop - New</v>
          </cell>
          <cell r="C41">
            <v>0.74</v>
          </cell>
          <cell r="D41">
            <v>0.74</v>
          </cell>
          <cell r="E41">
            <v>0.74</v>
          </cell>
          <cell r="F41">
            <v>0.74</v>
          </cell>
        </row>
        <row r="42">
          <cell r="B42" t="str">
            <v>Laptop - NR</v>
          </cell>
          <cell r="C42">
            <v>0.74</v>
          </cell>
          <cell r="D42">
            <v>0.74</v>
          </cell>
          <cell r="E42">
            <v>0.74</v>
          </cell>
          <cell r="F42">
            <v>0.74</v>
          </cell>
        </row>
        <row r="43">
          <cell r="B43" t="str">
            <v>Computer - New</v>
          </cell>
        </row>
        <row r="44">
          <cell r="B44" t="str">
            <v>Computer - NR</v>
          </cell>
        </row>
        <row r="45">
          <cell r="B45" t="str">
            <v>ASHP - New</v>
          </cell>
          <cell r="C45">
            <v>0.02</v>
          </cell>
          <cell r="D45">
            <v>0</v>
          </cell>
          <cell r="E45">
            <v>0</v>
          </cell>
          <cell r="F45">
            <v>0</v>
          </cell>
        </row>
        <row r="46">
          <cell r="B46" t="str">
            <v>ASHP - NR</v>
          </cell>
          <cell r="C46">
            <v>0.02</v>
          </cell>
          <cell r="D46">
            <v>0</v>
          </cell>
          <cell r="E46">
            <v>0</v>
          </cell>
          <cell r="F46">
            <v>0</v>
          </cell>
        </row>
        <row r="47">
          <cell r="B47" t="str">
            <v>HP - Retro</v>
          </cell>
        </row>
        <row r="48">
          <cell r="B48" t="str">
            <v>DHP - New</v>
          </cell>
          <cell r="C48">
            <v>0.02</v>
          </cell>
          <cell r="D48">
            <v>0</v>
          </cell>
          <cell r="E48">
            <v>0</v>
          </cell>
          <cell r="F48">
            <v>0</v>
          </cell>
        </row>
        <row r="49">
          <cell r="B49" t="str">
            <v>DHP - NR</v>
          </cell>
          <cell r="C49">
            <v>0.02</v>
          </cell>
          <cell r="D49">
            <v>0</v>
          </cell>
          <cell r="E49">
            <v>0</v>
          </cell>
          <cell r="F49">
            <v>0</v>
          </cell>
        </row>
        <row r="50">
          <cell r="B50" t="str">
            <v>DHP - Retro</v>
          </cell>
        </row>
        <row r="51">
          <cell r="B51" t="str">
            <v>Duct Sealing - New</v>
          </cell>
          <cell r="C51">
            <v>0.5480228071825386</v>
          </cell>
          <cell r="F51">
            <v>0.43943299231914901</v>
          </cell>
        </row>
        <row r="52">
          <cell r="B52" t="str">
            <v>Duct Sealing - Retro</v>
          </cell>
          <cell r="C52">
            <v>0.5480228071825386</v>
          </cell>
          <cell r="F52">
            <v>0.43943299231914901</v>
          </cell>
        </row>
        <row r="53">
          <cell r="B53" t="str">
            <v>WIFI enabled tstats - New</v>
          </cell>
          <cell r="C53">
            <v>0</v>
          </cell>
          <cell r="D53">
            <v>0</v>
          </cell>
          <cell r="E53">
            <v>0</v>
          </cell>
          <cell r="F53">
            <v>0</v>
          </cell>
        </row>
        <row r="54">
          <cell r="B54" t="str">
            <v>WIFI enabled tstats - Retro</v>
          </cell>
          <cell r="C54">
            <v>0.01</v>
          </cell>
          <cell r="D54">
            <v>0.01</v>
          </cell>
          <cell r="E54">
            <v>0.01</v>
          </cell>
          <cell r="F54">
            <v>0.01</v>
          </cell>
        </row>
        <row r="55">
          <cell r="B55" t="str">
            <v>Combo DHP/HPWH units - New</v>
          </cell>
        </row>
        <row r="56">
          <cell r="B56" t="str">
            <v>Combo DHP/HPWH units - NR</v>
          </cell>
        </row>
        <row r="57">
          <cell r="B57" t="str">
            <v>Combo DHP/HPWH units - Retro</v>
          </cell>
        </row>
        <row r="58">
          <cell r="B58" t="str">
            <v>Aerator - New</v>
          </cell>
          <cell r="C58">
            <v>0.65</v>
          </cell>
          <cell r="D58">
            <v>0.65</v>
          </cell>
          <cell r="E58">
            <v>0.65</v>
          </cell>
          <cell r="F58">
            <v>0.65</v>
          </cell>
        </row>
        <row r="59">
          <cell r="B59" t="str">
            <v>Aerator - Retro</v>
          </cell>
          <cell r="C59">
            <v>0.65</v>
          </cell>
          <cell r="D59">
            <v>0.65</v>
          </cell>
          <cell r="E59">
            <v>0.65</v>
          </cell>
          <cell r="F59">
            <v>0.65</v>
          </cell>
        </row>
        <row r="60">
          <cell r="B60" t="str">
            <v>Behavior - Retro</v>
          </cell>
          <cell r="C60">
            <v>0</v>
          </cell>
          <cell r="D60">
            <v>0</v>
          </cell>
          <cell r="E60">
            <v>0</v>
          </cell>
          <cell r="F60">
            <v>0</v>
          </cell>
        </row>
        <row r="61">
          <cell r="B61" t="str">
            <v>Behavior - New</v>
          </cell>
          <cell r="C61">
            <v>0</v>
          </cell>
          <cell r="D61">
            <v>0</v>
          </cell>
          <cell r="E61">
            <v>0</v>
          </cell>
          <cell r="F61">
            <v>0</v>
          </cell>
        </row>
        <row r="62">
          <cell r="B62">
            <v>0</v>
          </cell>
        </row>
        <row r="63">
          <cell r="B63" t="str">
            <v>Heat Recovery Ventilation - New</v>
          </cell>
          <cell r="C63">
            <v>0.01</v>
          </cell>
        </row>
        <row r="64">
          <cell r="B64" t="str">
            <v>GSHP - New</v>
          </cell>
          <cell r="C64">
            <v>0</v>
          </cell>
        </row>
        <row r="65">
          <cell r="B65" t="str">
            <v>GSHP - NR</v>
          </cell>
          <cell r="C65">
            <v>0</v>
          </cell>
        </row>
        <row r="66">
          <cell r="B66">
            <v>0</v>
          </cell>
        </row>
        <row r="67">
          <cell r="B67" t="str">
            <v>ECM for HVAC ventilation - New</v>
          </cell>
        </row>
        <row r="68">
          <cell r="B68" t="str">
            <v>ECM for HVAC ventilation - NR</v>
          </cell>
        </row>
        <row r="69">
          <cell r="B69" t="str">
            <v>Whole house/attic fan - New</v>
          </cell>
        </row>
        <row r="70">
          <cell r="B70" t="str">
            <v>Whole house/attic fan - Retro</v>
          </cell>
        </row>
        <row r="71">
          <cell r="B71" t="str">
            <v>WH Pipe insulation - Retro</v>
          </cell>
        </row>
        <row r="72">
          <cell r="B72" t="str">
            <v>DHP Ducted - NR</v>
          </cell>
          <cell r="C72">
            <v>0.01</v>
          </cell>
          <cell r="D72">
            <v>0</v>
          </cell>
          <cell r="E72">
            <v>0</v>
          </cell>
          <cell r="F72">
            <v>0.01</v>
          </cell>
        </row>
        <row r="73">
          <cell r="B73" t="str">
            <v>Advanced Power Strips - New</v>
          </cell>
          <cell r="C73">
            <v>0.01</v>
          </cell>
          <cell r="D73">
            <v>0.01</v>
          </cell>
          <cell r="E73">
            <v>0.01</v>
          </cell>
          <cell r="F73">
            <v>0.01</v>
          </cell>
        </row>
        <row r="74">
          <cell r="B74" t="str">
            <v>Advanced Power Strips - Retro</v>
          </cell>
          <cell r="C74">
            <v>0.01</v>
          </cell>
          <cell r="D74">
            <v>0.01</v>
          </cell>
          <cell r="E74">
            <v>0.01</v>
          </cell>
          <cell r="F74">
            <v>0.01</v>
          </cell>
        </row>
        <row r="75">
          <cell r="B75" t="str">
            <v>Controls Commissioning and Sizing - New</v>
          </cell>
          <cell r="C75">
            <v>0.05</v>
          </cell>
          <cell r="F75">
            <v>0.05</v>
          </cell>
        </row>
        <row r="76">
          <cell r="B76" t="str">
            <v>Controls Commissioning and Sizing - NR</v>
          </cell>
          <cell r="C76">
            <v>0.05</v>
          </cell>
          <cell r="F76">
            <v>0.05</v>
          </cell>
        </row>
        <row r="77">
          <cell r="B77" t="str">
            <v>ResWx - Retro</v>
          </cell>
        </row>
        <row r="78">
          <cell r="B78" t="str">
            <v>ATTIC R0 - R19 - Retro</v>
          </cell>
        </row>
        <row r="79">
          <cell r="B79" t="str">
            <v>ATTIC R0 - R22 - Retro</v>
          </cell>
          <cell r="F79">
            <v>0.98234576822530661</v>
          </cell>
        </row>
        <row r="80">
          <cell r="B80" t="str">
            <v>ATTIC R0 - R30 - Retro</v>
          </cell>
          <cell r="F80">
            <v>0.94629090512719527</v>
          </cell>
        </row>
        <row r="81">
          <cell r="B81" t="str">
            <v>ATTIC R0 - R38 - Retro</v>
          </cell>
          <cell r="C81">
            <v>0.90582363255140952</v>
          </cell>
          <cell r="D81">
            <v>0.77400000000000002</v>
          </cell>
        </row>
        <row r="82">
          <cell r="B82" t="str">
            <v>ATTIC R0 - R49 - Retro</v>
          </cell>
          <cell r="C82">
            <v>0.90582363255140952</v>
          </cell>
          <cell r="D82">
            <v>0.77400000000000002</v>
          </cell>
        </row>
        <row r="83">
          <cell r="B83" t="str">
            <v>ATTIC R11 - R30 - Retro</v>
          </cell>
          <cell r="F83">
            <v>0.99894666949290001</v>
          </cell>
        </row>
        <row r="84">
          <cell r="B84" t="str">
            <v>ATTIC R11 - R38 - Retro</v>
          </cell>
          <cell r="C84">
            <v>0.85745904032781306</v>
          </cell>
        </row>
        <row r="85">
          <cell r="B85" t="str">
            <v>ATTIC R11 - R49 - Retro</v>
          </cell>
          <cell r="C85">
            <v>0.85745904032781306</v>
          </cell>
        </row>
        <row r="86">
          <cell r="B86" t="str">
            <v>ATTIC R19 - R30 - Retro</v>
          </cell>
          <cell r="D86">
            <v>0.70700000000000007</v>
          </cell>
        </row>
        <row r="87">
          <cell r="B87" t="str">
            <v>ATTIC R19 - R38 - Retro</v>
          </cell>
          <cell r="C87">
            <v>0.8235906407599296</v>
          </cell>
          <cell r="D87">
            <v>0.70700000000000007</v>
          </cell>
        </row>
        <row r="88">
          <cell r="B88" t="str">
            <v>ATTIC R19 - R49 - Retro</v>
          </cell>
          <cell r="C88">
            <v>0.8235906407599296</v>
          </cell>
          <cell r="D88">
            <v>0.70700000000000007</v>
          </cell>
        </row>
        <row r="89">
          <cell r="B89" t="str">
            <v>WALL R0 - R11 - Retro</v>
          </cell>
          <cell r="C89">
            <v>0.9153244542011717</v>
          </cell>
          <cell r="D89">
            <v>0.91300000000000003</v>
          </cell>
        </row>
        <row r="90">
          <cell r="B90" t="str">
            <v>FLOOR R0 - R19 - Retro</v>
          </cell>
          <cell r="C90">
            <v>0.77054029401358659</v>
          </cell>
          <cell r="D90">
            <v>0.74099999999999999</v>
          </cell>
        </row>
        <row r="91">
          <cell r="B91" t="str">
            <v>FLOOR R0 - R22 - Retro</v>
          </cell>
          <cell r="F91">
            <v>0.98933475247267177</v>
          </cell>
        </row>
        <row r="92">
          <cell r="B92" t="str">
            <v>FLOOR R0 - R25 - Retro</v>
          </cell>
          <cell r="C92">
            <v>0.77054029401358659</v>
          </cell>
        </row>
        <row r="93">
          <cell r="B93" t="str">
            <v>FLOOR R0 - R30 - Retro</v>
          </cell>
          <cell r="C93">
            <v>0.77054029401358659</v>
          </cell>
          <cell r="D93">
            <v>0.74099999999999999</v>
          </cell>
        </row>
        <row r="94">
          <cell r="B94" t="str">
            <v>FLOOR R11 - R22 - Retro</v>
          </cell>
          <cell r="F94">
            <v>0.98376579376328033</v>
          </cell>
        </row>
        <row r="95">
          <cell r="B95" t="str">
            <v>WINDOW CL30 Prime Window Replacement of Single Pane Base - Retro</v>
          </cell>
          <cell r="C95">
            <v>0.95569674867310761</v>
          </cell>
          <cell r="D95">
            <v>0.84052050568853631</v>
          </cell>
          <cell r="F95">
            <v>0.98290327051721382</v>
          </cell>
        </row>
        <row r="96">
          <cell r="B96" t="str">
            <v>WINDOW CL30 Prime Window Replacement of Double Pane Base - Retro</v>
          </cell>
          <cell r="C96">
            <v>7.1991309673075765E-2</v>
          </cell>
          <cell r="D96">
            <v>0.17129805649810181</v>
          </cell>
          <cell r="F96">
            <v>0.99913039998781261</v>
          </cell>
        </row>
        <row r="97">
          <cell r="B97" t="str">
            <v>WINDOW CL22 Prime Window Replacement of Single Pane Base - Retro</v>
          </cell>
          <cell r="C97">
            <v>0.95569674867310761</v>
          </cell>
          <cell r="D97">
            <v>0.84052050568853631</v>
          </cell>
          <cell r="F97">
            <v>0.98290327051721382</v>
          </cell>
        </row>
        <row r="98">
          <cell r="B98" t="str">
            <v>WINDOW CL22 Prime Window Replacement of Double Pane Base - Retro</v>
          </cell>
          <cell r="C98">
            <v>7.1991309673075765E-2</v>
          </cell>
          <cell r="D98">
            <v>0.17129805649810181</v>
          </cell>
          <cell r="F98">
            <v>0.99913039998781261</v>
          </cell>
        </row>
        <row r="99">
          <cell r="B99" t="str">
            <v>CFM50 Infiltration Reduction - Retro</v>
          </cell>
          <cell r="C99">
            <v>0.3021611294127764</v>
          </cell>
          <cell r="F99">
            <v>0.91633344981828857</v>
          </cell>
        </row>
      </sheetData>
      <sheetData sheetId="7">
        <row r="8">
          <cell r="B8" t="str">
            <v>Single Family</v>
          </cell>
          <cell r="C8" t="str">
            <v>Multifamily - Low Rise</v>
          </cell>
          <cell r="D8" t="str">
            <v>Multifamily - High Rise</v>
          </cell>
          <cell r="E8" t="str">
            <v>Manufactured</v>
          </cell>
          <cell r="F8" t="str">
            <v>Non-Building Stock</v>
          </cell>
        </row>
        <row r="9">
          <cell r="B9" t="str">
            <v>Post2016</v>
          </cell>
          <cell r="C9" t="str">
            <v>Post2016</v>
          </cell>
          <cell r="D9" t="str">
            <v>Post2016</v>
          </cell>
          <cell r="E9" t="str">
            <v>Post2016</v>
          </cell>
          <cell r="F9" t="str">
            <v>Post2016</v>
          </cell>
        </row>
        <row r="10">
          <cell r="B10" t="str">
            <v>Pre2016</v>
          </cell>
          <cell r="C10" t="str">
            <v>Pre2016</v>
          </cell>
          <cell r="D10" t="str">
            <v>Pre2016</v>
          </cell>
          <cell r="E10" t="str">
            <v>Pre2016</v>
          </cell>
          <cell r="F10" t="str">
            <v>Pre2016</v>
          </cell>
        </row>
        <row r="11">
          <cell r="B11" t="str">
            <v>Pre2016</v>
          </cell>
          <cell r="C11" t="str">
            <v>Pre2016</v>
          </cell>
          <cell r="D11" t="str">
            <v>Pre2016</v>
          </cell>
          <cell r="E11" t="str">
            <v>Pre2016</v>
          </cell>
          <cell r="F11" t="str">
            <v>Pre2016</v>
          </cell>
        </row>
        <row r="12">
          <cell r="B12" t="str">
            <v>Post2016</v>
          </cell>
          <cell r="C12" t="str">
            <v>Post2016</v>
          </cell>
          <cell r="D12" t="str">
            <v>Post2016</v>
          </cell>
          <cell r="E12" t="str">
            <v>Post2016</v>
          </cell>
          <cell r="F12" t="str">
            <v>Post2016</v>
          </cell>
        </row>
        <row r="13">
          <cell r="B13" t="str">
            <v>Pre2016</v>
          </cell>
          <cell r="C13" t="str">
            <v>Pre2016</v>
          </cell>
          <cell r="D13" t="str">
            <v>Pre2016</v>
          </cell>
          <cell r="E13" t="str">
            <v>Pre2016</v>
          </cell>
          <cell r="F13" t="str">
            <v>Pre2016</v>
          </cell>
        </row>
        <row r="14">
          <cell r="B14" t="str">
            <v>Post2016</v>
          </cell>
          <cell r="C14" t="str">
            <v>Post2016</v>
          </cell>
          <cell r="D14" t="str">
            <v>Post2016</v>
          </cell>
          <cell r="E14" t="str">
            <v>Post2016</v>
          </cell>
          <cell r="F14" t="str">
            <v>Post2016</v>
          </cell>
        </row>
        <row r="15">
          <cell r="B15" t="str">
            <v>Pre2016</v>
          </cell>
          <cell r="C15" t="str">
            <v>Pre2016</v>
          </cell>
          <cell r="D15" t="str">
            <v>Pre2016</v>
          </cell>
          <cell r="E15" t="str">
            <v>Pre2016</v>
          </cell>
          <cell r="F15" t="str">
            <v>Pre2016</v>
          </cell>
        </row>
        <row r="16">
          <cell r="B16" t="str">
            <v>Post2016</v>
          </cell>
          <cell r="C16" t="str">
            <v>Post2016</v>
          </cell>
          <cell r="D16" t="str">
            <v>Post2016</v>
          </cell>
          <cell r="E16" t="str">
            <v>Post2016</v>
          </cell>
          <cell r="F16" t="str">
            <v>Post2016</v>
          </cell>
        </row>
        <row r="17">
          <cell r="B17" t="str">
            <v>Post2016</v>
          </cell>
          <cell r="C17" t="str">
            <v>Post2016</v>
          </cell>
          <cell r="D17" t="str">
            <v>Post2016</v>
          </cell>
          <cell r="E17" t="str">
            <v>Post2016</v>
          </cell>
          <cell r="F17" t="str">
            <v>Post2016</v>
          </cell>
        </row>
        <row r="18">
          <cell r="B18" t="str">
            <v>Pre2016</v>
          </cell>
          <cell r="C18" t="str">
            <v>Pre2016</v>
          </cell>
          <cell r="D18" t="str">
            <v>Pre2016</v>
          </cell>
          <cell r="E18" t="str">
            <v>Pre2016</v>
          </cell>
          <cell r="F18" t="str">
            <v>Pre2016</v>
          </cell>
        </row>
        <row r="19">
          <cell r="B19" t="str">
            <v>Post2016</v>
          </cell>
          <cell r="C19" t="str">
            <v>Post2016</v>
          </cell>
          <cell r="D19" t="str">
            <v>Post2016</v>
          </cell>
          <cell r="E19" t="str">
            <v>Post2016</v>
          </cell>
          <cell r="F19" t="str">
            <v>Post2016</v>
          </cell>
        </row>
        <row r="20">
          <cell r="B20" t="str">
            <v>Pre2016</v>
          </cell>
          <cell r="C20" t="str">
            <v>Pre2016</v>
          </cell>
          <cell r="D20" t="str">
            <v>Pre2016</v>
          </cell>
          <cell r="E20" t="str">
            <v>Pre2016</v>
          </cell>
          <cell r="F20" t="str">
            <v>Pre2016</v>
          </cell>
        </row>
        <row r="21">
          <cell r="B21" t="str">
            <v>Pre2016</v>
          </cell>
          <cell r="C21" t="str">
            <v>Pre2016</v>
          </cell>
          <cell r="D21" t="str">
            <v>Pre2016</v>
          </cell>
          <cell r="E21" t="str">
            <v>Pre2016</v>
          </cell>
          <cell r="F21" t="str">
            <v>Pre2016</v>
          </cell>
        </row>
        <row r="22">
          <cell r="B22" t="str">
            <v>Post2016</v>
          </cell>
          <cell r="C22" t="str">
            <v>Post2016</v>
          </cell>
          <cell r="D22" t="str">
            <v>Post2016</v>
          </cell>
          <cell r="E22" t="str">
            <v>Post2016</v>
          </cell>
          <cell r="F22" t="str">
            <v>Post2016</v>
          </cell>
        </row>
        <row r="23">
          <cell r="B23" t="str">
            <v>Pre2016</v>
          </cell>
          <cell r="C23" t="str">
            <v>Pre2016</v>
          </cell>
          <cell r="D23" t="str">
            <v>Pre2016</v>
          </cell>
          <cell r="E23" t="str">
            <v>Pre2016</v>
          </cell>
          <cell r="F23" t="str">
            <v>Pre2016</v>
          </cell>
        </row>
        <row r="24">
          <cell r="B24" t="str">
            <v>Post2016</v>
          </cell>
          <cell r="C24" t="str">
            <v>Post2016</v>
          </cell>
          <cell r="D24" t="str">
            <v>Post2016</v>
          </cell>
          <cell r="E24" t="str">
            <v>Post2016</v>
          </cell>
          <cell r="F24" t="str">
            <v>Post2016</v>
          </cell>
        </row>
        <row r="25">
          <cell r="B25" t="str">
            <v>Pre2016</v>
          </cell>
          <cell r="C25" t="str">
            <v>Pre2016</v>
          </cell>
          <cell r="D25" t="str">
            <v>Pre2016</v>
          </cell>
          <cell r="E25" t="str">
            <v>Pre2016</v>
          </cell>
          <cell r="F25" t="str">
            <v>Pre2016</v>
          </cell>
        </row>
        <row r="26">
          <cell r="B26" t="str">
            <v>Post2016</v>
          </cell>
          <cell r="C26" t="str">
            <v>Post2016</v>
          </cell>
          <cell r="D26" t="str">
            <v>Post2016</v>
          </cell>
          <cell r="E26" t="str">
            <v>Post2016</v>
          </cell>
          <cell r="F26" t="str">
            <v>Post2016</v>
          </cell>
        </row>
        <row r="27">
          <cell r="B27" t="str">
            <v>Pre2016</v>
          </cell>
          <cell r="C27" t="str">
            <v>Pre2016</v>
          </cell>
          <cell r="D27" t="str">
            <v>Pre2016</v>
          </cell>
          <cell r="E27" t="str">
            <v>Pre2016</v>
          </cell>
          <cell r="F27" t="str">
            <v>Pre2016</v>
          </cell>
        </row>
        <row r="28">
          <cell r="B28" t="str">
            <v>Post2016</v>
          </cell>
          <cell r="C28" t="str">
            <v>Post2016</v>
          </cell>
          <cell r="D28" t="str">
            <v>Post2016</v>
          </cell>
          <cell r="E28" t="str">
            <v>Post2016</v>
          </cell>
          <cell r="F28" t="str">
            <v>Post2016</v>
          </cell>
        </row>
        <row r="29">
          <cell r="B29" t="str">
            <v>Pre2016</v>
          </cell>
          <cell r="C29" t="str">
            <v>Pre2016</v>
          </cell>
          <cell r="D29" t="str">
            <v>Pre2016</v>
          </cell>
          <cell r="E29" t="str">
            <v>Pre2016</v>
          </cell>
          <cell r="F29" t="str">
            <v>Pre2016</v>
          </cell>
        </row>
        <row r="30">
          <cell r="B30" t="str">
            <v>Pre2016</v>
          </cell>
          <cell r="C30" t="str">
            <v>Pre2016</v>
          </cell>
          <cell r="D30" t="str">
            <v>Pre2016</v>
          </cell>
          <cell r="E30" t="str">
            <v>Pre2016</v>
          </cell>
          <cell r="F30" t="str">
            <v>Pre2016</v>
          </cell>
        </row>
        <row r="31">
          <cell r="B31" t="str">
            <v>Pre2016</v>
          </cell>
          <cell r="C31" t="str">
            <v>Pre2016</v>
          </cell>
          <cell r="D31" t="str">
            <v>Pre2016</v>
          </cell>
          <cell r="E31" t="str">
            <v>Pre2016</v>
          </cell>
          <cell r="F31" t="str">
            <v>Pre2016</v>
          </cell>
        </row>
        <row r="32">
          <cell r="B32" t="str">
            <v>Pre2016</v>
          </cell>
          <cell r="C32" t="str">
            <v>Pre2016</v>
          </cell>
          <cell r="D32" t="str">
            <v>Pre2016</v>
          </cell>
          <cell r="E32" t="str">
            <v>Pre2016</v>
          </cell>
          <cell r="F32" t="str">
            <v>Pre2016</v>
          </cell>
        </row>
        <row r="33">
          <cell r="B33" t="str">
            <v>Post2016</v>
          </cell>
          <cell r="C33" t="str">
            <v>Post2016</v>
          </cell>
          <cell r="D33" t="str">
            <v>Post2016</v>
          </cell>
          <cell r="E33" t="str">
            <v>Post2016</v>
          </cell>
          <cell r="F33" t="str">
            <v>Post2016</v>
          </cell>
        </row>
        <row r="34">
          <cell r="B34" t="str">
            <v>Pre2016</v>
          </cell>
          <cell r="C34" t="str">
            <v>Pre2016</v>
          </cell>
          <cell r="D34" t="str">
            <v>Pre2016</v>
          </cell>
          <cell r="E34" t="str">
            <v>Pre2016</v>
          </cell>
          <cell r="F34" t="str">
            <v>Pre2016</v>
          </cell>
        </row>
        <row r="35">
          <cell r="B35" t="str">
            <v>Post2016</v>
          </cell>
          <cell r="C35" t="str">
            <v>Post2016</v>
          </cell>
          <cell r="D35" t="str">
            <v>Post2016</v>
          </cell>
          <cell r="E35" t="str">
            <v>Post2016</v>
          </cell>
          <cell r="F35" t="str">
            <v>Post2016</v>
          </cell>
        </row>
        <row r="36">
          <cell r="B36" t="str">
            <v>Pre2016</v>
          </cell>
          <cell r="C36" t="str">
            <v>Pre2016</v>
          </cell>
          <cell r="D36" t="str">
            <v>Pre2016</v>
          </cell>
          <cell r="E36" t="str">
            <v>Pre2016</v>
          </cell>
          <cell r="F36" t="str">
            <v>Pre2016</v>
          </cell>
        </row>
        <row r="37">
          <cell r="B37" t="str">
            <v>Post2016</v>
          </cell>
          <cell r="C37" t="str">
            <v>Post2016</v>
          </cell>
          <cell r="D37" t="str">
            <v>Post2016</v>
          </cell>
          <cell r="E37" t="str">
            <v>Post2016</v>
          </cell>
          <cell r="F37" t="str">
            <v>Post2016</v>
          </cell>
        </row>
        <row r="38">
          <cell r="B38" t="str">
            <v>Pre2016</v>
          </cell>
          <cell r="C38" t="str">
            <v>Pre2016</v>
          </cell>
          <cell r="D38" t="str">
            <v>Pre2016</v>
          </cell>
          <cell r="E38" t="str">
            <v>Pre2016</v>
          </cell>
          <cell r="F38" t="str">
            <v>Pre2016</v>
          </cell>
        </row>
        <row r="39">
          <cell r="B39" t="str">
            <v>Post2016</v>
          </cell>
          <cell r="C39" t="str">
            <v>Post2016</v>
          </cell>
          <cell r="D39" t="str">
            <v>Post2016</v>
          </cell>
          <cell r="E39" t="str">
            <v>Post2016</v>
          </cell>
          <cell r="F39" t="str">
            <v>Post2016</v>
          </cell>
        </row>
        <row r="40">
          <cell r="B40" t="str">
            <v>Pre2016</v>
          </cell>
          <cell r="C40" t="str">
            <v>Pre2016</v>
          </cell>
          <cell r="D40" t="str">
            <v>Pre2016</v>
          </cell>
          <cell r="E40" t="str">
            <v>Pre2016</v>
          </cell>
          <cell r="F40" t="str">
            <v>Pre2016</v>
          </cell>
        </row>
        <row r="41">
          <cell r="B41" t="str">
            <v>Post2016</v>
          </cell>
          <cell r="C41" t="str">
            <v>Post2016</v>
          </cell>
          <cell r="D41" t="str">
            <v>Post2016</v>
          </cell>
          <cell r="E41" t="str">
            <v>Post2016</v>
          </cell>
          <cell r="F41" t="str">
            <v>Post2016</v>
          </cell>
        </row>
        <row r="42">
          <cell r="B42" t="str">
            <v>Pre2016</v>
          </cell>
          <cell r="C42" t="str">
            <v>Pre2016</v>
          </cell>
          <cell r="D42" t="str">
            <v>Pre2016</v>
          </cell>
          <cell r="E42" t="str">
            <v>Pre2016</v>
          </cell>
          <cell r="F42" t="str">
            <v>Pre2016</v>
          </cell>
        </row>
        <row r="43">
          <cell r="B43" t="str">
            <v>Post2016</v>
          </cell>
          <cell r="C43" t="str">
            <v>Post2016</v>
          </cell>
          <cell r="D43" t="str">
            <v>Post2016</v>
          </cell>
          <cell r="E43" t="str">
            <v>Post2016</v>
          </cell>
          <cell r="F43" t="str">
            <v>Post2016</v>
          </cell>
        </row>
        <row r="44">
          <cell r="B44" t="str">
            <v>Pre2016</v>
          </cell>
          <cell r="C44" t="str">
            <v>Pre2016</v>
          </cell>
          <cell r="D44" t="str">
            <v>Pre2016</v>
          </cell>
          <cell r="E44" t="str">
            <v>Pre2016</v>
          </cell>
          <cell r="F44" t="str">
            <v>Pre2016</v>
          </cell>
        </row>
        <row r="45">
          <cell r="B45" t="str">
            <v>Post2016</v>
          </cell>
          <cell r="C45" t="str">
            <v>Post2016</v>
          </cell>
          <cell r="D45" t="str">
            <v>Post2016</v>
          </cell>
          <cell r="E45" t="str">
            <v>Post2016</v>
          </cell>
          <cell r="F45" t="str">
            <v>Post2016</v>
          </cell>
        </row>
        <row r="46">
          <cell r="B46" t="str">
            <v>Pre2016</v>
          </cell>
          <cell r="C46" t="str">
            <v>Pre2016</v>
          </cell>
          <cell r="D46" t="str">
            <v>Pre2016</v>
          </cell>
          <cell r="E46" t="str">
            <v>Pre2016</v>
          </cell>
          <cell r="F46" t="str">
            <v>Pre2016</v>
          </cell>
        </row>
        <row r="47">
          <cell r="B47" t="str">
            <v>Pre2016</v>
          </cell>
          <cell r="C47" t="str">
            <v>Pre2016</v>
          </cell>
          <cell r="D47" t="str">
            <v>Pre2016</v>
          </cell>
          <cell r="E47" t="str">
            <v>Pre2016</v>
          </cell>
          <cell r="F47" t="str">
            <v>Pre2016</v>
          </cell>
        </row>
        <row r="48">
          <cell r="B48" t="str">
            <v>Post2016</v>
          </cell>
          <cell r="C48" t="str">
            <v>Post2016</v>
          </cell>
          <cell r="D48" t="str">
            <v>Post2016</v>
          </cell>
          <cell r="E48" t="str">
            <v>Post2016</v>
          </cell>
          <cell r="F48" t="str">
            <v>Post2016</v>
          </cell>
        </row>
        <row r="49">
          <cell r="B49" t="str">
            <v>Pre2016</v>
          </cell>
          <cell r="C49" t="str">
            <v>Pre2016</v>
          </cell>
          <cell r="D49" t="str">
            <v>Pre2016</v>
          </cell>
          <cell r="E49" t="str">
            <v>Pre2016</v>
          </cell>
          <cell r="F49" t="str">
            <v>Pre2016</v>
          </cell>
        </row>
        <row r="50">
          <cell r="B50" t="str">
            <v>Pre2016</v>
          </cell>
          <cell r="C50" t="str">
            <v>Pre2016</v>
          </cell>
          <cell r="D50" t="str">
            <v>Pre2016</v>
          </cell>
          <cell r="E50" t="str">
            <v>Pre2016</v>
          </cell>
          <cell r="F50" t="str">
            <v>Pre2016</v>
          </cell>
        </row>
        <row r="51">
          <cell r="B51" t="str">
            <v>Post2016</v>
          </cell>
          <cell r="C51" t="str">
            <v>Post2016</v>
          </cell>
          <cell r="D51" t="str">
            <v>Post2016</v>
          </cell>
          <cell r="E51" t="str">
            <v>Post2016</v>
          </cell>
          <cell r="F51" t="str">
            <v>Post2016</v>
          </cell>
        </row>
        <row r="52">
          <cell r="B52" t="str">
            <v>Pre2016</v>
          </cell>
          <cell r="C52" t="str">
            <v>Pre2016</v>
          </cell>
          <cell r="D52" t="str">
            <v>Pre2016</v>
          </cell>
          <cell r="E52" t="str">
            <v>Pre2016</v>
          </cell>
          <cell r="F52" t="str">
            <v>Pre2016</v>
          </cell>
        </row>
        <row r="53">
          <cell r="B53" t="str">
            <v>Post2016</v>
          </cell>
          <cell r="C53" t="str">
            <v>Post2016</v>
          </cell>
          <cell r="D53" t="str">
            <v>Post2016</v>
          </cell>
          <cell r="E53" t="str">
            <v>Post2016</v>
          </cell>
          <cell r="F53" t="str">
            <v>Post2016</v>
          </cell>
        </row>
        <row r="54">
          <cell r="B54" t="str">
            <v>Pre2016</v>
          </cell>
          <cell r="C54" t="str">
            <v>Pre2016</v>
          </cell>
          <cell r="D54" t="str">
            <v>Pre2016</v>
          </cell>
          <cell r="E54" t="str">
            <v>Pre2016</v>
          </cell>
          <cell r="F54" t="str">
            <v>Pre2016</v>
          </cell>
        </row>
        <row r="55">
          <cell r="B55" t="str">
            <v>Post2016</v>
          </cell>
          <cell r="C55" t="str">
            <v>Post2016</v>
          </cell>
          <cell r="D55" t="str">
            <v>Post2016</v>
          </cell>
          <cell r="E55" t="str">
            <v>Post2016</v>
          </cell>
          <cell r="F55" t="str">
            <v>Post2016</v>
          </cell>
        </row>
        <row r="56">
          <cell r="B56" t="str">
            <v>Pre2016</v>
          </cell>
          <cell r="C56" t="str">
            <v>Pre2016</v>
          </cell>
          <cell r="D56" t="str">
            <v>Pre2016</v>
          </cell>
          <cell r="E56" t="str">
            <v>Pre2016</v>
          </cell>
          <cell r="F56" t="str">
            <v>Pre2016</v>
          </cell>
        </row>
        <row r="57">
          <cell r="B57" t="str">
            <v>Pre2016</v>
          </cell>
          <cell r="C57" t="str">
            <v>Pre2016</v>
          </cell>
          <cell r="D57" t="str">
            <v>Pre2016</v>
          </cell>
          <cell r="E57" t="str">
            <v>Pre2016</v>
          </cell>
          <cell r="F57" t="str">
            <v>Pre2016</v>
          </cell>
        </row>
        <row r="58">
          <cell r="B58" t="str">
            <v>Post2016</v>
          </cell>
          <cell r="C58" t="str">
            <v>Post2016</v>
          </cell>
          <cell r="D58" t="str">
            <v>Post2016</v>
          </cell>
          <cell r="E58" t="str">
            <v>Post2016</v>
          </cell>
          <cell r="F58" t="str">
            <v>Post2016</v>
          </cell>
        </row>
        <row r="59">
          <cell r="B59" t="str">
            <v>Pre2016</v>
          </cell>
          <cell r="C59" t="str">
            <v>Pre2016</v>
          </cell>
          <cell r="D59" t="str">
            <v>Pre2016</v>
          </cell>
          <cell r="E59" t="str">
            <v>Pre2016</v>
          </cell>
          <cell r="F59" t="str">
            <v>Pre2016</v>
          </cell>
        </row>
        <row r="60">
          <cell r="B60" t="str">
            <v>Pre2016</v>
          </cell>
          <cell r="C60" t="str">
            <v>Pre2016</v>
          </cell>
          <cell r="D60" t="str">
            <v>Pre2016</v>
          </cell>
          <cell r="E60" t="str">
            <v>Pre2016</v>
          </cell>
          <cell r="F60" t="str">
            <v>Pre2016</v>
          </cell>
        </row>
        <row r="61">
          <cell r="B61" t="str">
            <v>Post2016</v>
          </cell>
          <cell r="C61" t="str">
            <v>Post2016</v>
          </cell>
          <cell r="D61" t="str">
            <v>Post2016</v>
          </cell>
          <cell r="E61" t="str">
            <v>Post2016</v>
          </cell>
          <cell r="F61" t="str">
            <v>Post2016</v>
          </cell>
        </row>
        <row r="62">
          <cell r="B62" t="str">
            <v>Pre2016</v>
          </cell>
          <cell r="C62" t="str">
            <v>Pre2016</v>
          </cell>
          <cell r="D62" t="str">
            <v>Pre2016</v>
          </cell>
          <cell r="E62" t="str">
            <v>Pre2016</v>
          </cell>
          <cell r="F62" t="str">
            <v>Pre2016</v>
          </cell>
        </row>
        <row r="63">
          <cell r="B63" t="str">
            <v>Post2016</v>
          </cell>
          <cell r="C63" t="str">
            <v>Post2016</v>
          </cell>
          <cell r="D63" t="str">
            <v>Post2016</v>
          </cell>
          <cell r="E63" t="str">
            <v>Post2016</v>
          </cell>
          <cell r="F63" t="str">
            <v>Post2016</v>
          </cell>
        </row>
        <row r="64">
          <cell r="B64" t="str">
            <v>Post2016</v>
          </cell>
          <cell r="C64" t="str">
            <v>Post2016</v>
          </cell>
          <cell r="D64" t="str">
            <v>Post2016</v>
          </cell>
          <cell r="E64" t="str">
            <v>Post2016</v>
          </cell>
          <cell r="F64" t="str">
            <v>Post2016</v>
          </cell>
        </row>
        <row r="65">
          <cell r="B65" t="str">
            <v>Pre2016</v>
          </cell>
          <cell r="C65" t="str">
            <v>Pre2016</v>
          </cell>
          <cell r="D65" t="str">
            <v>Pre2016</v>
          </cell>
          <cell r="E65" t="str">
            <v>Pre2016</v>
          </cell>
          <cell r="F65" t="str">
            <v>Pre2016</v>
          </cell>
        </row>
        <row r="66">
          <cell r="B66" t="str">
            <v>Pre2016</v>
          </cell>
          <cell r="C66" t="str">
            <v>Pre2016</v>
          </cell>
          <cell r="D66" t="str">
            <v>Pre2016</v>
          </cell>
          <cell r="E66" t="str">
            <v>Pre2016</v>
          </cell>
          <cell r="F66" t="str">
            <v>Pre2016</v>
          </cell>
        </row>
        <row r="67">
          <cell r="B67" t="str">
            <v>Post2016</v>
          </cell>
          <cell r="C67" t="str">
            <v>Post2016</v>
          </cell>
          <cell r="D67" t="str">
            <v>Post2016</v>
          </cell>
          <cell r="E67" t="str">
            <v>Post2016</v>
          </cell>
          <cell r="F67" t="str">
            <v>Post2016</v>
          </cell>
        </row>
        <row r="68">
          <cell r="B68" t="str">
            <v>Pre2016</v>
          </cell>
          <cell r="C68" t="str">
            <v>Pre2016</v>
          </cell>
          <cell r="D68" t="str">
            <v>Pre2016</v>
          </cell>
          <cell r="E68" t="str">
            <v>Pre2016</v>
          </cell>
          <cell r="F68" t="str">
            <v>Pre2016</v>
          </cell>
        </row>
        <row r="69">
          <cell r="B69" t="str">
            <v>Post2016</v>
          </cell>
          <cell r="C69" t="str">
            <v>Post2016</v>
          </cell>
          <cell r="D69" t="str">
            <v>Post2016</v>
          </cell>
          <cell r="E69" t="str">
            <v>Post2016</v>
          </cell>
          <cell r="F69" t="str">
            <v>Post2016</v>
          </cell>
        </row>
        <row r="70">
          <cell r="B70" t="str">
            <v>Pre2016</v>
          </cell>
          <cell r="C70" t="str">
            <v>Pre2016</v>
          </cell>
          <cell r="D70" t="str">
            <v>Pre2016</v>
          </cell>
          <cell r="E70" t="str">
            <v>Pre2016</v>
          </cell>
          <cell r="F70" t="str">
            <v>Pre2016</v>
          </cell>
        </row>
        <row r="71">
          <cell r="B71" t="str">
            <v>Pre2016</v>
          </cell>
          <cell r="C71" t="str">
            <v>Pre2016</v>
          </cell>
          <cell r="D71" t="str">
            <v>Pre2016</v>
          </cell>
          <cell r="E71" t="str">
            <v>Pre2016</v>
          </cell>
          <cell r="F71" t="str">
            <v>Pre2016</v>
          </cell>
        </row>
        <row r="72">
          <cell r="B72" t="str">
            <v>Pre2016</v>
          </cell>
          <cell r="C72" t="str">
            <v>Pre2016</v>
          </cell>
          <cell r="D72" t="str">
            <v>Pre2016</v>
          </cell>
          <cell r="E72" t="str">
            <v>Pre2016</v>
          </cell>
          <cell r="F72" t="str">
            <v>Pre2016</v>
          </cell>
        </row>
        <row r="73">
          <cell r="B73" t="str">
            <v>Post2016</v>
          </cell>
          <cell r="C73" t="str">
            <v>Post2016</v>
          </cell>
          <cell r="D73" t="str">
            <v>Post2016</v>
          </cell>
          <cell r="E73" t="str">
            <v>Post2016</v>
          </cell>
          <cell r="F73" t="str">
            <v>Post2016</v>
          </cell>
        </row>
        <row r="74">
          <cell r="B74" t="str">
            <v>Pre2016</v>
          </cell>
          <cell r="C74" t="str">
            <v>Pre2016</v>
          </cell>
          <cell r="D74" t="str">
            <v>Pre2016</v>
          </cell>
          <cell r="E74" t="str">
            <v>Pre2016</v>
          </cell>
          <cell r="F74" t="str">
            <v>Pre2016</v>
          </cell>
        </row>
        <row r="77">
          <cell r="B77" t="str">
            <v>Pre2016</v>
          </cell>
          <cell r="C77" t="str">
            <v>Pre2016</v>
          </cell>
          <cell r="D77" t="str">
            <v>Pre2016</v>
          </cell>
          <cell r="E77" t="str">
            <v>Pre2016</v>
          </cell>
          <cell r="F77" t="str">
            <v>Pre2016</v>
          </cell>
        </row>
      </sheetData>
      <sheetData sheetId="8">
        <row r="8">
          <cell r="B8" t="str">
            <v>Measure Index Name</v>
          </cell>
          <cell r="C8" t="str">
            <v>Single Family</v>
          </cell>
          <cell r="D8" t="str">
            <v>Multifamily - Low Rise</v>
          </cell>
          <cell r="E8" t="str">
            <v>Multifamily - High Rise</v>
          </cell>
          <cell r="F8" t="str">
            <v>Manufactured</v>
          </cell>
        </row>
        <row r="9">
          <cell r="B9" t="str">
            <v>Lighting - New</v>
          </cell>
          <cell r="C9">
            <v>1</v>
          </cell>
          <cell r="D9">
            <v>1</v>
          </cell>
          <cell r="E9">
            <v>1</v>
          </cell>
          <cell r="F9">
            <v>1</v>
          </cell>
        </row>
        <row r="10">
          <cell r="B10" t="str">
            <v>Lighting - NR</v>
          </cell>
          <cell r="C10">
            <v>0.125</v>
          </cell>
          <cell r="D10">
            <v>0.125</v>
          </cell>
          <cell r="E10">
            <v>0.125</v>
          </cell>
          <cell r="F10">
            <v>0.125</v>
          </cell>
        </row>
        <row r="11">
          <cell r="B11" t="str">
            <v>Lighting - PPA</v>
          </cell>
          <cell r="C11" t="str">
            <v/>
          </cell>
          <cell r="D11" t="str">
            <v/>
          </cell>
          <cell r="E11" t="str">
            <v/>
          </cell>
          <cell r="F11" t="str">
            <v/>
          </cell>
        </row>
        <row r="12">
          <cell r="B12" t="str">
            <v>Dishwasher - New</v>
          </cell>
          <cell r="C12">
            <v>1</v>
          </cell>
          <cell r="D12">
            <v>1</v>
          </cell>
          <cell r="E12">
            <v>1</v>
          </cell>
          <cell r="F12">
            <v>1</v>
          </cell>
        </row>
        <row r="13">
          <cell r="B13" t="str">
            <v>Dishwasher - NR</v>
          </cell>
          <cell r="C13">
            <v>6.4935064935064929E-2</v>
          </cell>
          <cell r="D13">
            <v>6.4935064935064929E-2</v>
          </cell>
          <cell r="E13">
            <v>6.4935064935064929E-2</v>
          </cell>
          <cell r="F13">
            <v>6.4935064935064929E-2</v>
          </cell>
        </row>
        <row r="14">
          <cell r="B14" t="str">
            <v>Clothes Washer - New</v>
          </cell>
          <cell r="C14">
            <v>1</v>
          </cell>
          <cell r="D14">
            <v>1</v>
          </cell>
          <cell r="E14">
            <v>1</v>
          </cell>
          <cell r="F14">
            <v>1</v>
          </cell>
        </row>
        <row r="15">
          <cell r="B15" t="str">
            <v>Clothes Washer - NR</v>
          </cell>
          <cell r="C15">
            <v>7.1428571428571425E-2</v>
          </cell>
          <cell r="D15">
            <v>7.1428571428571425E-2</v>
          </cell>
          <cell r="E15">
            <v>7.1428571428571425E-2</v>
          </cell>
          <cell r="F15">
            <v>7.1428571428571425E-2</v>
          </cell>
        </row>
        <row r="16">
          <cell r="B16" t="str">
            <v>WasteWater Heat Recovery - New</v>
          </cell>
          <cell r="C16">
            <v>1</v>
          </cell>
          <cell r="D16">
            <v>1</v>
          </cell>
          <cell r="E16">
            <v>1</v>
          </cell>
          <cell r="F16">
            <v>1</v>
          </cell>
        </row>
        <row r="17">
          <cell r="B17" t="str">
            <v>Showerheads - New</v>
          </cell>
          <cell r="C17">
            <v>1</v>
          </cell>
          <cell r="D17">
            <v>1</v>
          </cell>
          <cell r="E17">
            <v>1</v>
          </cell>
          <cell r="F17">
            <v>1</v>
          </cell>
        </row>
        <row r="18">
          <cell r="B18" t="str">
            <v>Showerheads - Retro</v>
          </cell>
          <cell r="C18" t="str">
            <v/>
          </cell>
          <cell r="D18" t="str">
            <v/>
          </cell>
          <cell r="E18" t="str">
            <v/>
          </cell>
          <cell r="F18" t="str">
            <v/>
          </cell>
        </row>
        <row r="19">
          <cell r="B19" t="str">
            <v>HPWH - New</v>
          </cell>
          <cell r="C19">
            <v>1</v>
          </cell>
          <cell r="D19">
            <v>1</v>
          </cell>
          <cell r="E19">
            <v>1</v>
          </cell>
          <cell r="F19">
            <v>1</v>
          </cell>
        </row>
        <row r="20">
          <cell r="B20" t="str">
            <v>HPWH - NR</v>
          </cell>
          <cell r="C20">
            <v>7.6923076923076927E-2</v>
          </cell>
          <cell r="D20">
            <v>7.6923076923076927E-2</v>
          </cell>
          <cell r="E20">
            <v>7.6923076923076927E-2</v>
          </cell>
          <cell r="F20">
            <v>7.6923076923076927E-2</v>
          </cell>
        </row>
        <row r="21">
          <cell r="B21" t="str">
            <v>EV Supply Equip - NR</v>
          </cell>
          <cell r="C21">
            <v>0.1</v>
          </cell>
          <cell r="D21">
            <v>0.1</v>
          </cell>
          <cell r="E21">
            <v>0.1</v>
          </cell>
          <cell r="F21">
            <v>0.1</v>
          </cell>
        </row>
        <row r="22">
          <cell r="B22" t="str">
            <v>Clothes Dryer - New</v>
          </cell>
          <cell r="C22">
            <v>1</v>
          </cell>
          <cell r="D22">
            <v>1</v>
          </cell>
          <cell r="E22">
            <v>1</v>
          </cell>
          <cell r="F22">
            <v>1</v>
          </cell>
        </row>
        <row r="23">
          <cell r="B23" t="str">
            <v>Clothes Dryer - NR</v>
          </cell>
          <cell r="C23">
            <v>6.25E-2</v>
          </cell>
          <cell r="D23">
            <v>6.25E-2</v>
          </cell>
          <cell r="E23">
            <v>6.25E-2</v>
          </cell>
          <cell r="F23">
            <v>6.25E-2</v>
          </cell>
        </row>
        <row r="24">
          <cell r="B24" t="str">
            <v>Refrigerator - New</v>
          </cell>
          <cell r="C24">
            <v>1</v>
          </cell>
          <cell r="D24">
            <v>1</v>
          </cell>
          <cell r="E24">
            <v>1</v>
          </cell>
          <cell r="F24">
            <v>1</v>
          </cell>
        </row>
        <row r="25">
          <cell r="B25" t="str">
            <v>Refrigerator - NR</v>
          </cell>
          <cell r="C25">
            <v>6.5789473684210523E-2</v>
          </cell>
          <cell r="D25">
            <v>6.5789473684210523E-2</v>
          </cell>
          <cell r="E25">
            <v>6.5789473684210523E-2</v>
          </cell>
          <cell r="F25">
            <v>6.5789473684210523E-2</v>
          </cell>
        </row>
        <row r="26">
          <cell r="B26" t="str">
            <v>Freezer - New</v>
          </cell>
          <cell r="C26">
            <v>1</v>
          </cell>
          <cell r="D26">
            <v>1</v>
          </cell>
          <cell r="E26">
            <v>1</v>
          </cell>
          <cell r="F26">
            <v>1</v>
          </cell>
        </row>
        <row r="27">
          <cell r="B27" t="str">
            <v>Freezer - NR</v>
          </cell>
          <cell r="C27">
            <v>4.6082949308755762E-2</v>
          </cell>
          <cell r="D27">
            <v>4.6082949308755762E-2</v>
          </cell>
          <cell r="E27">
            <v>4.6082949308755762E-2</v>
          </cell>
          <cell r="F27">
            <v>4.6082949308755762E-2</v>
          </cell>
        </row>
        <row r="28">
          <cell r="B28" t="str">
            <v>Solar Water Heater - New</v>
          </cell>
          <cell r="C28">
            <v>1</v>
          </cell>
          <cell r="D28">
            <v>1</v>
          </cell>
          <cell r="E28">
            <v>1</v>
          </cell>
          <cell r="F28">
            <v>1</v>
          </cell>
        </row>
        <row r="29">
          <cell r="B29" t="str">
            <v>Solar Water Heater - NR</v>
          </cell>
          <cell r="C29" t="e">
            <v>#DIV/0!</v>
          </cell>
          <cell r="D29" t="e">
            <v>#DIV/0!</v>
          </cell>
          <cell r="E29" t="e">
            <v>#DIV/0!</v>
          </cell>
          <cell r="F29" t="e">
            <v>#DIV/0!</v>
          </cell>
        </row>
        <row r="30">
          <cell r="B30" t="str">
            <v>Solar Water Heater - Retro</v>
          </cell>
          <cell r="C30" t="str">
            <v/>
          </cell>
          <cell r="D30" t="str">
            <v/>
          </cell>
          <cell r="E30" t="str">
            <v/>
          </cell>
          <cell r="F30" t="str">
            <v/>
          </cell>
        </row>
        <row r="31">
          <cell r="B31">
            <v>0</v>
          </cell>
          <cell r="C31" t="str">
            <v/>
          </cell>
          <cell r="D31" t="str">
            <v/>
          </cell>
          <cell r="E31" t="str">
            <v/>
          </cell>
          <cell r="F31" t="str">
            <v/>
          </cell>
        </row>
        <row r="32">
          <cell r="B32">
            <v>0</v>
          </cell>
          <cell r="C32" t="str">
            <v/>
          </cell>
          <cell r="D32" t="str">
            <v/>
          </cell>
          <cell r="E32" t="str">
            <v/>
          </cell>
          <cell r="F32" t="str">
            <v/>
          </cell>
        </row>
        <row r="33">
          <cell r="B33" t="str">
            <v>Electric Oven - New</v>
          </cell>
          <cell r="C33">
            <v>1</v>
          </cell>
          <cell r="D33">
            <v>1</v>
          </cell>
          <cell r="E33">
            <v>1</v>
          </cell>
          <cell r="F33">
            <v>1</v>
          </cell>
        </row>
        <row r="34">
          <cell r="B34" t="str">
            <v>Electric Oven - NR</v>
          </cell>
          <cell r="C34">
            <v>0.05</v>
          </cell>
          <cell r="D34">
            <v>0.05</v>
          </cell>
          <cell r="E34">
            <v>0.05</v>
          </cell>
          <cell r="F34">
            <v>0.05</v>
          </cell>
        </row>
        <row r="35">
          <cell r="B35" t="str">
            <v>Microwave - New</v>
          </cell>
          <cell r="C35">
            <v>1</v>
          </cell>
          <cell r="D35">
            <v>1</v>
          </cell>
          <cell r="E35">
            <v>1</v>
          </cell>
          <cell r="F35">
            <v>1</v>
          </cell>
        </row>
        <row r="36">
          <cell r="B36" t="str">
            <v>Microwave - NR</v>
          </cell>
          <cell r="C36">
            <v>0.1111111111111111</v>
          </cell>
          <cell r="D36">
            <v>0.1111111111111111</v>
          </cell>
          <cell r="E36">
            <v>0.1111111111111111</v>
          </cell>
          <cell r="F36">
            <v>0.1111111111111111</v>
          </cell>
        </row>
        <row r="37">
          <cell r="B37" t="str">
            <v>Monitor - New</v>
          </cell>
          <cell r="C37">
            <v>1</v>
          </cell>
          <cell r="D37">
            <v>1</v>
          </cell>
          <cell r="E37">
            <v>1</v>
          </cell>
          <cell r="F37">
            <v>1</v>
          </cell>
        </row>
        <row r="38">
          <cell r="B38" t="str">
            <v>Monitor - NR</v>
          </cell>
          <cell r="C38">
            <v>0.2</v>
          </cell>
          <cell r="D38">
            <v>0.2</v>
          </cell>
          <cell r="E38">
            <v>0.2</v>
          </cell>
          <cell r="F38">
            <v>0.2</v>
          </cell>
        </row>
        <row r="39">
          <cell r="B39" t="str">
            <v>Desktop - New</v>
          </cell>
          <cell r="C39">
            <v>1</v>
          </cell>
          <cell r="D39">
            <v>1</v>
          </cell>
          <cell r="E39">
            <v>1</v>
          </cell>
          <cell r="F39">
            <v>1</v>
          </cell>
        </row>
        <row r="40">
          <cell r="B40" t="str">
            <v>Desktop - NR</v>
          </cell>
          <cell r="C40">
            <v>0.25</v>
          </cell>
          <cell r="D40">
            <v>0.25</v>
          </cell>
          <cell r="E40">
            <v>0.25</v>
          </cell>
          <cell r="F40">
            <v>0.25</v>
          </cell>
        </row>
        <row r="41">
          <cell r="B41" t="str">
            <v>Laptop - New</v>
          </cell>
          <cell r="C41">
            <v>1</v>
          </cell>
          <cell r="D41">
            <v>1</v>
          </cell>
          <cell r="E41">
            <v>1</v>
          </cell>
          <cell r="F41">
            <v>1</v>
          </cell>
        </row>
        <row r="42">
          <cell r="B42" t="str">
            <v>Laptop - NR</v>
          </cell>
          <cell r="C42">
            <v>0.25</v>
          </cell>
          <cell r="D42">
            <v>0.25</v>
          </cell>
          <cell r="E42">
            <v>0.25</v>
          </cell>
          <cell r="F42">
            <v>0.25</v>
          </cell>
        </row>
        <row r="43">
          <cell r="B43" t="str">
            <v>Computer - New</v>
          </cell>
          <cell r="C43">
            <v>1</v>
          </cell>
          <cell r="D43">
            <v>1</v>
          </cell>
          <cell r="E43">
            <v>1</v>
          </cell>
          <cell r="F43">
            <v>1</v>
          </cell>
        </row>
        <row r="44">
          <cell r="B44" t="str">
            <v>Computer - NR</v>
          </cell>
          <cell r="C44">
            <v>0.25</v>
          </cell>
          <cell r="D44">
            <v>0.25</v>
          </cell>
          <cell r="E44">
            <v>0.25</v>
          </cell>
          <cell r="F44">
            <v>0.25</v>
          </cell>
        </row>
        <row r="45">
          <cell r="B45" t="str">
            <v>ASHP - New</v>
          </cell>
          <cell r="C45">
            <v>1</v>
          </cell>
          <cell r="D45">
            <v>1</v>
          </cell>
          <cell r="E45">
            <v>1</v>
          </cell>
          <cell r="F45">
            <v>1</v>
          </cell>
        </row>
        <row r="46">
          <cell r="B46" t="str">
            <v>ASHP - NR</v>
          </cell>
          <cell r="C46">
            <v>6.6666666666666666E-2</v>
          </cell>
          <cell r="D46">
            <v>6.6666666666666666E-2</v>
          </cell>
          <cell r="E46">
            <v>6.6666666666666666E-2</v>
          </cell>
          <cell r="F46">
            <v>6.6666666666666666E-2</v>
          </cell>
        </row>
        <row r="47">
          <cell r="B47" t="str">
            <v>HP - Retro</v>
          </cell>
          <cell r="C47" t="str">
            <v/>
          </cell>
          <cell r="D47" t="str">
            <v/>
          </cell>
          <cell r="E47" t="str">
            <v/>
          </cell>
          <cell r="F47" t="str">
            <v/>
          </cell>
        </row>
        <row r="48">
          <cell r="B48" t="str">
            <v>DHP - New</v>
          </cell>
          <cell r="C48">
            <v>1</v>
          </cell>
          <cell r="D48">
            <v>1</v>
          </cell>
          <cell r="E48">
            <v>1</v>
          </cell>
          <cell r="F48">
            <v>1</v>
          </cell>
        </row>
        <row r="49">
          <cell r="B49" t="str">
            <v>DHP - NR</v>
          </cell>
          <cell r="C49">
            <v>6.6666666666666666E-2</v>
          </cell>
          <cell r="D49">
            <v>6.6666666666666666E-2</v>
          </cell>
          <cell r="E49">
            <v>6.6666666666666666E-2</v>
          </cell>
          <cell r="F49">
            <v>6.6666666666666666E-2</v>
          </cell>
        </row>
        <row r="50">
          <cell r="B50" t="str">
            <v>DHP - Retro</v>
          </cell>
          <cell r="C50" t="str">
            <v/>
          </cell>
          <cell r="D50" t="str">
            <v/>
          </cell>
          <cell r="E50" t="str">
            <v/>
          </cell>
          <cell r="F50" t="str">
            <v/>
          </cell>
        </row>
        <row r="51">
          <cell r="B51" t="str">
            <v>Duct Sealing - New</v>
          </cell>
          <cell r="C51">
            <v>1</v>
          </cell>
          <cell r="D51">
            <v>1</v>
          </cell>
          <cell r="E51">
            <v>1</v>
          </cell>
          <cell r="F51">
            <v>1</v>
          </cell>
        </row>
        <row r="52">
          <cell r="B52" t="str">
            <v>Duct Sealing - Retro</v>
          </cell>
          <cell r="C52" t="str">
            <v/>
          </cell>
          <cell r="D52" t="str">
            <v/>
          </cell>
          <cell r="E52" t="str">
            <v/>
          </cell>
          <cell r="F52" t="str">
            <v/>
          </cell>
        </row>
        <row r="53">
          <cell r="B53" t="str">
            <v>WIFI enabled tstats - New</v>
          </cell>
          <cell r="C53">
            <v>1</v>
          </cell>
          <cell r="D53">
            <v>1</v>
          </cell>
          <cell r="E53">
            <v>1</v>
          </cell>
          <cell r="F53">
            <v>1</v>
          </cell>
        </row>
        <row r="54">
          <cell r="B54" t="str">
            <v>WIFI enabled tstats - Retro</v>
          </cell>
          <cell r="C54" t="str">
            <v/>
          </cell>
          <cell r="D54" t="str">
            <v/>
          </cell>
          <cell r="E54" t="str">
            <v/>
          </cell>
          <cell r="F54" t="str">
            <v/>
          </cell>
        </row>
        <row r="55">
          <cell r="B55" t="str">
            <v>Combo DHP/HPWH units - New</v>
          </cell>
          <cell r="C55">
            <v>1</v>
          </cell>
          <cell r="D55">
            <v>1</v>
          </cell>
          <cell r="E55">
            <v>1</v>
          </cell>
          <cell r="F55">
            <v>1</v>
          </cell>
        </row>
        <row r="56">
          <cell r="B56" t="str">
            <v>Combo DHP/HPWH units - NR</v>
          </cell>
          <cell r="C56" t="e">
            <v>#DIV/0!</v>
          </cell>
          <cell r="D56" t="e">
            <v>#DIV/0!</v>
          </cell>
          <cell r="E56" t="e">
            <v>#DIV/0!</v>
          </cell>
          <cell r="F56" t="e">
            <v>#DIV/0!</v>
          </cell>
        </row>
        <row r="57">
          <cell r="B57" t="str">
            <v>Combo DHP/HPWH units - Retro</v>
          </cell>
          <cell r="C57" t="str">
            <v/>
          </cell>
          <cell r="D57" t="str">
            <v/>
          </cell>
          <cell r="E57" t="str">
            <v/>
          </cell>
          <cell r="F57" t="str">
            <v/>
          </cell>
        </row>
        <row r="58">
          <cell r="B58" t="str">
            <v>Aerator - New</v>
          </cell>
          <cell r="C58">
            <v>1</v>
          </cell>
          <cell r="D58">
            <v>1</v>
          </cell>
          <cell r="E58">
            <v>1</v>
          </cell>
          <cell r="F58">
            <v>1</v>
          </cell>
        </row>
        <row r="59">
          <cell r="B59" t="str">
            <v>Aerator - Retro</v>
          </cell>
          <cell r="C59" t="str">
            <v/>
          </cell>
          <cell r="D59" t="str">
            <v/>
          </cell>
          <cell r="E59" t="str">
            <v/>
          </cell>
          <cell r="F59" t="str">
            <v/>
          </cell>
        </row>
        <row r="60">
          <cell r="B60" t="str">
            <v>Behavior - Retro</v>
          </cell>
          <cell r="C60" t="str">
            <v/>
          </cell>
          <cell r="D60" t="str">
            <v/>
          </cell>
          <cell r="E60" t="str">
            <v/>
          </cell>
          <cell r="F60" t="str">
            <v/>
          </cell>
        </row>
        <row r="61">
          <cell r="B61" t="str">
            <v>Behavior - New</v>
          </cell>
          <cell r="C61">
            <v>1</v>
          </cell>
          <cell r="D61">
            <v>1</v>
          </cell>
          <cell r="E61">
            <v>1</v>
          </cell>
          <cell r="F61">
            <v>1</v>
          </cell>
        </row>
        <row r="62">
          <cell r="B62">
            <v>0</v>
          </cell>
          <cell r="C62" t="str">
            <v/>
          </cell>
          <cell r="D62" t="str">
            <v/>
          </cell>
          <cell r="E62" t="str">
            <v/>
          </cell>
          <cell r="F62" t="str">
            <v/>
          </cell>
        </row>
        <row r="63">
          <cell r="B63" t="str">
            <v>Heat Recovery Ventilation - New</v>
          </cell>
          <cell r="C63">
            <v>1</v>
          </cell>
          <cell r="D63">
            <v>1</v>
          </cell>
          <cell r="E63">
            <v>1</v>
          </cell>
          <cell r="F63">
            <v>1</v>
          </cell>
        </row>
        <row r="64">
          <cell r="B64" t="str">
            <v>GSHP - New</v>
          </cell>
          <cell r="C64">
            <v>1</v>
          </cell>
          <cell r="D64">
            <v>1</v>
          </cell>
          <cell r="E64">
            <v>1</v>
          </cell>
          <cell r="F64">
            <v>1</v>
          </cell>
        </row>
        <row r="65">
          <cell r="B65" t="str">
            <v>GSHP - NR</v>
          </cell>
          <cell r="C65">
            <v>6.6666666666666666E-2</v>
          </cell>
          <cell r="D65">
            <v>6.6666666666666666E-2</v>
          </cell>
          <cell r="E65">
            <v>6.6666666666666666E-2</v>
          </cell>
          <cell r="F65">
            <v>6.6666666666666666E-2</v>
          </cell>
        </row>
        <row r="66">
          <cell r="B66">
            <v>0</v>
          </cell>
          <cell r="C66" t="str">
            <v/>
          </cell>
          <cell r="D66" t="str">
            <v/>
          </cell>
          <cell r="E66" t="str">
            <v/>
          </cell>
          <cell r="F66" t="str">
            <v/>
          </cell>
        </row>
        <row r="67">
          <cell r="B67" t="str">
            <v>ECM for HVAC ventilation - New</v>
          </cell>
          <cell r="C67">
            <v>1</v>
          </cell>
          <cell r="D67">
            <v>1</v>
          </cell>
          <cell r="E67">
            <v>1</v>
          </cell>
          <cell r="F67">
            <v>1</v>
          </cell>
        </row>
        <row r="68">
          <cell r="B68" t="str">
            <v>ECM for HVAC ventilation - NR</v>
          </cell>
          <cell r="C68" t="e">
            <v>#DIV/0!</v>
          </cell>
          <cell r="D68" t="e">
            <v>#DIV/0!</v>
          </cell>
          <cell r="E68" t="e">
            <v>#DIV/0!</v>
          </cell>
          <cell r="F68" t="e">
            <v>#DIV/0!</v>
          </cell>
        </row>
        <row r="69">
          <cell r="B69" t="str">
            <v>Whole house/attic fan - New</v>
          </cell>
          <cell r="C69">
            <v>1</v>
          </cell>
          <cell r="D69">
            <v>1</v>
          </cell>
          <cell r="E69">
            <v>1</v>
          </cell>
          <cell r="F69">
            <v>1</v>
          </cell>
        </row>
        <row r="70">
          <cell r="B70" t="str">
            <v>Whole house/attic fan - Retro</v>
          </cell>
          <cell r="C70" t="str">
            <v/>
          </cell>
          <cell r="D70" t="str">
            <v/>
          </cell>
          <cell r="E70" t="str">
            <v/>
          </cell>
          <cell r="F70" t="str">
            <v/>
          </cell>
        </row>
        <row r="71">
          <cell r="B71" t="str">
            <v>WH Pipe insulation - Retro</v>
          </cell>
          <cell r="C71" t="str">
            <v/>
          </cell>
          <cell r="D71" t="str">
            <v/>
          </cell>
          <cell r="E71" t="str">
            <v/>
          </cell>
          <cell r="F71" t="str">
            <v/>
          </cell>
        </row>
        <row r="72">
          <cell r="B72" t="str">
            <v>DHP Ducted - NR</v>
          </cell>
          <cell r="C72">
            <v>6.6666666666666666E-2</v>
          </cell>
          <cell r="D72">
            <v>6.6666666666666666E-2</v>
          </cell>
          <cell r="E72">
            <v>6.6666666666666666E-2</v>
          </cell>
          <cell r="F72">
            <v>6.6666666666666666E-2</v>
          </cell>
        </row>
        <row r="73">
          <cell r="B73" t="str">
            <v>Advanced Power Strips - New</v>
          </cell>
          <cell r="C73">
            <v>1</v>
          </cell>
          <cell r="D73">
            <v>1</v>
          </cell>
          <cell r="E73">
            <v>1</v>
          </cell>
          <cell r="F73">
            <v>1</v>
          </cell>
        </row>
        <row r="74">
          <cell r="B74" t="str">
            <v>Advanced Power Strips - Retro</v>
          </cell>
          <cell r="C74" t="str">
            <v/>
          </cell>
          <cell r="D74" t="str">
            <v/>
          </cell>
          <cell r="E74" t="str">
            <v/>
          </cell>
          <cell r="F74" t="str">
            <v/>
          </cell>
        </row>
        <row r="75">
          <cell r="B75" t="str">
            <v>Controls Commissioning and Sizing - New</v>
          </cell>
          <cell r="C75">
            <v>1</v>
          </cell>
          <cell r="D75">
            <v>1</v>
          </cell>
          <cell r="E75">
            <v>1</v>
          </cell>
          <cell r="F75">
            <v>1</v>
          </cell>
        </row>
        <row r="76">
          <cell r="B76" t="str">
            <v>Controls Commissioning and Sizing - NR</v>
          </cell>
          <cell r="C76">
            <v>6.6666666666666666E-2</v>
          </cell>
          <cell r="D76">
            <v>6.6666666666666666E-2</v>
          </cell>
          <cell r="E76">
            <v>6.6666666666666666E-2</v>
          </cell>
          <cell r="F76">
            <v>6.6666666666666666E-2</v>
          </cell>
        </row>
        <row r="77">
          <cell r="B77" t="str">
            <v>ResWx - Retro</v>
          </cell>
          <cell r="C77" t="str">
            <v/>
          </cell>
          <cell r="D77" t="str">
            <v/>
          </cell>
          <cell r="E77" t="str">
            <v/>
          </cell>
          <cell r="F77" t="str">
            <v/>
          </cell>
        </row>
      </sheetData>
      <sheetData sheetId="9">
        <row r="8">
          <cell r="C8" t="str">
            <v>LO3Slow</v>
          </cell>
          <cell r="D8">
            <v>5.5320496977002724E-3</v>
          </cell>
          <cell r="E8">
            <v>1.4227918344261844E-2</v>
          </cell>
          <cell r="F8">
            <v>3.1619655637384989E-2</v>
          </cell>
        </row>
        <row r="9">
          <cell r="C9" t="str">
            <v>Retro12Med</v>
          </cell>
          <cell r="D9">
            <v>0.10937459468255628</v>
          </cell>
          <cell r="E9">
            <v>0.10937459468255628</v>
          </cell>
          <cell r="F9">
            <v>0.10937459468255628</v>
          </cell>
          <cell r="G9">
            <v>0.10937459468255628</v>
          </cell>
          <cell r="H9">
            <v>0.10937459468255628</v>
          </cell>
          <cell r="I9">
            <v>9.8437135214300656E-2</v>
          </cell>
          <cell r="J9">
            <v>7.874970817144053E-2</v>
          </cell>
          <cell r="K9">
            <v>6.2999766537152418E-2</v>
          </cell>
          <cell r="L9">
            <v>5.0399813229721938E-2</v>
          </cell>
          <cell r="M9">
            <v>4.0319850583777551E-2</v>
          </cell>
          <cell r="N9">
            <v>3.225588046702204E-2</v>
          </cell>
          <cell r="O9">
            <v>2.5804704373617631E-2</v>
          </cell>
          <cell r="P9">
            <v>2.0643763498894106E-2</v>
          </cell>
          <cell r="Q9">
            <v>1.6515010799115284E-2</v>
          </cell>
          <cell r="R9">
            <v>1.3212008639292228E-2</v>
          </cell>
          <cell r="S9">
            <v>1.0569606911433781E-2</v>
          </cell>
          <cell r="T9">
            <v>7.2092823794611682E-5</v>
          </cell>
          <cell r="U9">
            <v>2.5747437069512102E-5</v>
          </cell>
          <cell r="V9">
            <v>8.7775353646568632E-6</v>
          </cell>
          <cell r="W9">
            <v>2.8622397928446119E-6</v>
          </cell>
        </row>
        <row r="10">
          <cell r="C10" t="str">
            <v>Retro5Med</v>
          </cell>
          <cell r="D10">
            <v>4.2999999999999997E-2</v>
          </cell>
          <cell r="E10">
            <v>5.279714228027832E-2</v>
          </cell>
          <cell r="F10">
            <v>6.4608251467478173E-2</v>
          </cell>
          <cell r="G10">
            <v>7.4999999999999997E-2</v>
          </cell>
          <cell r="H10">
            <v>8.5546997470333563E-2</v>
          </cell>
          <cell r="I10">
            <v>0.10001472303820647</v>
          </cell>
          <cell r="J10">
            <v>0.10971770435235073</v>
          </cell>
          <cell r="K10">
            <v>0.11208438511970376</v>
          </cell>
          <cell r="L10">
            <v>0.10562608162722853</v>
          </cell>
          <cell r="M10">
            <v>9.0794563997872335E-2</v>
          </cell>
          <cell r="N10">
            <v>7.0260666991849297E-2</v>
          </cell>
          <cell r="O10">
            <v>4.8218360404944538E-2</v>
          </cell>
          <cell r="P10">
            <v>2.8854234614640095E-2</v>
          </cell>
          <cell r="Q10">
            <v>1.4773964924806759E-2</v>
          </cell>
          <cell r="R10">
            <v>6.3385343681182649E-3</v>
          </cell>
          <cell r="S10">
            <v>2.2268577196306039E-3</v>
          </cell>
          <cell r="T10">
            <v>6.2471001963848583E-4</v>
          </cell>
          <cell r="U10">
            <v>1.3615841889635938E-4</v>
          </cell>
          <cell r="V10">
            <v>2.2380636622298944E-5</v>
          </cell>
          <cell r="W10">
            <v>2.68643837586513E-6</v>
          </cell>
        </row>
        <row r="11">
          <cell r="C11" t="str">
            <v>Retro1Slow</v>
          </cell>
          <cell r="D11">
            <v>2.5643970768378654E-3</v>
          </cell>
          <cell r="E11">
            <v>5.1260615529385989E-3</v>
          </cell>
          <cell r="F11">
            <v>9.1015544176433795E-3</v>
          </cell>
          <cell r="G11">
            <v>1.4804925730045659E-2</v>
          </cell>
          <cell r="H11">
            <v>2.2471809420486211E-2</v>
          </cell>
          <cell r="I11">
            <v>3.2184432813882391E-2</v>
          </cell>
          <cell r="J11">
            <v>4.3779667172004086E-2</v>
          </cell>
          <cell r="K11">
            <v>5.675426075474499E-2</v>
          </cell>
          <cell r="L11">
            <v>7.0195239068707532E-2</v>
          </cell>
          <cell r="M11">
            <v>8.2776861842756788E-2</v>
          </cell>
          <cell r="N11">
            <v>9.2870259507494834E-2</v>
          </cell>
          <cell r="O11">
            <v>9.8796470678915727E-2</v>
          </cell>
          <cell r="P11">
            <v>9.9208932889988999E-2</v>
          </cell>
          <cell r="Q11">
            <v>9.3521150494244254E-2</v>
          </cell>
          <cell r="R11">
            <v>8.2226007896862296E-2</v>
          </cell>
          <cell r="S11">
            <v>6.6933566027365665E-2</v>
          </cell>
          <cell r="T11">
            <v>5.0029565143448806E-2</v>
          </cell>
          <cell r="U11">
            <v>3.402486521893211E-2</v>
          </cell>
          <cell r="V11">
            <v>2.0846059340774659E-2</v>
          </cell>
          <cell r="W11">
            <v>0.01</v>
          </cell>
        </row>
        <row r="12">
          <cell r="C12" t="str">
            <v>Retro50Fast</v>
          </cell>
          <cell r="D12">
            <v>0.45</v>
          </cell>
          <cell r="E12">
            <v>0.21</v>
          </cell>
          <cell r="F12">
            <v>0.14000000000000001</v>
          </cell>
          <cell r="G12">
            <v>0.09</v>
          </cell>
          <cell r="H12">
            <v>5.9540362609726505E-2</v>
          </cell>
          <cell r="I12">
            <v>2.9770181304863419E-2</v>
          </cell>
          <cell r="J12">
            <v>1.3231191691050248E-2</v>
          </cell>
          <cell r="K12">
            <v>5.2924766764202991E-3</v>
          </cell>
          <cell r="L12">
            <v>1.9245369732436846E-3</v>
          </cell>
          <cell r="M12">
            <v>6.415123244144505E-4</v>
          </cell>
          <cell r="N12">
            <v>1.9738840751215569E-4</v>
          </cell>
          <cell r="O12">
            <v>5.6396687860615913E-5</v>
          </cell>
          <cell r="P12">
            <v>1.5039116763038152E-5</v>
          </cell>
          <cell r="Q12">
            <v>3.7597791905374933E-6</v>
          </cell>
          <cell r="R12">
            <v>8.8465392733549919E-7</v>
          </cell>
          <cell r="S12">
            <v>1.9658976146974538E-7</v>
          </cell>
          <cell r="T12">
            <v>4.13873183502389E-8</v>
          </cell>
          <cell r="U12">
            <v>8.2774636034343985E-9</v>
          </cell>
          <cell r="V12">
            <v>1.5766598027155965E-9</v>
          </cell>
          <cell r="W12">
            <v>2.8666535811794347E-10</v>
          </cell>
        </row>
        <row r="13">
          <cell r="C13" t="str">
            <v>Retro20Fast</v>
          </cell>
          <cell r="D13">
            <v>0.22119921692859512</v>
          </cell>
          <cell r="E13">
            <v>0.15504311102289431</v>
          </cell>
          <cell r="F13">
            <v>0.10733128557729499</v>
          </cell>
          <cell r="G13">
            <v>8.3589689255657879E-2</v>
          </cell>
          <cell r="H13">
            <v>7.3237179880126971E-2</v>
          </cell>
          <cell r="I13">
            <v>6.3374636711760357E-2</v>
          </cell>
          <cell r="J13">
            <v>5.4291838367783084E-2</v>
          </cell>
          <cell r="K13">
            <v>4.612639225659896E-2</v>
          </cell>
          <cell r="L13">
            <v>3.8916876277172864E-2</v>
          </cell>
          <cell r="M13">
            <v>3.2639916313151704E-2</v>
          </cell>
          <cell r="N13">
            <v>2.7235706125786907E-2</v>
          </cell>
          <cell r="O13">
            <v>2.1211189258265428E-2</v>
          </cell>
          <cell r="P13">
            <v>1.6519290804212883E-2</v>
          </cell>
          <cell r="Q13">
            <v>1.2865236614105324E-2</v>
          </cell>
          <cell r="R13">
            <v>1.0019456349464106E-2</v>
          </cell>
          <cell r="S13">
            <v>7.8031604509122832E-3</v>
          </cell>
          <cell r="T13">
            <v>6.077107469602494E-3</v>
          </cell>
          <cell r="U13">
            <v>4.7328560561354371E-3</v>
          </cell>
          <cell r="V13">
            <v>3.6859520026825132E-3</v>
          </cell>
          <cell r="W13">
            <v>2.8706223060526725E-3</v>
          </cell>
        </row>
        <row r="14">
          <cell r="C14" t="str">
            <v>RetroEven20</v>
          </cell>
          <cell r="D14">
            <v>0.05</v>
          </cell>
          <cell r="E14">
            <v>0.05</v>
          </cell>
          <cell r="F14">
            <v>0.05</v>
          </cell>
          <cell r="G14">
            <v>0.05</v>
          </cell>
          <cell r="H14">
            <v>0.05</v>
          </cell>
          <cell r="I14">
            <v>0.05</v>
          </cell>
          <cell r="J14">
            <v>0.05</v>
          </cell>
          <cell r="K14">
            <v>0.05</v>
          </cell>
          <cell r="L14">
            <v>0.05</v>
          </cell>
          <cell r="M14">
            <v>0.05</v>
          </cell>
          <cell r="N14">
            <v>0.05</v>
          </cell>
          <cell r="O14">
            <v>0.05</v>
          </cell>
          <cell r="P14">
            <v>0.05</v>
          </cell>
          <cell r="Q14">
            <v>0.05</v>
          </cell>
          <cell r="R14">
            <v>0.05</v>
          </cell>
          <cell r="S14">
            <v>0.05</v>
          </cell>
          <cell r="T14">
            <v>0.05</v>
          </cell>
          <cell r="U14">
            <v>0.05</v>
          </cell>
          <cell r="V14">
            <v>0.05</v>
          </cell>
          <cell r="W14">
            <v>0.05</v>
          </cell>
        </row>
        <row r="15">
          <cell r="C15" t="str">
            <v>RetroMax60</v>
          </cell>
          <cell r="D15">
            <v>0.01</v>
          </cell>
          <cell r="E15">
            <v>1.9799999999999998E-2</v>
          </cell>
          <cell r="F15">
            <v>2.9106E-2</v>
          </cell>
          <cell r="G15">
            <v>3.7643759999999998E-2</v>
          </cell>
          <cell r="H15">
            <v>4.5172511999999984E-2</v>
          </cell>
          <cell r="I15">
            <v>4.8635737920000005E-2</v>
          </cell>
          <cell r="J15">
            <v>4.587971277120001E-2</v>
          </cell>
          <cell r="K15">
            <v>4.3279862380832007E-2</v>
          </cell>
          <cell r="L15">
            <v>4.0827336845918161E-2</v>
          </cell>
          <cell r="M15">
            <v>3.8513787757982809E-2</v>
          </cell>
          <cell r="N15">
            <v>3.6331339785030448E-2</v>
          </cell>
          <cell r="O15">
            <v>3.4272563863878724E-2</v>
          </cell>
          <cell r="P15">
            <v>3.2330451911592284E-2</v>
          </cell>
          <cell r="Q15">
            <v>3.0498392969935395E-2</v>
          </cell>
          <cell r="R15">
            <v>2.8770150701639075E-2</v>
          </cell>
          <cell r="S15">
            <v>2.7139842161879479E-2</v>
          </cell>
          <cell r="T15">
            <v>2.5601917772706373E-2</v>
          </cell>
          <cell r="U15">
            <v>2.4151142432252914E-2</v>
          </cell>
          <cell r="V15">
            <v>2.2782577694425266E-2</v>
          </cell>
          <cell r="W15">
            <v>2.1491564958407872E-2</v>
          </cell>
        </row>
        <row r="16">
          <cell r="C16" t="str">
            <v>Retro3Slow</v>
          </cell>
          <cell r="D16">
            <v>5.5320496977002724E-3</v>
          </cell>
          <cell r="E16">
            <v>8.6958686465615706E-3</v>
          </cell>
          <cell r="F16">
            <v>1.7391737293123145E-2</v>
          </cell>
          <cell r="G16">
            <v>3.0435540262965514E-2</v>
          </cell>
          <cell r="H16">
            <v>4.7344173742390784E-2</v>
          </cell>
          <cell r="I16">
            <v>6.6281843239347063E-2</v>
          </cell>
          <cell r="J16">
            <v>8.4358709577350838E-2</v>
          </cell>
          <cell r="K16">
            <v>9.8418494506909315E-2</v>
          </cell>
          <cell r="L16">
            <v>0.10598914793051767</v>
          </cell>
          <cell r="M16">
            <v>0.10598914793051767</v>
          </cell>
          <cell r="N16">
            <v>9.8923204735149928E-2</v>
          </cell>
          <cell r="O16">
            <v>8.655780414325609E-2</v>
          </cell>
          <cell r="P16">
            <v>7.1282897529740263E-2</v>
          </cell>
          <cell r="Q16">
            <v>5.5442253634242489E-2</v>
          </cell>
          <cell r="R16">
            <v>4.0852186888389319E-2</v>
          </cell>
          <cell r="S16">
            <v>2.8596530821872412E-2</v>
          </cell>
          <cell r="T16">
            <v>1.9064353881248275E-2</v>
          </cell>
          <cell r="U16">
            <v>1.2131861560794377E-2</v>
          </cell>
          <cell r="V16">
            <v>7.3846113848314854E-3</v>
          </cell>
          <cell r="W16">
            <v>4.3076899744848296E-3</v>
          </cell>
        </row>
        <row r="17">
          <cell r="C17" t="str">
            <v>LightingPPA</v>
          </cell>
          <cell r="D17">
            <v>0.5468729734127814</v>
          </cell>
          <cell r="E17">
            <v>0.43749837873022512</v>
          </cell>
          <cell r="F17">
            <v>0.32812378404766884</v>
          </cell>
          <cell r="G17">
            <v>0.21874918936511256</v>
          </cell>
          <cell r="H17">
            <v>0.10937459468255628</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row>
        <row r="19">
          <cell r="A19" t="str">
            <v>End Use</v>
          </cell>
          <cell r="B19" t="str">
            <v>Measure Index Name</v>
          </cell>
          <cell r="C19" t="str">
            <v>Ramp</v>
          </cell>
          <cell r="D19">
            <v>2016</v>
          </cell>
          <cell r="E19">
            <v>2017</v>
          </cell>
          <cell r="F19">
            <v>2018</v>
          </cell>
          <cell r="G19">
            <v>2019</v>
          </cell>
          <cell r="H19">
            <v>2020</v>
          </cell>
          <cell r="I19">
            <v>2021</v>
          </cell>
          <cell r="J19">
            <v>2022</v>
          </cell>
          <cell r="K19">
            <v>2023</v>
          </cell>
          <cell r="L19">
            <v>2024</v>
          </cell>
          <cell r="M19">
            <v>2025</v>
          </cell>
          <cell r="N19">
            <v>2026</v>
          </cell>
          <cell r="O19">
            <v>2027</v>
          </cell>
          <cell r="P19">
            <v>2028</v>
          </cell>
          <cell r="Q19">
            <v>2029</v>
          </cell>
          <cell r="R19">
            <v>2030</v>
          </cell>
          <cell r="S19">
            <v>2031</v>
          </cell>
          <cell r="T19">
            <v>2032</v>
          </cell>
          <cell r="U19">
            <v>2033</v>
          </cell>
          <cell r="V19">
            <v>2034</v>
          </cell>
          <cell r="W19">
            <v>2035</v>
          </cell>
        </row>
        <row r="20">
          <cell r="A20" t="str">
            <v>Lighting</v>
          </cell>
          <cell r="B20" t="str">
            <v>Lighting - New</v>
          </cell>
          <cell r="C20" t="str">
            <v>LO20Fast</v>
          </cell>
          <cell r="D20">
            <v>0.22119921692859512</v>
          </cell>
          <cell r="E20">
            <v>0.37624232795148943</v>
          </cell>
          <cell r="F20">
            <v>0.48357361352878442</v>
          </cell>
          <cell r="G20">
            <v>0.56716330278444227</v>
          </cell>
          <cell r="H20">
            <v>0.64040048266456928</v>
          </cell>
          <cell r="I20">
            <v>0.70377511937632964</v>
          </cell>
          <cell r="J20">
            <v>0.7580669577441127</v>
          </cell>
          <cell r="K20">
            <v>0.80419335000071168</v>
          </cell>
          <cell r="L20">
            <v>0.84311022627788457</v>
          </cell>
          <cell r="M20">
            <v>0.87575014259103623</v>
          </cell>
          <cell r="N20">
            <v>0.90298584871682319</v>
          </cell>
          <cell r="O20">
            <v>0.92419703797508856</v>
          </cell>
          <cell r="P20">
            <v>0.94071632877930145</v>
          </cell>
          <cell r="Q20">
            <v>0.95358156539340677</v>
          </cell>
          <cell r="R20">
            <v>0.96360102174287088</v>
          </cell>
          <cell r="S20">
            <v>0.97140418219378311</v>
          </cell>
          <cell r="T20">
            <v>0.97748128966338554</v>
          </cell>
          <cell r="U20">
            <v>0.98221414571952104</v>
          </cell>
          <cell r="V20">
            <v>0.98590009772220355</v>
          </cell>
          <cell r="W20">
            <v>0.98877072002825628</v>
          </cell>
        </row>
        <row r="21">
          <cell r="A21" t="str">
            <v>Lighting</v>
          </cell>
          <cell r="B21" t="str">
            <v>Lighting - NR</v>
          </cell>
          <cell r="C21" t="str">
            <v>LO20Fast</v>
          </cell>
          <cell r="D21">
            <v>0.22119921692859512</v>
          </cell>
          <cell r="E21">
            <v>0.37624232795148943</v>
          </cell>
          <cell r="F21">
            <v>0.48357361352878442</v>
          </cell>
          <cell r="G21">
            <v>0.56716330278444227</v>
          </cell>
          <cell r="H21">
            <v>0.64040048266456928</v>
          </cell>
          <cell r="I21">
            <v>0.70377511937632964</v>
          </cell>
          <cell r="J21">
            <v>0.7580669577441127</v>
          </cell>
          <cell r="K21">
            <v>0.80419335000071168</v>
          </cell>
          <cell r="L21">
            <v>0.84311022627788457</v>
          </cell>
          <cell r="M21">
            <v>0.87575014259103623</v>
          </cell>
          <cell r="N21">
            <v>0.90298584871682319</v>
          </cell>
          <cell r="O21">
            <v>0.92419703797508856</v>
          </cell>
          <cell r="P21">
            <v>0.94071632877930145</v>
          </cell>
          <cell r="Q21">
            <v>0.95358156539340677</v>
          </cell>
          <cell r="R21">
            <v>0.96360102174287088</v>
          </cell>
          <cell r="S21">
            <v>0.97140418219378311</v>
          </cell>
          <cell r="T21">
            <v>0.97748128966338554</v>
          </cell>
          <cell r="U21">
            <v>0.98221414571952104</v>
          </cell>
          <cell r="V21">
            <v>0.98590009772220355</v>
          </cell>
          <cell r="W21">
            <v>0.98877072002825628</v>
          </cell>
        </row>
        <row r="22">
          <cell r="A22" t="str">
            <v>Lighting</v>
          </cell>
          <cell r="B22" t="str">
            <v>Lighting - PPA</v>
          </cell>
          <cell r="C22" t="str">
            <v>Retro20Fast</v>
          </cell>
          <cell r="D22">
            <v>0.22119921692859512</v>
          </cell>
          <cell r="E22">
            <v>0.15504311102289431</v>
          </cell>
          <cell r="F22">
            <v>0.10733128557729499</v>
          </cell>
          <cell r="G22">
            <v>8.3589689255657879E-2</v>
          </cell>
          <cell r="H22">
            <v>7.3237179880126971E-2</v>
          </cell>
          <cell r="I22">
            <v>6.3374636711760357E-2</v>
          </cell>
          <cell r="J22">
            <v>5.4291838367783084E-2</v>
          </cell>
          <cell r="K22">
            <v>4.612639225659896E-2</v>
          </cell>
          <cell r="L22">
            <v>3.8916876277172864E-2</v>
          </cell>
          <cell r="M22">
            <v>3.2639916313151704E-2</v>
          </cell>
          <cell r="N22">
            <v>2.7235706125786907E-2</v>
          </cell>
          <cell r="O22">
            <v>2.1211189258265428E-2</v>
          </cell>
          <cell r="P22">
            <v>1.6519290804212883E-2</v>
          </cell>
          <cell r="Q22">
            <v>1.2865236614105324E-2</v>
          </cell>
          <cell r="R22">
            <v>1.0019456349464106E-2</v>
          </cell>
          <cell r="S22">
            <v>7.8031604509122832E-3</v>
          </cell>
          <cell r="T22">
            <v>6.077107469602494E-3</v>
          </cell>
          <cell r="U22">
            <v>4.7328560561354371E-3</v>
          </cell>
          <cell r="V22">
            <v>3.6859520026825132E-3</v>
          </cell>
          <cell r="W22">
            <v>2.8706223060526725E-3</v>
          </cell>
        </row>
        <row r="23">
          <cell r="A23" t="str">
            <v>Lighting PPA</v>
          </cell>
          <cell r="B23" t="str">
            <v>Lighting PPA</v>
          </cell>
          <cell r="C23" t="str">
            <v>LightingPPA</v>
          </cell>
          <cell r="D23">
            <v>0.5468729734127814</v>
          </cell>
          <cell r="E23">
            <v>0.43749837873022512</v>
          </cell>
          <cell r="F23">
            <v>0.32812378404766884</v>
          </cell>
          <cell r="G23">
            <v>0.21874918936511256</v>
          </cell>
          <cell r="H23">
            <v>0.10937459468255628</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row>
        <row r="24">
          <cell r="A24" t="str">
            <v>Water Heating</v>
          </cell>
          <cell r="B24" t="str">
            <v>Dishwasher - New</v>
          </cell>
          <cell r="C24" t="str">
            <v>LO12Med</v>
          </cell>
          <cell r="D24">
            <v>0.10937459468255628</v>
          </cell>
          <cell r="E24">
            <v>0.21874918936511256</v>
          </cell>
          <cell r="F24">
            <v>0.32812378404766884</v>
          </cell>
          <cell r="G24">
            <v>0.43749837873022512</v>
          </cell>
          <cell r="H24">
            <v>0.5468729734127814</v>
          </cell>
          <cell r="I24">
            <v>0.64531010862708205</v>
          </cell>
          <cell r="J24">
            <v>0.7240598167985226</v>
          </cell>
          <cell r="K24">
            <v>0.78705958333567505</v>
          </cell>
          <cell r="L24">
            <v>0.83745939656539703</v>
          </cell>
          <cell r="M24">
            <v>0.87777924714917455</v>
          </cell>
          <cell r="N24">
            <v>0.91003512761619654</v>
          </cell>
          <cell r="O24">
            <v>0.93583983198981413</v>
          </cell>
          <cell r="P24">
            <v>0.9564835954887082</v>
          </cell>
          <cell r="Q24">
            <v>0.97299860628782353</v>
          </cell>
          <cell r="R24">
            <v>0.9862106149271157</v>
          </cell>
          <cell r="S24">
            <v>0.99678022183854953</v>
          </cell>
          <cell r="T24">
            <v>0.99685231466234414</v>
          </cell>
          <cell r="U24">
            <v>0.99687806209941365</v>
          </cell>
          <cell r="V24">
            <v>0.99688683963477831</v>
          </cell>
          <cell r="W24">
            <v>0.99688970187457115</v>
          </cell>
        </row>
        <row r="25">
          <cell r="A25" t="str">
            <v>Water Heating</v>
          </cell>
          <cell r="B25" t="str">
            <v>Dishwasher - NR</v>
          </cell>
          <cell r="C25" t="str">
            <v>LO12Med</v>
          </cell>
          <cell r="D25">
            <v>0.10937459468255628</v>
          </cell>
          <cell r="E25">
            <v>0.21874918936511256</v>
          </cell>
          <cell r="F25">
            <v>0.32812378404766884</v>
          </cell>
          <cell r="G25">
            <v>0.43749837873022512</v>
          </cell>
          <cell r="H25">
            <v>0.5468729734127814</v>
          </cell>
          <cell r="I25">
            <v>0.64531010862708205</v>
          </cell>
          <cell r="J25">
            <v>0.7240598167985226</v>
          </cell>
          <cell r="K25">
            <v>0.78705958333567505</v>
          </cell>
          <cell r="L25">
            <v>0.83745939656539703</v>
          </cell>
          <cell r="M25">
            <v>0.87777924714917455</v>
          </cell>
          <cell r="N25">
            <v>0.91003512761619654</v>
          </cell>
          <cell r="O25">
            <v>0.93583983198981413</v>
          </cell>
          <cell r="P25">
            <v>0.9564835954887082</v>
          </cell>
          <cell r="Q25">
            <v>0.97299860628782353</v>
          </cell>
          <cell r="R25">
            <v>0.9862106149271157</v>
          </cell>
          <cell r="S25">
            <v>0.99678022183854953</v>
          </cell>
          <cell r="T25">
            <v>0.99685231466234414</v>
          </cell>
          <cell r="U25">
            <v>0.99687806209941365</v>
          </cell>
          <cell r="V25">
            <v>0.99688683963477831</v>
          </cell>
          <cell r="W25">
            <v>0.99688970187457115</v>
          </cell>
        </row>
        <row r="26">
          <cell r="A26" t="str">
            <v>Water Heating</v>
          </cell>
          <cell r="B26" t="str">
            <v>Clothes Washer - New</v>
          </cell>
          <cell r="C26" t="str">
            <v>LO12Med</v>
          </cell>
          <cell r="D26">
            <v>0.10937459468255628</v>
          </cell>
          <cell r="E26">
            <v>0.21874918936511256</v>
          </cell>
          <cell r="F26">
            <v>0.32812378404766884</v>
          </cell>
          <cell r="G26">
            <v>0.43749837873022512</v>
          </cell>
          <cell r="H26">
            <v>0.5468729734127814</v>
          </cell>
          <cell r="I26">
            <v>0.64531010862708205</v>
          </cell>
          <cell r="J26">
            <v>0.7240598167985226</v>
          </cell>
          <cell r="K26">
            <v>0.78705958333567505</v>
          </cell>
          <cell r="L26">
            <v>0.83745939656539703</v>
          </cell>
          <cell r="M26">
            <v>0.87777924714917455</v>
          </cell>
          <cell r="N26">
            <v>0.91003512761619654</v>
          </cell>
          <cell r="O26">
            <v>0.93583983198981413</v>
          </cell>
          <cell r="P26">
            <v>0.9564835954887082</v>
          </cell>
          <cell r="Q26">
            <v>0.97299860628782353</v>
          </cell>
          <cell r="R26">
            <v>0.9862106149271157</v>
          </cell>
          <cell r="S26">
            <v>0.99678022183854953</v>
          </cell>
          <cell r="T26">
            <v>0.99685231466234414</v>
          </cell>
          <cell r="U26">
            <v>0.99687806209941365</v>
          </cell>
          <cell r="V26">
            <v>0.99688683963477831</v>
          </cell>
          <cell r="W26">
            <v>0.99688970187457115</v>
          </cell>
        </row>
        <row r="27">
          <cell r="A27" t="str">
            <v>Water Heating</v>
          </cell>
          <cell r="B27" t="str">
            <v>Clothes Washer - NR</v>
          </cell>
          <cell r="C27" t="str">
            <v>LO12Med</v>
          </cell>
          <cell r="D27">
            <v>0.10937459468255628</v>
          </cell>
          <cell r="E27">
            <v>0.21874918936511256</v>
          </cell>
          <cell r="F27">
            <v>0.32812378404766884</v>
          </cell>
          <cell r="G27">
            <v>0.43749837873022512</v>
          </cell>
          <cell r="H27">
            <v>0.5468729734127814</v>
          </cell>
          <cell r="I27">
            <v>0.64531010862708205</v>
          </cell>
          <cell r="J27">
            <v>0.7240598167985226</v>
          </cell>
          <cell r="K27">
            <v>0.78705958333567505</v>
          </cell>
          <cell r="L27">
            <v>0.83745939656539703</v>
          </cell>
          <cell r="M27">
            <v>0.87777924714917455</v>
          </cell>
          <cell r="N27">
            <v>0.91003512761619654</v>
          </cell>
          <cell r="O27">
            <v>0.93583983198981413</v>
          </cell>
          <cell r="P27">
            <v>0.9564835954887082</v>
          </cell>
          <cell r="Q27">
            <v>0.97299860628782353</v>
          </cell>
          <cell r="R27">
            <v>0.9862106149271157</v>
          </cell>
          <cell r="S27">
            <v>0.99678022183854953</v>
          </cell>
          <cell r="T27">
            <v>0.99685231466234414</v>
          </cell>
          <cell r="U27">
            <v>0.99687806209941365</v>
          </cell>
          <cell r="V27">
            <v>0.99688683963477831</v>
          </cell>
          <cell r="W27">
            <v>0.99688970187457115</v>
          </cell>
        </row>
        <row r="28">
          <cell r="A28" t="str">
            <v>Water Heating</v>
          </cell>
          <cell r="B28" t="str">
            <v>WasteWater Heat Recovery - New</v>
          </cell>
          <cell r="C28" t="str">
            <v>LO1Slow</v>
          </cell>
          <cell r="D28">
            <v>2.5643970768378654E-3</v>
          </cell>
          <cell r="E28">
            <v>7.6904586297764643E-3</v>
          </cell>
          <cell r="F28">
            <v>1.6792013047419844E-2</v>
          </cell>
          <cell r="G28">
            <v>3.15969387774655E-2</v>
          </cell>
          <cell r="H28">
            <v>5.406874819795171E-2</v>
          </cell>
          <cell r="I28">
            <v>8.6253181011834101E-2</v>
          </cell>
          <cell r="J28">
            <v>0.1300328481838382</v>
          </cell>
          <cell r="K28">
            <v>0.18678710893858319</v>
          </cell>
          <cell r="L28">
            <v>0.2569823480072907</v>
          </cell>
          <cell r="M28">
            <v>0.33975920985004748</v>
          </cell>
          <cell r="N28">
            <v>0.43262946935754232</v>
          </cell>
          <cell r="O28">
            <v>0.53142594003645804</v>
          </cell>
          <cell r="P28">
            <v>0.63063487292644704</v>
          </cell>
          <cell r="Q28">
            <v>0.7241560234206913</v>
          </cell>
          <cell r="R28">
            <v>0.80638203131755359</v>
          </cell>
          <cell r="S28">
            <v>0.87331559734491926</v>
          </cell>
          <cell r="T28">
            <v>0.92334516248836807</v>
          </cell>
          <cell r="U28">
            <v>0.95737002770730018</v>
          </cell>
          <cell r="V28">
            <v>0.97821608704807483</v>
          </cell>
          <cell r="W28">
            <v>0.98821608704807484</v>
          </cell>
        </row>
        <row r="29">
          <cell r="A29" t="str">
            <v>Water Heating</v>
          </cell>
          <cell r="B29" t="str">
            <v>Showerheads - New</v>
          </cell>
          <cell r="C29" t="str">
            <v>LO12MEd</v>
          </cell>
          <cell r="D29">
            <v>0.10937459468255628</v>
          </cell>
          <cell r="E29">
            <v>0.21874918936511256</v>
          </cell>
          <cell r="F29">
            <v>0.32812378404766884</v>
          </cell>
          <cell r="G29">
            <v>0.43749837873022512</v>
          </cell>
          <cell r="H29">
            <v>0.5468729734127814</v>
          </cell>
          <cell r="I29">
            <v>0.64531010862708205</v>
          </cell>
          <cell r="J29">
            <v>0.7240598167985226</v>
          </cell>
          <cell r="K29">
            <v>0.78705958333567505</v>
          </cell>
          <cell r="L29">
            <v>0.83745939656539703</v>
          </cell>
          <cell r="M29">
            <v>0.87777924714917455</v>
          </cell>
          <cell r="N29">
            <v>0.91003512761619654</v>
          </cell>
          <cell r="O29">
            <v>0.93583983198981413</v>
          </cell>
          <cell r="P29">
            <v>0.9564835954887082</v>
          </cell>
          <cell r="Q29">
            <v>0.97299860628782353</v>
          </cell>
          <cell r="R29">
            <v>0.9862106149271157</v>
          </cell>
          <cell r="S29">
            <v>0.99678022183854953</v>
          </cell>
          <cell r="T29">
            <v>0.99685231466234414</v>
          </cell>
          <cell r="U29">
            <v>0.99687806209941365</v>
          </cell>
          <cell r="V29">
            <v>0.99688683963477831</v>
          </cell>
          <cell r="W29">
            <v>0.99688970187457115</v>
          </cell>
        </row>
        <row r="30">
          <cell r="A30" t="str">
            <v>Water Heating</v>
          </cell>
          <cell r="B30" t="str">
            <v>Showerheads - Retro</v>
          </cell>
          <cell r="C30" t="str">
            <v>Retro12Med</v>
          </cell>
          <cell r="D30">
            <v>0.10937459468255628</v>
          </cell>
          <cell r="E30">
            <v>0.10937459468255628</v>
          </cell>
          <cell r="F30">
            <v>0.10937459468255628</v>
          </cell>
          <cell r="G30">
            <v>0.10937459468255628</v>
          </cell>
          <cell r="H30">
            <v>0.10937459468255628</v>
          </cell>
          <cell r="I30">
            <v>9.8437135214300656E-2</v>
          </cell>
          <cell r="J30">
            <v>7.874970817144053E-2</v>
          </cell>
          <cell r="K30">
            <v>6.2999766537152418E-2</v>
          </cell>
          <cell r="L30">
            <v>5.0399813229721938E-2</v>
          </cell>
          <cell r="M30">
            <v>4.0319850583777551E-2</v>
          </cell>
          <cell r="N30">
            <v>3.225588046702204E-2</v>
          </cell>
          <cell r="O30">
            <v>2.5804704373617631E-2</v>
          </cell>
          <cell r="P30">
            <v>2.0643763498894106E-2</v>
          </cell>
          <cell r="Q30">
            <v>1.6515010799115284E-2</v>
          </cell>
          <cell r="R30">
            <v>1.3212008639292228E-2</v>
          </cell>
          <cell r="S30">
            <v>1.0569606911433781E-2</v>
          </cell>
          <cell r="T30">
            <v>7.2092823794611682E-5</v>
          </cell>
          <cell r="U30">
            <v>2.5747437069512102E-5</v>
          </cell>
          <cell r="V30">
            <v>8.7775353646568632E-6</v>
          </cell>
          <cell r="W30">
            <v>2.8622397928446119E-6</v>
          </cell>
        </row>
        <row r="31">
          <cell r="A31" t="str">
            <v>Water Heating</v>
          </cell>
          <cell r="B31" t="str">
            <v>HPWH - New</v>
          </cell>
          <cell r="C31" t="str">
            <v>LO3Slow</v>
          </cell>
          <cell r="D31">
            <v>5.5320496977002724E-3</v>
          </cell>
          <cell r="E31">
            <v>1.4227918344261844E-2</v>
          </cell>
          <cell r="F31">
            <v>3.1619655637384989E-2</v>
          </cell>
          <cell r="G31">
            <v>6.2055195900350503E-2</v>
          </cell>
          <cell r="H31">
            <v>0.10939936964274129</v>
          </cell>
          <cell r="I31">
            <v>0.17568121288208835</v>
          </cell>
          <cell r="J31">
            <v>0.26003992245943919</v>
          </cell>
          <cell r="K31">
            <v>0.3584584169663485</v>
          </cell>
          <cell r="L31">
            <v>0.46444756489686617</v>
          </cell>
          <cell r="M31">
            <v>0.57043671282738384</v>
          </cell>
          <cell r="N31">
            <v>0.66935991756253377</v>
          </cell>
          <cell r="O31">
            <v>0.75591772170578986</v>
          </cell>
          <cell r="P31">
            <v>0.82720061923553012</v>
          </cell>
          <cell r="Q31">
            <v>0.88264287286977261</v>
          </cell>
          <cell r="R31">
            <v>0.92349505975816193</v>
          </cell>
          <cell r="S31">
            <v>0.95209159058003434</v>
          </cell>
          <cell r="T31">
            <v>0.97115594446128262</v>
          </cell>
          <cell r="U31">
            <v>0.98328780602207699</v>
          </cell>
          <cell r="V31">
            <v>0.99067241740690848</v>
          </cell>
          <cell r="W31">
            <v>0.99498010738139331</v>
          </cell>
        </row>
        <row r="32">
          <cell r="A32" t="str">
            <v>Water Heating</v>
          </cell>
          <cell r="B32" t="str">
            <v>HPWH - NR</v>
          </cell>
          <cell r="C32" t="str">
            <v>LO3Slow</v>
          </cell>
          <cell r="D32">
            <v>5.5320496977002724E-3</v>
          </cell>
          <cell r="E32">
            <v>1.4227918344261844E-2</v>
          </cell>
          <cell r="F32">
            <v>3.1619655637384989E-2</v>
          </cell>
          <cell r="G32">
            <v>6.2055195900350503E-2</v>
          </cell>
          <cell r="H32">
            <v>0.10939936964274129</v>
          </cell>
          <cell r="I32">
            <v>0.17568121288208835</v>
          </cell>
          <cell r="J32">
            <v>0.26003992245943919</v>
          </cell>
          <cell r="K32">
            <v>0.3584584169663485</v>
          </cell>
          <cell r="L32">
            <v>0.46444756489686617</v>
          </cell>
          <cell r="M32">
            <v>0.57043671282738384</v>
          </cell>
          <cell r="N32">
            <v>0.66935991756253377</v>
          </cell>
          <cell r="O32">
            <v>0.75591772170578986</v>
          </cell>
          <cell r="P32">
            <v>0.82720061923553012</v>
          </cell>
          <cell r="Q32">
            <v>0.88264287286977261</v>
          </cell>
          <cell r="R32">
            <v>0.92349505975816193</v>
          </cell>
          <cell r="S32">
            <v>0.95209159058003434</v>
          </cell>
          <cell r="T32">
            <v>0.97115594446128262</v>
          </cell>
          <cell r="U32">
            <v>0.98328780602207699</v>
          </cell>
          <cell r="V32">
            <v>0.99067241740690848</v>
          </cell>
          <cell r="W32">
            <v>0.99498010738139331</v>
          </cell>
        </row>
        <row r="33">
          <cell r="A33" t="str">
            <v>Whole Bldg/Meter Level</v>
          </cell>
          <cell r="B33" t="str">
            <v>EV Supply Equip - NR</v>
          </cell>
          <cell r="C33" t="str">
            <v>LOMax60</v>
          </cell>
          <cell r="D33">
            <v>0.01</v>
          </cell>
          <cell r="E33">
            <v>2.98E-2</v>
          </cell>
          <cell r="F33">
            <v>5.8906E-2</v>
          </cell>
          <cell r="G33">
            <v>9.6549759999999998E-2</v>
          </cell>
          <cell r="H33">
            <v>0.14172227199999998</v>
          </cell>
          <cell r="I33">
            <v>0.19035800991999999</v>
          </cell>
          <cell r="J33">
            <v>0.2362377226912</v>
          </cell>
          <cell r="K33">
            <v>0.279517585072032</v>
          </cell>
          <cell r="L33">
            <v>0.32034492191795017</v>
          </cell>
          <cell r="M33">
            <v>0.35885870967593297</v>
          </cell>
          <cell r="N33">
            <v>0.39519004946096342</v>
          </cell>
          <cell r="O33">
            <v>0.42946261332484215</v>
          </cell>
          <cell r="P33">
            <v>0.46179306523643443</v>
          </cell>
          <cell r="Q33">
            <v>0.49229145820636983</v>
          </cell>
          <cell r="R33">
            <v>0.5210616089080089</v>
          </cell>
          <cell r="S33">
            <v>0.54820145106988838</v>
          </cell>
          <cell r="T33">
            <v>0.57380336884259475</v>
          </cell>
          <cell r="U33">
            <v>0.59795451127484767</v>
          </cell>
          <cell r="V33">
            <v>0.62073708896927293</v>
          </cell>
          <cell r="W33">
            <v>0.6422286539276808</v>
          </cell>
        </row>
        <row r="34">
          <cell r="A34" t="str">
            <v>Dryer</v>
          </cell>
          <cell r="B34" t="str">
            <v>Clothes Dryer - New</v>
          </cell>
          <cell r="C34" t="str">
            <v>LOMax60</v>
          </cell>
          <cell r="D34">
            <v>0.01</v>
          </cell>
          <cell r="E34">
            <v>2.98E-2</v>
          </cell>
          <cell r="F34">
            <v>5.8906E-2</v>
          </cell>
          <cell r="G34">
            <v>9.6549759999999998E-2</v>
          </cell>
          <cell r="H34">
            <v>0.14172227199999998</v>
          </cell>
          <cell r="I34">
            <v>0.19035800991999999</v>
          </cell>
          <cell r="J34">
            <v>0.2362377226912</v>
          </cell>
          <cell r="K34">
            <v>0.279517585072032</v>
          </cell>
          <cell r="L34">
            <v>0.32034492191795017</v>
          </cell>
          <cell r="M34">
            <v>0.35885870967593297</v>
          </cell>
          <cell r="N34">
            <v>0.39519004946096342</v>
          </cell>
          <cell r="O34">
            <v>0.42946261332484215</v>
          </cell>
          <cell r="P34">
            <v>0.46179306523643443</v>
          </cell>
          <cell r="Q34">
            <v>0.49229145820636983</v>
          </cell>
          <cell r="R34">
            <v>0.5210616089080089</v>
          </cell>
          <cell r="S34">
            <v>0.54820145106988838</v>
          </cell>
          <cell r="T34">
            <v>0.57380336884259475</v>
          </cell>
          <cell r="U34">
            <v>0.59795451127484767</v>
          </cell>
          <cell r="V34">
            <v>0.62073708896927293</v>
          </cell>
          <cell r="W34">
            <v>0.6422286539276808</v>
          </cell>
        </row>
        <row r="35">
          <cell r="A35" t="str">
            <v>Dryer</v>
          </cell>
          <cell r="B35" t="str">
            <v>Clothes Dryer - NR</v>
          </cell>
          <cell r="C35" t="str">
            <v>LOMax60</v>
          </cell>
          <cell r="D35">
            <v>0.01</v>
          </cell>
          <cell r="E35">
            <v>2.98E-2</v>
          </cell>
          <cell r="F35">
            <v>5.8906E-2</v>
          </cell>
          <cell r="G35">
            <v>9.6549759999999998E-2</v>
          </cell>
          <cell r="H35">
            <v>0.14172227199999998</v>
          </cell>
          <cell r="I35">
            <v>0.19035800991999999</v>
          </cell>
          <cell r="J35">
            <v>0.2362377226912</v>
          </cell>
          <cell r="K35">
            <v>0.279517585072032</v>
          </cell>
          <cell r="L35">
            <v>0.32034492191795017</v>
          </cell>
          <cell r="M35">
            <v>0.35885870967593297</v>
          </cell>
          <cell r="N35">
            <v>0.39519004946096342</v>
          </cell>
          <cell r="O35">
            <v>0.42946261332484215</v>
          </cell>
          <cell r="P35">
            <v>0.46179306523643443</v>
          </cell>
          <cell r="Q35">
            <v>0.49229145820636983</v>
          </cell>
          <cell r="R35">
            <v>0.5210616089080089</v>
          </cell>
          <cell r="S35">
            <v>0.54820145106988838</v>
          </cell>
          <cell r="T35">
            <v>0.57380336884259475</v>
          </cell>
          <cell r="U35">
            <v>0.59795451127484767</v>
          </cell>
          <cell r="V35">
            <v>0.62073708896927293</v>
          </cell>
          <cell r="W35">
            <v>0.6422286539276808</v>
          </cell>
        </row>
        <row r="36">
          <cell r="A36" t="str">
            <v>Refrigeration</v>
          </cell>
          <cell r="B36" t="str">
            <v>Refrigerator - New</v>
          </cell>
          <cell r="C36" t="str">
            <v>LO1Slow</v>
          </cell>
          <cell r="D36">
            <v>2.5643970768378654E-3</v>
          </cell>
          <cell r="E36">
            <v>7.6904586297764643E-3</v>
          </cell>
          <cell r="F36">
            <v>1.6792013047419844E-2</v>
          </cell>
          <cell r="G36">
            <v>3.15969387774655E-2</v>
          </cell>
          <cell r="H36">
            <v>5.406874819795171E-2</v>
          </cell>
          <cell r="I36">
            <v>8.6253181011834101E-2</v>
          </cell>
          <cell r="J36">
            <v>0.1300328481838382</v>
          </cell>
          <cell r="K36">
            <v>0.18678710893858319</v>
          </cell>
          <cell r="L36">
            <v>0.2569823480072907</v>
          </cell>
          <cell r="M36">
            <v>0.33975920985004748</v>
          </cell>
          <cell r="N36">
            <v>0.43262946935754232</v>
          </cell>
          <cell r="O36">
            <v>0.53142594003645804</v>
          </cell>
          <cell r="P36">
            <v>0.63063487292644704</v>
          </cell>
          <cell r="Q36">
            <v>0.7241560234206913</v>
          </cell>
          <cell r="R36">
            <v>0.80638203131755359</v>
          </cell>
          <cell r="S36">
            <v>0.87331559734491926</v>
          </cell>
          <cell r="T36">
            <v>0.92334516248836807</v>
          </cell>
          <cell r="U36">
            <v>0.95737002770730018</v>
          </cell>
          <cell r="V36">
            <v>0.97821608704807483</v>
          </cell>
          <cell r="W36">
            <v>0.98821608704807484</v>
          </cell>
        </row>
        <row r="37">
          <cell r="A37" t="str">
            <v>Refrigeration</v>
          </cell>
          <cell r="B37" t="str">
            <v>Refrigerator - NR</v>
          </cell>
          <cell r="C37" t="str">
            <v>LO1Slow</v>
          </cell>
          <cell r="D37">
            <v>2.5643970768378654E-3</v>
          </cell>
          <cell r="E37">
            <v>7.6904586297764643E-3</v>
          </cell>
          <cell r="F37">
            <v>1.6792013047419844E-2</v>
          </cell>
          <cell r="G37">
            <v>3.15969387774655E-2</v>
          </cell>
          <cell r="H37">
            <v>5.406874819795171E-2</v>
          </cell>
          <cell r="I37">
            <v>8.6253181011834101E-2</v>
          </cell>
          <cell r="J37">
            <v>0.1300328481838382</v>
          </cell>
          <cell r="K37">
            <v>0.18678710893858319</v>
          </cell>
          <cell r="L37">
            <v>0.2569823480072907</v>
          </cell>
          <cell r="M37">
            <v>0.33975920985004748</v>
          </cell>
          <cell r="N37">
            <v>0.43262946935754232</v>
          </cell>
          <cell r="O37">
            <v>0.53142594003645804</v>
          </cell>
          <cell r="P37">
            <v>0.63063487292644704</v>
          </cell>
          <cell r="Q37">
            <v>0.7241560234206913</v>
          </cell>
          <cell r="R37">
            <v>0.80638203131755359</v>
          </cell>
          <cell r="S37">
            <v>0.87331559734491926</v>
          </cell>
          <cell r="T37">
            <v>0.92334516248836807</v>
          </cell>
          <cell r="U37">
            <v>0.95737002770730018</v>
          </cell>
          <cell r="V37">
            <v>0.97821608704807483</v>
          </cell>
          <cell r="W37">
            <v>0.98821608704807484</v>
          </cell>
        </row>
        <row r="38">
          <cell r="A38" t="str">
            <v>Refrigeration</v>
          </cell>
          <cell r="B38" t="str">
            <v>Freezer - New</v>
          </cell>
          <cell r="C38" t="str">
            <v>LO1Slow</v>
          </cell>
          <cell r="D38">
            <v>2.5643970768378654E-3</v>
          </cell>
          <cell r="E38">
            <v>7.6904586297764643E-3</v>
          </cell>
          <cell r="F38">
            <v>1.6792013047419844E-2</v>
          </cell>
          <cell r="G38">
            <v>3.15969387774655E-2</v>
          </cell>
          <cell r="H38">
            <v>5.406874819795171E-2</v>
          </cell>
          <cell r="I38">
            <v>8.6253181011834101E-2</v>
          </cell>
          <cell r="J38">
            <v>0.1300328481838382</v>
          </cell>
          <cell r="K38">
            <v>0.18678710893858319</v>
          </cell>
          <cell r="L38">
            <v>0.2569823480072907</v>
          </cell>
          <cell r="M38">
            <v>0.33975920985004748</v>
          </cell>
          <cell r="N38">
            <v>0.43262946935754232</v>
          </cell>
          <cell r="O38">
            <v>0.53142594003645804</v>
          </cell>
          <cell r="P38">
            <v>0.63063487292644704</v>
          </cell>
          <cell r="Q38">
            <v>0.7241560234206913</v>
          </cell>
          <cell r="R38">
            <v>0.80638203131755359</v>
          </cell>
          <cell r="S38">
            <v>0.87331559734491926</v>
          </cell>
          <cell r="T38">
            <v>0.92334516248836807</v>
          </cell>
          <cell r="U38">
            <v>0.95737002770730018</v>
          </cell>
          <cell r="V38">
            <v>0.97821608704807483</v>
          </cell>
          <cell r="W38">
            <v>0.98821608704807484</v>
          </cell>
        </row>
        <row r="39">
          <cell r="A39" t="str">
            <v>Refrigeration</v>
          </cell>
          <cell r="B39" t="str">
            <v>Freezer - NR</v>
          </cell>
          <cell r="C39" t="str">
            <v>LO1Slow</v>
          </cell>
          <cell r="D39">
            <v>2.5643970768378654E-3</v>
          </cell>
          <cell r="E39">
            <v>7.6904586297764643E-3</v>
          </cell>
          <cell r="F39">
            <v>1.6792013047419844E-2</v>
          </cell>
          <cell r="G39">
            <v>3.15969387774655E-2</v>
          </cell>
          <cell r="H39">
            <v>5.406874819795171E-2</v>
          </cell>
          <cell r="I39">
            <v>8.6253181011834101E-2</v>
          </cell>
          <cell r="J39">
            <v>0.1300328481838382</v>
          </cell>
          <cell r="K39">
            <v>0.18678710893858319</v>
          </cell>
          <cell r="L39">
            <v>0.2569823480072907</v>
          </cell>
          <cell r="M39">
            <v>0.33975920985004748</v>
          </cell>
          <cell r="N39">
            <v>0.43262946935754232</v>
          </cell>
          <cell r="O39">
            <v>0.53142594003645804</v>
          </cell>
          <cell r="P39">
            <v>0.63063487292644704</v>
          </cell>
          <cell r="Q39">
            <v>0.7241560234206913</v>
          </cell>
          <cell r="R39">
            <v>0.80638203131755359</v>
          </cell>
          <cell r="S39">
            <v>0.87331559734491926</v>
          </cell>
          <cell r="T39">
            <v>0.92334516248836807</v>
          </cell>
          <cell r="U39">
            <v>0.95737002770730018</v>
          </cell>
          <cell r="V39">
            <v>0.97821608704807483</v>
          </cell>
          <cell r="W39">
            <v>0.98821608704807484</v>
          </cell>
        </row>
        <row r="40">
          <cell r="A40" t="str">
            <v>Water Heating</v>
          </cell>
          <cell r="B40" t="str">
            <v>Solar Water Heater - New</v>
          </cell>
          <cell r="C40" t="str">
            <v>LOMax60</v>
          </cell>
          <cell r="D40">
            <v>0.01</v>
          </cell>
          <cell r="E40">
            <v>2.98E-2</v>
          </cell>
          <cell r="F40">
            <v>5.8906E-2</v>
          </cell>
          <cell r="G40">
            <v>9.6549759999999998E-2</v>
          </cell>
          <cell r="H40">
            <v>0.14172227199999998</v>
          </cell>
          <cell r="I40">
            <v>0.19035800991999999</v>
          </cell>
          <cell r="J40">
            <v>0.2362377226912</v>
          </cell>
          <cell r="K40">
            <v>0.279517585072032</v>
          </cell>
          <cell r="L40">
            <v>0.32034492191795017</v>
          </cell>
          <cell r="M40">
            <v>0.35885870967593297</v>
          </cell>
          <cell r="N40">
            <v>0.39519004946096342</v>
          </cell>
          <cell r="O40">
            <v>0.42946261332484215</v>
          </cell>
          <cell r="P40">
            <v>0.46179306523643443</v>
          </cell>
          <cell r="Q40">
            <v>0.49229145820636983</v>
          </cell>
          <cell r="R40">
            <v>0.5210616089080089</v>
          </cell>
          <cell r="S40">
            <v>0.54820145106988838</v>
          </cell>
          <cell r="T40">
            <v>0.57380336884259475</v>
          </cell>
          <cell r="U40">
            <v>0.59795451127484767</v>
          </cell>
          <cell r="V40">
            <v>0.62073708896927293</v>
          </cell>
          <cell r="W40">
            <v>0.6422286539276808</v>
          </cell>
        </row>
        <row r="41">
          <cell r="A41" t="str">
            <v>Water Heating</v>
          </cell>
          <cell r="B41" t="str">
            <v>Solar Water Heater - NR</v>
          </cell>
          <cell r="C41" t="str">
            <v>LOMax60</v>
          </cell>
          <cell r="D41">
            <v>0.01</v>
          </cell>
          <cell r="E41">
            <v>2.98E-2</v>
          </cell>
          <cell r="F41">
            <v>5.8906E-2</v>
          </cell>
          <cell r="G41">
            <v>9.6549759999999998E-2</v>
          </cell>
          <cell r="H41">
            <v>0.14172227199999998</v>
          </cell>
          <cell r="I41">
            <v>0.19035800991999999</v>
          </cell>
          <cell r="J41">
            <v>0.2362377226912</v>
          </cell>
          <cell r="K41">
            <v>0.279517585072032</v>
          </cell>
          <cell r="L41">
            <v>0.32034492191795017</v>
          </cell>
          <cell r="M41">
            <v>0.35885870967593297</v>
          </cell>
          <cell r="N41">
            <v>0.39519004946096342</v>
          </cell>
          <cell r="O41">
            <v>0.42946261332484215</v>
          </cell>
          <cell r="P41">
            <v>0.46179306523643443</v>
          </cell>
          <cell r="Q41">
            <v>0.49229145820636983</v>
          </cell>
          <cell r="R41">
            <v>0.5210616089080089</v>
          </cell>
          <cell r="S41">
            <v>0.54820145106988838</v>
          </cell>
          <cell r="T41">
            <v>0.57380336884259475</v>
          </cell>
          <cell r="U41">
            <v>0.59795451127484767</v>
          </cell>
          <cell r="V41">
            <v>0.62073708896927293</v>
          </cell>
          <cell r="W41">
            <v>0.6422286539276808</v>
          </cell>
        </row>
        <row r="42">
          <cell r="A42" t="str">
            <v>Water Heating</v>
          </cell>
          <cell r="B42" t="str">
            <v>Solar Water Heater - Retro</v>
          </cell>
          <cell r="C42" t="str">
            <v>RetroMax60</v>
          </cell>
          <cell r="D42">
            <v>0.01</v>
          </cell>
          <cell r="E42">
            <v>1.9799999999999998E-2</v>
          </cell>
          <cell r="F42">
            <v>2.9106E-2</v>
          </cell>
          <cell r="G42">
            <v>3.7643759999999998E-2</v>
          </cell>
          <cell r="H42">
            <v>4.5172511999999984E-2</v>
          </cell>
          <cell r="I42">
            <v>4.8635737920000005E-2</v>
          </cell>
          <cell r="J42">
            <v>4.587971277120001E-2</v>
          </cell>
          <cell r="K42">
            <v>4.3279862380832007E-2</v>
          </cell>
          <cell r="L42">
            <v>4.0827336845918161E-2</v>
          </cell>
          <cell r="M42">
            <v>3.8513787757982809E-2</v>
          </cell>
          <cell r="N42">
            <v>3.6331339785030448E-2</v>
          </cell>
          <cell r="O42">
            <v>3.4272563863878724E-2</v>
          </cell>
          <cell r="P42">
            <v>3.2330451911592284E-2</v>
          </cell>
          <cell r="Q42">
            <v>3.0498392969935395E-2</v>
          </cell>
          <cell r="R42">
            <v>2.8770150701639075E-2</v>
          </cell>
          <cell r="S42">
            <v>2.7139842161879479E-2</v>
          </cell>
          <cell r="T42">
            <v>2.5601917772706373E-2</v>
          </cell>
          <cell r="U42">
            <v>2.4151142432252914E-2</v>
          </cell>
          <cell r="V42">
            <v>2.2782577694425266E-2</v>
          </cell>
          <cell r="W42">
            <v>2.1491564958407872E-2</v>
          </cell>
        </row>
        <row r="43">
          <cell r="A43">
            <v>0</v>
          </cell>
          <cell r="B43">
            <v>0</v>
          </cell>
          <cell r="C43" t="str">
            <v>LOMax60</v>
          </cell>
          <cell r="D43">
            <v>0.01</v>
          </cell>
          <cell r="E43">
            <v>2.98E-2</v>
          </cell>
          <cell r="F43">
            <v>5.8906E-2</v>
          </cell>
          <cell r="G43">
            <v>9.6549759999999998E-2</v>
          </cell>
          <cell r="H43">
            <v>0.14172227199999998</v>
          </cell>
          <cell r="I43">
            <v>0.19035800991999999</v>
          </cell>
          <cell r="J43">
            <v>0.2362377226912</v>
          </cell>
          <cell r="K43">
            <v>0.279517585072032</v>
          </cell>
          <cell r="L43">
            <v>0.32034492191795017</v>
          </cell>
          <cell r="M43">
            <v>0.35885870967593297</v>
          </cell>
          <cell r="N43">
            <v>0.39519004946096342</v>
          </cell>
          <cell r="O43">
            <v>0.42946261332484215</v>
          </cell>
          <cell r="P43">
            <v>0.46179306523643443</v>
          </cell>
          <cell r="Q43">
            <v>0.49229145820636983</v>
          </cell>
          <cell r="R43">
            <v>0.5210616089080089</v>
          </cell>
          <cell r="S43">
            <v>0.54820145106988838</v>
          </cell>
          <cell r="T43">
            <v>0.57380336884259475</v>
          </cell>
          <cell r="U43">
            <v>0.59795451127484767</v>
          </cell>
          <cell r="V43">
            <v>0.62073708896927293</v>
          </cell>
          <cell r="W43">
            <v>0.6422286539276808</v>
          </cell>
        </row>
        <row r="44">
          <cell r="A44">
            <v>0</v>
          </cell>
          <cell r="B44">
            <v>0</v>
          </cell>
          <cell r="C44" t="str">
            <v>RetroMax60</v>
          </cell>
          <cell r="D44">
            <v>0.01</v>
          </cell>
          <cell r="E44">
            <v>1.9799999999999998E-2</v>
          </cell>
          <cell r="F44">
            <v>2.9106E-2</v>
          </cell>
          <cell r="G44">
            <v>3.7643759999999998E-2</v>
          </cell>
          <cell r="H44">
            <v>4.5172511999999984E-2</v>
          </cell>
          <cell r="I44">
            <v>4.8635737920000005E-2</v>
          </cell>
          <cell r="J44">
            <v>4.587971277120001E-2</v>
          </cell>
          <cell r="K44">
            <v>4.3279862380832007E-2</v>
          </cell>
          <cell r="L44">
            <v>4.0827336845918161E-2</v>
          </cell>
          <cell r="M44">
            <v>3.8513787757982809E-2</v>
          </cell>
          <cell r="N44">
            <v>3.6331339785030448E-2</v>
          </cell>
          <cell r="O44">
            <v>3.4272563863878724E-2</v>
          </cell>
          <cell r="P44">
            <v>3.2330451911592284E-2</v>
          </cell>
          <cell r="Q44">
            <v>3.0498392969935395E-2</v>
          </cell>
          <cell r="R44">
            <v>2.8770150701639075E-2</v>
          </cell>
          <cell r="S44">
            <v>2.7139842161879479E-2</v>
          </cell>
          <cell r="T44">
            <v>2.5601917772706373E-2</v>
          </cell>
          <cell r="U44">
            <v>2.4151142432252914E-2</v>
          </cell>
          <cell r="V44">
            <v>2.2782577694425266E-2</v>
          </cell>
          <cell r="W44">
            <v>2.1491564958407872E-2</v>
          </cell>
        </row>
        <row r="45">
          <cell r="A45" t="str">
            <v>Food Preparation</v>
          </cell>
          <cell r="B45" t="str">
            <v>Electric Oven - New</v>
          </cell>
          <cell r="C45" t="str">
            <v>LO20Fast</v>
          </cell>
          <cell r="D45">
            <v>0.22119921692859512</v>
          </cell>
          <cell r="E45">
            <v>0.37624232795148943</v>
          </cell>
          <cell r="F45">
            <v>0.48357361352878442</v>
          </cell>
          <cell r="G45">
            <v>0.56716330278444227</v>
          </cell>
          <cell r="H45">
            <v>0.64040048266456928</v>
          </cell>
          <cell r="I45">
            <v>0.70377511937632964</v>
          </cell>
          <cell r="J45">
            <v>0.7580669577441127</v>
          </cell>
          <cell r="K45">
            <v>0.80419335000071168</v>
          </cell>
          <cell r="L45">
            <v>0.84311022627788457</v>
          </cell>
          <cell r="M45">
            <v>0.87575014259103623</v>
          </cell>
          <cell r="N45">
            <v>0.90298584871682319</v>
          </cell>
          <cell r="O45">
            <v>0.92419703797508856</v>
          </cell>
          <cell r="P45">
            <v>0.94071632877930145</v>
          </cell>
          <cell r="Q45">
            <v>0.95358156539340677</v>
          </cell>
          <cell r="R45">
            <v>0.96360102174287088</v>
          </cell>
          <cell r="S45">
            <v>0.97140418219378311</v>
          </cell>
          <cell r="T45">
            <v>0.97748128966338554</v>
          </cell>
          <cell r="U45">
            <v>0.98221414571952104</v>
          </cell>
          <cell r="V45">
            <v>0.98590009772220355</v>
          </cell>
          <cell r="W45">
            <v>0.98877072002825628</v>
          </cell>
        </row>
        <row r="46">
          <cell r="A46" t="str">
            <v>Food Preparation</v>
          </cell>
          <cell r="B46" t="str">
            <v>Electric Oven - NR</v>
          </cell>
          <cell r="C46" t="str">
            <v>LO20Fast</v>
          </cell>
          <cell r="D46">
            <v>0.22119921692859512</v>
          </cell>
          <cell r="E46">
            <v>0.37624232795148943</v>
          </cell>
          <cell r="F46">
            <v>0.48357361352878442</v>
          </cell>
          <cell r="G46">
            <v>0.56716330278444227</v>
          </cell>
          <cell r="H46">
            <v>0.64040048266456928</v>
          </cell>
          <cell r="I46">
            <v>0.70377511937632964</v>
          </cell>
          <cell r="J46">
            <v>0.7580669577441127</v>
          </cell>
          <cell r="K46">
            <v>0.80419335000071168</v>
          </cell>
          <cell r="L46">
            <v>0.84311022627788457</v>
          </cell>
          <cell r="M46">
            <v>0.87575014259103623</v>
          </cell>
          <cell r="N46">
            <v>0.90298584871682319</v>
          </cell>
          <cell r="O46">
            <v>0.92419703797508856</v>
          </cell>
          <cell r="P46">
            <v>0.94071632877930145</v>
          </cell>
          <cell r="Q46">
            <v>0.95358156539340677</v>
          </cell>
          <cell r="R46">
            <v>0.96360102174287088</v>
          </cell>
          <cell r="S46">
            <v>0.97140418219378311</v>
          </cell>
          <cell r="T46">
            <v>0.97748128966338554</v>
          </cell>
          <cell r="U46">
            <v>0.98221414571952104</v>
          </cell>
          <cell r="V46">
            <v>0.98590009772220355</v>
          </cell>
          <cell r="W46">
            <v>0.98877072002825628</v>
          </cell>
        </row>
        <row r="47">
          <cell r="A47" t="str">
            <v>Food Preparation</v>
          </cell>
          <cell r="B47" t="str">
            <v>Microwave - New</v>
          </cell>
          <cell r="C47" t="str">
            <v>LO12Med</v>
          </cell>
          <cell r="D47">
            <v>0.10937459468255628</v>
          </cell>
          <cell r="E47">
            <v>0.21874918936511256</v>
          </cell>
          <cell r="F47">
            <v>0.32812378404766884</v>
          </cell>
          <cell r="G47">
            <v>0.43749837873022512</v>
          </cell>
          <cell r="H47">
            <v>0.5468729734127814</v>
          </cell>
          <cell r="I47">
            <v>0.64531010862708205</v>
          </cell>
          <cell r="J47">
            <v>0.7240598167985226</v>
          </cell>
          <cell r="K47">
            <v>0.78705958333567505</v>
          </cell>
          <cell r="L47">
            <v>0.83745939656539703</v>
          </cell>
          <cell r="M47">
            <v>0.87777924714917455</v>
          </cell>
          <cell r="N47">
            <v>0.91003512761619654</v>
          </cell>
          <cell r="O47">
            <v>0.93583983198981413</v>
          </cell>
          <cell r="P47">
            <v>0.9564835954887082</v>
          </cell>
          <cell r="Q47">
            <v>0.97299860628782353</v>
          </cell>
          <cell r="R47">
            <v>0.9862106149271157</v>
          </cell>
          <cell r="S47">
            <v>0.99678022183854953</v>
          </cell>
          <cell r="T47">
            <v>0.99685231466234414</v>
          </cell>
          <cell r="U47">
            <v>0.99687806209941365</v>
          </cell>
          <cell r="V47">
            <v>0.99688683963477831</v>
          </cell>
          <cell r="W47">
            <v>0.99688970187457115</v>
          </cell>
        </row>
        <row r="48">
          <cell r="A48" t="str">
            <v>Food Preparation</v>
          </cell>
          <cell r="B48" t="str">
            <v>Microwave - NR</v>
          </cell>
          <cell r="C48" t="str">
            <v>LO12Med</v>
          </cell>
          <cell r="D48">
            <v>0.10937459468255628</v>
          </cell>
          <cell r="E48">
            <v>0.21874918936511256</v>
          </cell>
          <cell r="F48">
            <v>0.32812378404766884</v>
          </cell>
          <cell r="G48">
            <v>0.43749837873022512</v>
          </cell>
          <cell r="H48">
            <v>0.5468729734127814</v>
          </cell>
          <cell r="I48">
            <v>0.64531010862708205</v>
          </cell>
          <cell r="J48">
            <v>0.7240598167985226</v>
          </cell>
          <cell r="K48">
            <v>0.78705958333567505</v>
          </cell>
          <cell r="L48">
            <v>0.83745939656539703</v>
          </cell>
          <cell r="M48">
            <v>0.87777924714917455</v>
          </cell>
          <cell r="N48">
            <v>0.91003512761619654</v>
          </cell>
          <cell r="O48">
            <v>0.93583983198981413</v>
          </cell>
          <cell r="P48">
            <v>0.9564835954887082</v>
          </cell>
          <cell r="Q48">
            <v>0.97299860628782353</v>
          </cell>
          <cell r="R48">
            <v>0.9862106149271157</v>
          </cell>
          <cell r="S48">
            <v>0.99678022183854953</v>
          </cell>
          <cell r="T48">
            <v>0.99685231466234414</v>
          </cell>
          <cell r="U48">
            <v>0.99687806209941365</v>
          </cell>
          <cell r="V48">
            <v>0.99688683963477831</v>
          </cell>
          <cell r="W48">
            <v>0.99688970187457115</v>
          </cell>
        </row>
        <row r="49">
          <cell r="A49" t="str">
            <v>Electronics</v>
          </cell>
          <cell r="B49" t="str">
            <v>Monitor - New</v>
          </cell>
          <cell r="C49" t="str">
            <v>LO50Fast</v>
          </cell>
          <cell r="D49">
            <v>0.45</v>
          </cell>
          <cell r="E49">
            <v>0.66</v>
          </cell>
          <cell r="F49">
            <v>0.8</v>
          </cell>
          <cell r="G49">
            <v>0.89</v>
          </cell>
          <cell r="H49">
            <v>0.94954036260972652</v>
          </cell>
          <cell r="I49">
            <v>0.97931054391458994</v>
          </cell>
          <cell r="J49">
            <v>0.99254173560564019</v>
          </cell>
          <cell r="K49">
            <v>0.99783421228206048</v>
          </cell>
          <cell r="L49">
            <v>0.99975874925530417</v>
          </cell>
          <cell r="M49">
            <v>1.0004002615797187</v>
          </cell>
          <cell r="N49">
            <v>1.0005976499872309</v>
          </cell>
          <cell r="O49">
            <v>1.0006540466750915</v>
          </cell>
          <cell r="P49">
            <v>1.0006690857918545</v>
          </cell>
          <cell r="Q49">
            <v>1.000672845571045</v>
          </cell>
          <cell r="R49">
            <v>1.0006737302249724</v>
          </cell>
          <cell r="S49">
            <v>1.0006739268147338</v>
          </cell>
          <cell r="T49">
            <v>1.0006739682020522</v>
          </cell>
          <cell r="U49">
            <v>1.0006739764795158</v>
          </cell>
          <cell r="V49">
            <v>1.0006739780561755</v>
          </cell>
          <cell r="W49">
            <v>1.0006739783428409</v>
          </cell>
        </row>
        <row r="50">
          <cell r="A50" t="str">
            <v>Electronics</v>
          </cell>
          <cell r="B50" t="str">
            <v>Monitor - NR</v>
          </cell>
          <cell r="C50" t="str">
            <v>LO50Fast</v>
          </cell>
          <cell r="D50">
            <v>0.45</v>
          </cell>
          <cell r="E50">
            <v>0.66</v>
          </cell>
          <cell r="F50">
            <v>0.8</v>
          </cell>
          <cell r="G50">
            <v>0.89</v>
          </cell>
          <cell r="H50">
            <v>0.94954036260972652</v>
          </cell>
          <cell r="I50">
            <v>0.97931054391458994</v>
          </cell>
          <cell r="J50">
            <v>0.99254173560564019</v>
          </cell>
          <cell r="K50">
            <v>0.99783421228206048</v>
          </cell>
          <cell r="L50">
            <v>0.99975874925530417</v>
          </cell>
          <cell r="M50">
            <v>1.0004002615797187</v>
          </cell>
          <cell r="N50">
            <v>1.0005976499872309</v>
          </cell>
          <cell r="O50">
            <v>1.0006540466750915</v>
          </cell>
          <cell r="P50">
            <v>1.0006690857918545</v>
          </cell>
          <cell r="Q50">
            <v>1.000672845571045</v>
          </cell>
          <cell r="R50">
            <v>1.0006737302249724</v>
          </cell>
          <cell r="S50">
            <v>1.0006739268147338</v>
          </cell>
          <cell r="T50">
            <v>1.0006739682020522</v>
          </cell>
          <cell r="U50">
            <v>1.0006739764795158</v>
          </cell>
          <cell r="V50">
            <v>1.0006739780561755</v>
          </cell>
          <cell r="W50">
            <v>1.0006739783428409</v>
          </cell>
        </row>
        <row r="51">
          <cell r="A51" t="str">
            <v>Electronics</v>
          </cell>
          <cell r="B51" t="str">
            <v>Desktop - New</v>
          </cell>
          <cell r="C51" t="str">
            <v>LO50Fast</v>
          </cell>
          <cell r="D51">
            <v>0.45</v>
          </cell>
          <cell r="E51">
            <v>0.66</v>
          </cell>
          <cell r="F51">
            <v>0.8</v>
          </cell>
          <cell r="G51">
            <v>0.89</v>
          </cell>
          <cell r="H51">
            <v>0.94954036260972652</v>
          </cell>
          <cell r="I51">
            <v>0.97931054391458994</v>
          </cell>
          <cell r="J51">
            <v>0.99254173560564019</v>
          </cell>
          <cell r="K51">
            <v>0.99783421228206048</v>
          </cell>
          <cell r="L51">
            <v>0.99975874925530417</v>
          </cell>
          <cell r="M51">
            <v>1.0004002615797187</v>
          </cell>
          <cell r="N51">
            <v>1.0005976499872309</v>
          </cell>
          <cell r="O51">
            <v>1.0006540466750915</v>
          </cell>
          <cell r="P51">
            <v>1.0006690857918545</v>
          </cell>
          <cell r="Q51">
            <v>1.000672845571045</v>
          </cell>
          <cell r="R51">
            <v>1.0006737302249724</v>
          </cell>
          <cell r="S51">
            <v>1.0006739268147338</v>
          </cell>
          <cell r="T51">
            <v>1.0006739682020522</v>
          </cell>
          <cell r="U51">
            <v>1.0006739764795158</v>
          </cell>
          <cell r="V51">
            <v>1.0006739780561755</v>
          </cell>
          <cell r="W51">
            <v>1.0006739783428409</v>
          </cell>
        </row>
        <row r="52">
          <cell r="A52" t="str">
            <v>Electronics</v>
          </cell>
          <cell r="B52" t="str">
            <v>Desktop - NR</v>
          </cell>
          <cell r="C52" t="str">
            <v>LO50Fast</v>
          </cell>
          <cell r="D52">
            <v>0.45</v>
          </cell>
          <cell r="E52">
            <v>0.66</v>
          </cell>
          <cell r="F52">
            <v>0.8</v>
          </cell>
          <cell r="G52">
            <v>0.89</v>
          </cell>
          <cell r="H52">
            <v>0.94954036260972652</v>
          </cell>
          <cell r="I52">
            <v>0.97931054391458994</v>
          </cell>
          <cell r="J52">
            <v>0.99254173560564019</v>
          </cell>
          <cell r="K52">
            <v>0.99783421228206048</v>
          </cell>
          <cell r="L52">
            <v>0.99975874925530417</v>
          </cell>
          <cell r="M52">
            <v>1.0004002615797187</v>
          </cell>
          <cell r="N52">
            <v>1.0005976499872309</v>
          </cell>
          <cell r="O52">
            <v>1.0006540466750915</v>
          </cell>
          <cell r="P52">
            <v>1.0006690857918545</v>
          </cell>
          <cell r="Q52">
            <v>1.000672845571045</v>
          </cell>
          <cell r="R52">
            <v>1.0006737302249724</v>
          </cell>
          <cell r="S52">
            <v>1.0006739268147338</v>
          </cell>
          <cell r="T52">
            <v>1.0006739682020522</v>
          </cell>
          <cell r="U52">
            <v>1.0006739764795158</v>
          </cell>
          <cell r="V52">
            <v>1.0006739780561755</v>
          </cell>
          <cell r="W52">
            <v>1.0006739783428409</v>
          </cell>
        </row>
        <row r="53">
          <cell r="A53" t="str">
            <v>Electronics</v>
          </cell>
          <cell r="B53" t="str">
            <v>Laptop - New</v>
          </cell>
          <cell r="C53" t="str">
            <v>LO50Fast</v>
          </cell>
          <cell r="D53">
            <v>0.45</v>
          </cell>
          <cell r="E53">
            <v>0.66</v>
          </cell>
          <cell r="F53">
            <v>0.8</v>
          </cell>
          <cell r="G53">
            <v>0.89</v>
          </cell>
          <cell r="H53">
            <v>0.94954036260972652</v>
          </cell>
          <cell r="I53">
            <v>0.97931054391458994</v>
          </cell>
          <cell r="J53">
            <v>0.99254173560564019</v>
          </cell>
          <cell r="K53">
            <v>0.99783421228206048</v>
          </cell>
          <cell r="L53">
            <v>0.99975874925530417</v>
          </cell>
          <cell r="M53">
            <v>1.0004002615797187</v>
          </cell>
          <cell r="N53">
            <v>1.0005976499872309</v>
          </cell>
          <cell r="O53">
            <v>1.0006540466750915</v>
          </cell>
          <cell r="P53">
            <v>1.0006690857918545</v>
          </cell>
          <cell r="Q53">
            <v>1.000672845571045</v>
          </cell>
          <cell r="R53">
            <v>1.0006737302249724</v>
          </cell>
          <cell r="S53">
            <v>1.0006739268147338</v>
          </cell>
          <cell r="T53">
            <v>1.0006739682020522</v>
          </cell>
          <cell r="U53">
            <v>1.0006739764795158</v>
          </cell>
          <cell r="V53">
            <v>1.0006739780561755</v>
          </cell>
          <cell r="W53">
            <v>1.0006739783428409</v>
          </cell>
        </row>
        <row r="54">
          <cell r="A54" t="str">
            <v>Electronics</v>
          </cell>
          <cell r="B54" t="str">
            <v>Laptop - NR</v>
          </cell>
          <cell r="C54" t="str">
            <v>LO50Fast</v>
          </cell>
          <cell r="D54">
            <v>0.45</v>
          </cell>
          <cell r="E54">
            <v>0.66</v>
          </cell>
          <cell r="F54">
            <v>0.8</v>
          </cell>
          <cell r="G54">
            <v>0.89</v>
          </cell>
          <cell r="H54">
            <v>0.94954036260972652</v>
          </cell>
          <cell r="I54">
            <v>0.97931054391458994</v>
          </cell>
          <cell r="J54">
            <v>0.99254173560564019</v>
          </cell>
          <cell r="K54">
            <v>0.99783421228206048</v>
          </cell>
          <cell r="L54">
            <v>0.99975874925530417</v>
          </cell>
          <cell r="M54">
            <v>1.0004002615797187</v>
          </cell>
          <cell r="N54">
            <v>1.0005976499872309</v>
          </cell>
          <cell r="O54">
            <v>1.0006540466750915</v>
          </cell>
          <cell r="P54">
            <v>1.0006690857918545</v>
          </cell>
          <cell r="Q54">
            <v>1.000672845571045</v>
          </cell>
          <cell r="R54">
            <v>1.0006737302249724</v>
          </cell>
          <cell r="S54">
            <v>1.0006739268147338</v>
          </cell>
          <cell r="T54">
            <v>1.0006739682020522</v>
          </cell>
          <cell r="U54">
            <v>1.0006739764795158</v>
          </cell>
          <cell r="V54">
            <v>1.0006739780561755</v>
          </cell>
          <cell r="W54">
            <v>1.0006739783428409</v>
          </cell>
        </row>
        <row r="55">
          <cell r="A55" t="str">
            <v>Electronics</v>
          </cell>
          <cell r="B55" t="str">
            <v>Computer - New</v>
          </cell>
          <cell r="C55" t="str">
            <v>LO50Fast</v>
          </cell>
          <cell r="D55">
            <v>0.45</v>
          </cell>
          <cell r="E55">
            <v>0.66</v>
          </cell>
          <cell r="F55">
            <v>0.8</v>
          </cell>
          <cell r="G55">
            <v>0.89</v>
          </cell>
          <cell r="H55">
            <v>0.94954036260972652</v>
          </cell>
          <cell r="I55">
            <v>0.97931054391458994</v>
          </cell>
          <cell r="J55">
            <v>0.99254173560564019</v>
          </cell>
          <cell r="K55">
            <v>0.99783421228206048</v>
          </cell>
          <cell r="L55">
            <v>0.99975874925530417</v>
          </cell>
          <cell r="M55">
            <v>1.0004002615797187</v>
          </cell>
          <cell r="N55">
            <v>1.0005976499872309</v>
          </cell>
          <cell r="O55">
            <v>1.0006540466750915</v>
          </cell>
          <cell r="P55">
            <v>1.0006690857918545</v>
          </cell>
          <cell r="Q55">
            <v>1.000672845571045</v>
          </cell>
          <cell r="R55">
            <v>1.0006737302249724</v>
          </cell>
          <cell r="S55">
            <v>1.0006739268147338</v>
          </cell>
          <cell r="T55">
            <v>1.0006739682020522</v>
          </cell>
          <cell r="U55">
            <v>1.0006739764795158</v>
          </cell>
          <cell r="V55">
            <v>1.0006739780561755</v>
          </cell>
          <cell r="W55">
            <v>1.0006739783428409</v>
          </cell>
        </row>
        <row r="56">
          <cell r="A56" t="str">
            <v>Electronics</v>
          </cell>
          <cell r="B56" t="str">
            <v>Computer - NR</v>
          </cell>
          <cell r="C56" t="str">
            <v>LO50Fast</v>
          </cell>
          <cell r="D56">
            <v>0.45</v>
          </cell>
          <cell r="E56">
            <v>0.66</v>
          </cell>
          <cell r="F56">
            <v>0.8</v>
          </cell>
          <cell r="G56">
            <v>0.89</v>
          </cell>
          <cell r="H56">
            <v>0.94954036260972652</v>
          </cell>
          <cell r="I56">
            <v>0.97931054391458994</v>
          </cell>
          <cell r="J56">
            <v>0.99254173560564019</v>
          </cell>
          <cell r="K56">
            <v>0.99783421228206048</v>
          </cell>
          <cell r="L56">
            <v>0.99975874925530417</v>
          </cell>
          <cell r="M56">
            <v>1.0004002615797187</v>
          </cell>
          <cell r="N56">
            <v>1.0005976499872309</v>
          </cell>
          <cell r="O56">
            <v>1.0006540466750915</v>
          </cell>
          <cell r="P56">
            <v>1.0006690857918545</v>
          </cell>
          <cell r="Q56">
            <v>1.000672845571045</v>
          </cell>
          <cell r="R56">
            <v>1.0006737302249724</v>
          </cell>
          <cell r="S56">
            <v>1.0006739268147338</v>
          </cell>
          <cell r="T56">
            <v>1.0006739682020522</v>
          </cell>
          <cell r="U56">
            <v>1.0006739764795158</v>
          </cell>
          <cell r="V56">
            <v>1.0006739780561755</v>
          </cell>
          <cell r="W56">
            <v>1.0006739783428409</v>
          </cell>
        </row>
        <row r="57">
          <cell r="A57" t="str">
            <v>HVAC</v>
          </cell>
          <cell r="B57" t="str">
            <v>ASHP - New</v>
          </cell>
          <cell r="C57" t="str">
            <v>LO5Med</v>
          </cell>
          <cell r="D57">
            <v>4.2999999999999997E-2</v>
          </cell>
          <cell r="E57">
            <v>9.5797142280278316E-2</v>
          </cell>
          <cell r="F57">
            <v>0.16040539374775648</v>
          </cell>
          <cell r="G57">
            <v>0.23540539374775649</v>
          </cell>
          <cell r="H57">
            <v>0.32095239121809005</v>
          </cell>
          <cell r="I57">
            <v>0.42096711425629652</v>
          </cell>
          <cell r="J57">
            <v>0.53068481860864725</v>
          </cell>
          <cell r="K57">
            <v>0.642769203728351</v>
          </cell>
          <cell r="L57">
            <v>0.74839528535557953</v>
          </cell>
          <cell r="M57">
            <v>0.83918984935345187</v>
          </cell>
          <cell r="N57">
            <v>0.90945051634530116</v>
          </cell>
          <cell r="O57">
            <v>0.9576688767502457</v>
          </cell>
          <cell r="P57">
            <v>0.9865231113648858</v>
          </cell>
          <cell r="Q57">
            <v>1.0012970762896924</v>
          </cell>
          <cell r="R57">
            <v>1.0076356106578106</v>
          </cell>
          <cell r="S57">
            <v>1.0098624683774413</v>
          </cell>
          <cell r="T57">
            <v>1.0104871783970797</v>
          </cell>
          <cell r="U57">
            <v>1.010623336815976</v>
          </cell>
          <cell r="V57">
            <v>1.0106457174525985</v>
          </cell>
          <cell r="W57">
            <v>1.0106484038909742</v>
          </cell>
        </row>
        <row r="58">
          <cell r="A58" t="str">
            <v>HVAC</v>
          </cell>
          <cell r="B58" t="str">
            <v>ASHP - NR</v>
          </cell>
          <cell r="C58" t="str">
            <v>LO5Med</v>
          </cell>
          <cell r="D58">
            <v>4.2999999999999997E-2</v>
          </cell>
          <cell r="E58">
            <v>9.5797142280278316E-2</v>
          </cell>
          <cell r="F58">
            <v>0.16040539374775648</v>
          </cell>
          <cell r="G58">
            <v>0.23540539374775649</v>
          </cell>
          <cell r="H58">
            <v>0.32095239121809005</v>
          </cell>
          <cell r="I58">
            <v>0.42096711425629652</v>
          </cell>
          <cell r="J58">
            <v>0.53068481860864725</v>
          </cell>
          <cell r="K58">
            <v>0.642769203728351</v>
          </cell>
          <cell r="L58">
            <v>0.74839528535557953</v>
          </cell>
          <cell r="M58">
            <v>0.83918984935345187</v>
          </cell>
          <cell r="N58">
            <v>0.90945051634530116</v>
          </cell>
          <cell r="O58">
            <v>0.9576688767502457</v>
          </cell>
          <cell r="P58">
            <v>0.9865231113648858</v>
          </cell>
          <cell r="Q58">
            <v>1.0012970762896924</v>
          </cell>
          <cell r="R58">
            <v>1.0076356106578106</v>
          </cell>
          <cell r="S58">
            <v>1.0098624683774413</v>
          </cell>
          <cell r="T58">
            <v>1.0104871783970797</v>
          </cell>
          <cell r="U58">
            <v>1.010623336815976</v>
          </cell>
          <cell r="V58">
            <v>1.0106457174525985</v>
          </cell>
          <cell r="W58">
            <v>1.0106484038909742</v>
          </cell>
        </row>
        <row r="59">
          <cell r="A59" t="str">
            <v>HVAC</v>
          </cell>
          <cell r="B59" t="str">
            <v>HP - Retro</v>
          </cell>
          <cell r="C59" t="str">
            <v>Retro12Med</v>
          </cell>
          <cell r="D59">
            <v>0.10937459468255628</v>
          </cell>
          <cell r="E59">
            <v>0.10937459468255628</v>
          </cell>
          <cell r="F59">
            <v>0.10937459468255628</v>
          </cell>
          <cell r="G59">
            <v>0.10937459468255628</v>
          </cell>
          <cell r="H59">
            <v>0.10937459468255628</v>
          </cell>
          <cell r="I59">
            <v>9.8437135214300656E-2</v>
          </cell>
          <cell r="J59">
            <v>7.874970817144053E-2</v>
          </cell>
          <cell r="K59">
            <v>6.2999766537152418E-2</v>
          </cell>
          <cell r="L59">
            <v>5.0399813229721938E-2</v>
          </cell>
          <cell r="M59">
            <v>4.0319850583777551E-2</v>
          </cell>
          <cell r="N59">
            <v>3.225588046702204E-2</v>
          </cell>
          <cell r="O59">
            <v>2.5804704373617631E-2</v>
          </cell>
          <cell r="P59">
            <v>2.0643763498894106E-2</v>
          </cell>
          <cell r="Q59">
            <v>1.6515010799115284E-2</v>
          </cell>
          <cell r="R59">
            <v>1.3212008639292228E-2</v>
          </cell>
          <cell r="S59">
            <v>1.0569606911433781E-2</v>
          </cell>
          <cell r="T59">
            <v>7.2092823794611682E-5</v>
          </cell>
          <cell r="U59">
            <v>2.5747437069512102E-5</v>
          </cell>
          <cell r="V59">
            <v>8.7775353646568632E-6</v>
          </cell>
          <cell r="W59">
            <v>2.8622397928446119E-6</v>
          </cell>
        </row>
        <row r="60">
          <cell r="A60" t="str">
            <v>HVAC</v>
          </cell>
          <cell r="B60" t="str">
            <v>DHP - New</v>
          </cell>
          <cell r="C60" t="str">
            <v>LO5Med</v>
          </cell>
          <cell r="D60">
            <v>4.2999999999999997E-2</v>
          </cell>
          <cell r="E60">
            <v>9.5797142280278316E-2</v>
          </cell>
          <cell r="F60">
            <v>0.16040539374775648</v>
          </cell>
          <cell r="G60">
            <v>0.23540539374775649</v>
          </cell>
          <cell r="H60">
            <v>0.32095239121809005</v>
          </cell>
          <cell r="I60">
            <v>0.42096711425629652</v>
          </cell>
          <cell r="J60">
            <v>0.53068481860864725</v>
          </cell>
          <cell r="K60">
            <v>0.642769203728351</v>
          </cell>
          <cell r="L60">
            <v>0.74839528535557953</v>
          </cell>
          <cell r="M60">
            <v>0.83918984935345187</v>
          </cell>
          <cell r="N60">
            <v>0.90945051634530116</v>
          </cell>
          <cell r="O60">
            <v>0.9576688767502457</v>
          </cell>
          <cell r="P60">
            <v>0.9865231113648858</v>
          </cell>
          <cell r="Q60">
            <v>1.0012970762896924</v>
          </cell>
          <cell r="R60">
            <v>1.0076356106578106</v>
          </cell>
          <cell r="S60">
            <v>1.0098624683774413</v>
          </cell>
          <cell r="T60">
            <v>1.0104871783970797</v>
          </cell>
          <cell r="U60">
            <v>1.010623336815976</v>
          </cell>
          <cell r="V60">
            <v>1.0106457174525985</v>
          </cell>
          <cell r="W60">
            <v>1.0106484038909742</v>
          </cell>
        </row>
        <row r="61">
          <cell r="A61" t="str">
            <v>HVAC</v>
          </cell>
          <cell r="B61" t="str">
            <v>DHP - NR</v>
          </cell>
          <cell r="C61" t="str">
            <v>LO5Med</v>
          </cell>
          <cell r="D61">
            <v>4.2999999999999997E-2</v>
          </cell>
          <cell r="E61">
            <v>9.5797142280278316E-2</v>
          </cell>
          <cell r="F61">
            <v>0.16040539374775648</v>
          </cell>
          <cell r="G61">
            <v>0.23540539374775649</v>
          </cell>
          <cell r="H61">
            <v>0.32095239121809005</v>
          </cell>
          <cell r="I61">
            <v>0.42096711425629652</v>
          </cell>
          <cell r="J61">
            <v>0.53068481860864725</v>
          </cell>
          <cell r="K61">
            <v>0.642769203728351</v>
          </cell>
          <cell r="L61">
            <v>0.74839528535557953</v>
          </cell>
          <cell r="M61">
            <v>0.83918984935345187</v>
          </cell>
          <cell r="N61">
            <v>0.90945051634530116</v>
          </cell>
          <cell r="O61">
            <v>0.9576688767502457</v>
          </cell>
          <cell r="P61">
            <v>0.9865231113648858</v>
          </cell>
          <cell r="Q61">
            <v>1.0012970762896924</v>
          </cell>
          <cell r="R61">
            <v>1.0076356106578106</v>
          </cell>
          <cell r="S61">
            <v>1.0098624683774413</v>
          </cell>
          <cell r="T61">
            <v>1.0104871783970797</v>
          </cell>
          <cell r="U61">
            <v>1.010623336815976</v>
          </cell>
          <cell r="V61">
            <v>1.0106457174525985</v>
          </cell>
          <cell r="W61">
            <v>1.0106484038909742</v>
          </cell>
        </row>
        <row r="62">
          <cell r="A62" t="str">
            <v>HVAC</v>
          </cell>
          <cell r="B62" t="str">
            <v>DHP - Retro</v>
          </cell>
          <cell r="C62" t="str">
            <v>Retro5Med</v>
          </cell>
          <cell r="D62">
            <v>4.2999999999999997E-2</v>
          </cell>
          <cell r="E62">
            <v>5.279714228027832E-2</v>
          </cell>
          <cell r="F62">
            <v>6.4608251467478173E-2</v>
          </cell>
          <cell r="G62">
            <v>7.4999999999999997E-2</v>
          </cell>
          <cell r="H62">
            <v>8.5546997470333563E-2</v>
          </cell>
          <cell r="I62">
            <v>0.10001472303820647</v>
          </cell>
          <cell r="J62">
            <v>0.10971770435235073</v>
          </cell>
          <cell r="K62">
            <v>0.11208438511970376</v>
          </cell>
          <cell r="L62">
            <v>0.10562608162722853</v>
          </cell>
          <cell r="M62">
            <v>9.0794563997872335E-2</v>
          </cell>
          <cell r="N62">
            <v>7.0260666991849297E-2</v>
          </cell>
          <cell r="O62">
            <v>4.8218360404944538E-2</v>
          </cell>
          <cell r="P62">
            <v>2.8854234614640095E-2</v>
          </cell>
          <cell r="Q62">
            <v>1.4773964924806759E-2</v>
          </cell>
          <cell r="R62">
            <v>6.3385343681182649E-3</v>
          </cell>
          <cell r="S62">
            <v>2.2268577196306039E-3</v>
          </cell>
          <cell r="T62">
            <v>6.2471001963848583E-4</v>
          </cell>
          <cell r="U62">
            <v>1.3615841889635938E-4</v>
          </cell>
          <cell r="V62">
            <v>2.2380636622298944E-5</v>
          </cell>
          <cell r="W62">
            <v>2.68643837586513E-6</v>
          </cell>
        </row>
        <row r="63">
          <cell r="A63" t="str">
            <v>HVAC</v>
          </cell>
          <cell r="B63" t="str">
            <v>Duct Sealing - New</v>
          </cell>
          <cell r="C63" t="str">
            <v>LO12Med</v>
          </cell>
          <cell r="D63">
            <v>0.10937459468255628</v>
          </cell>
          <cell r="E63">
            <v>0.21874918936511256</v>
          </cell>
          <cell r="F63">
            <v>0.32812378404766884</v>
          </cell>
          <cell r="G63">
            <v>0.43749837873022512</v>
          </cell>
          <cell r="H63">
            <v>0.5468729734127814</v>
          </cell>
          <cell r="I63">
            <v>0.64531010862708205</v>
          </cell>
          <cell r="J63">
            <v>0.7240598167985226</v>
          </cell>
          <cell r="K63">
            <v>0.78705958333567505</v>
          </cell>
          <cell r="L63">
            <v>0.83745939656539703</v>
          </cell>
          <cell r="M63">
            <v>0.87777924714917455</v>
          </cell>
          <cell r="N63">
            <v>0.91003512761619654</v>
          </cell>
          <cell r="O63">
            <v>0.93583983198981413</v>
          </cell>
          <cell r="P63">
            <v>0.9564835954887082</v>
          </cell>
          <cell r="Q63">
            <v>0.97299860628782353</v>
          </cell>
          <cell r="R63">
            <v>0.9862106149271157</v>
          </cell>
          <cell r="S63">
            <v>0.99678022183854953</v>
          </cell>
          <cell r="T63">
            <v>0.99685231466234414</v>
          </cell>
          <cell r="U63">
            <v>0.99687806209941365</v>
          </cell>
          <cell r="V63">
            <v>0.99688683963477831</v>
          </cell>
          <cell r="W63">
            <v>0.99688970187457115</v>
          </cell>
        </row>
        <row r="64">
          <cell r="A64" t="str">
            <v>HVAC</v>
          </cell>
          <cell r="B64" t="str">
            <v>Duct Sealing - Retro</v>
          </cell>
          <cell r="C64" t="str">
            <v>Retro12Med</v>
          </cell>
          <cell r="D64">
            <v>0.10937459468255628</v>
          </cell>
          <cell r="E64">
            <v>0.10937459468255628</v>
          </cell>
          <cell r="F64">
            <v>0.10937459468255628</v>
          </cell>
          <cell r="G64">
            <v>0.10937459468255628</v>
          </cell>
          <cell r="H64">
            <v>0.10937459468255628</v>
          </cell>
          <cell r="I64">
            <v>9.8437135214300656E-2</v>
          </cell>
          <cell r="J64">
            <v>7.874970817144053E-2</v>
          </cell>
          <cell r="K64">
            <v>6.2999766537152418E-2</v>
          </cell>
          <cell r="L64">
            <v>5.0399813229721938E-2</v>
          </cell>
          <cell r="M64">
            <v>4.0319850583777551E-2</v>
          </cell>
          <cell r="N64">
            <v>3.225588046702204E-2</v>
          </cell>
          <cell r="O64">
            <v>2.5804704373617631E-2</v>
          </cell>
          <cell r="P64">
            <v>2.0643763498894106E-2</v>
          </cell>
          <cell r="Q64">
            <v>1.6515010799115284E-2</v>
          </cell>
          <cell r="R64">
            <v>1.3212008639292228E-2</v>
          </cell>
          <cell r="S64">
            <v>1.0569606911433781E-2</v>
          </cell>
          <cell r="T64">
            <v>7.2092823794611682E-5</v>
          </cell>
          <cell r="U64">
            <v>2.5747437069512102E-5</v>
          </cell>
          <cell r="V64">
            <v>8.7775353646568632E-6</v>
          </cell>
          <cell r="W64">
            <v>2.8622397928446119E-6</v>
          </cell>
        </row>
        <row r="65">
          <cell r="A65" t="str">
            <v>HVAC</v>
          </cell>
          <cell r="B65" t="str">
            <v>WIFI enabled tstats - New</v>
          </cell>
          <cell r="C65" t="str">
            <v>LO5Med</v>
          </cell>
          <cell r="D65">
            <v>4.2999999999999997E-2</v>
          </cell>
          <cell r="E65">
            <v>9.5797142280278316E-2</v>
          </cell>
          <cell r="F65">
            <v>0.16040539374775648</v>
          </cell>
          <cell r="G65">
            <v>0.23540539374775649</v>
          </cell>
          <cell r="H65">
            <v>0.32095239121809005</v>
          </cell>
          <cell r="I65">
            <v>0.42096711425629652</v>
          </cell>
          <cell r="J65">
            <v>0.53068481860864725</v>
          </cell>
          <cell r="K65">
            <v>0.642769203728351</v>
          </cell>
          <cell r="L65">
            <v>0.74839528535557953</v>
          </cell>
          <cell r="M65">
            <v>0.83918984935345187</v>
          </cell>
          <cell r="N65">
            <v>0.90945051634530116</v>
          </cell>
          <cell r="O65">
            <v>0.9576688767502457</v>
          </cell>
          <cell r="P65">
            <v>0.9865231113648858</v>
          </cell>
          <cell r="Q65">
            <v>1.0012970762896924</v>
          </cell>
          <cell r="R65">
            <v>1.0076356106578106</v>
          </cell>
          <cell r="S65">
            <v>1.0098624683774413</v>
          </cell>
          <cell r="T65">
            <v>1.0104871783970797</v>
          </cell>
          <cell r="U65">
            <v>1.010623336815976</v>
          </cell>
          <cell r="V65">
            <v>1.0106457174525985</v>
          </cell>
          <cell r="W65">
            <v>1.0106484038909742</v>
          </cell>
        </row>
        <row r="66">
          <cell r="A66" t="str">
            <v>HVAC</v>
          </cell>
          <cell r="B66" t="str">
            <v>WIFI enabled tstats - Retro</v>
          </cell>
          <cell r="C66" t="str">
            <v>Retro5Med</v>
          </cell>
          <cell r="D66">
            <v>4.2999999999999997E-2</v>
          </cell>
          <cell r="E66">
            <v>5.279714228027832E-2</v>
          </cell>
          <cell r="F66">
            <v>6.4608251467478173E-2</v>
          </cell>
          <cell r="G66">
            <v>7.4999999999999997E-2</v>
          </cell>
          <cell r="H66">
            <v>8.5546997470333563E-2</v>
          </cell>
          <cell r="I66">
            <v>0.10001472303820647</v>
          </cell>
          <cell r="J66">
            <v>0.10971770435235073</v>
          </cell>
          <cell r="K66">
            <v>0.11208438511970376</v>
          </cell>
          <cell r="L66">
            <v>0.10562608162722853</v>
          </cell>
          <cell r="M66">
            <v>9.0794563997872335E-2</v>
          </cell>
          <cell r="N66">
            <v>7.0260666991849297E-2</v>
          </cell>
          <cell r="O66">
            <v>4.8218360404944538E-2</v>
          </cell>
          <cell r="P66">
            <v>2.8854234614640095E-2</v>
          </cell>
          <cell r="Q66">
            <v>1.4773964924806759E-2</v>
          </cell>
          <cell r="R66">
            <v>6.3385343681182649E-3</v>
          </cell>
          <cell r="S66">
            <v>2.2268577196306039E-3</v>
          </cell>
          <cell r="T66">
            <v>6.2471001963848583E-4</v>
          </cell>
          <cell r="U66">
            <v>1.3615841889635938E-4</v>
          </cell>
          <cell r="V66">
            <v>2.2380636622298944E-5</v>
          </cell>
          <cell r="W66">
            <v>2.68643837586513E-6</v>
          </cell>
        </row>
        <row r="67">
          <cell r="A67" t="str">
            <v>HVAC</v>
          </cell>
          <cell r="B67" t="str">
            <v>Combo DHP/HPWH units - New</v>
          </cell>
          <cell r="C67" t="str">
            <v>LO5Med</v>
          </cell>
          <cell r="D67">
            <v>4.2999999999999997E-2</v>
          </cell>
          <cell r="E67">
            <v>9.5797142280278316E-2</v>
          </cell>
          <cell r="F67">
            <v>0.16040539374775648</v>
          </cell>
          <cell r="G67">
            <v>0.23540539374775649</v>
          </cell>
          <cell r="H67">
            <v>0.32095239121809005</v>
          </cell>
          <cell r="I67">
            <v>0.42096711425629652</v>
          </cell>
          <cell r="J67">
            <v>0.53068481860864725</v>
          </cell>
          <cell r="K67">
            <v>0.642769203728351</v>
          </cell>
          <cell r="L67">
            <v>0.74839528535557953</v>
          </cell>
          <cell r="M67">
            <v>0.83918984935345187</v>
          </cell>
          <cell r="N67">
            <v>0.90945051634530116</v>
          </cell>
          <cell r="O67">
            <v>0.9576688767502457</v>
          </cell>
          <cell r="P67">
            <v>0.9865231113648858</v>
          </cell>
          <cell r="Q67">
            <v>1.0012970762896924</v>
          </cell>
          <cell r="R67">
            <v>1.0076356106578106</v>
          </cell>
          <cell r="S67">
            <v>1.0098624683774413</v>
          </cell>
          <cell r="T67">
            <v>1.0104871783970797</v>
          </cell>
          <cell r="U67">
            <v>1.010623336815976</v>
          </cell>
          <cell r="V67">
            <v>1.0106457174525985</v>
          </cell>
          <cell r="W67">
            <v>1.0106484038909742</v>
          </cell>
        </row>
        <row r="68">
          <cell r="A68" t="str">
            <v>HVAC</v>
          </cell>
          <cell r="B68" t="str">
            <v>Combo DHP/HPWH units - NR</v>
          </cell>
          <cell r="C68" t="str">
            <v>LO5Med</v>
          </cell>
          <cell r="D68">
            <v>4.2999999999999997E-2</v>
          </cell>
          <cell r="E68">
            <v>9.5797142280278316E-2</v>
          </cell>
          <cell r="F68">
            <v>0.16040539374775648</v>
          </cell>
          <cell r="G68">
            <v>0.23540539374775649</v>
          </cell>
          <cell r="H68">
            <v>0.32095239121809005</v>
          </cell>
          <cell r="I68">
            <v>0.42096711425629652</v>
          </cell>
          <cell r="J68">
            <v>0.53068481860864725</v>
          </cell>
          <cell r="K68">
            <v>0.642769203728351</v>
          </cell>
          <cell r="L68">
            <v>0.74839528535557953</v>
          </cell>
          <cell r="M68">
            <v>0.83918984935345187</v>
          </cell>
          <cell r="N68">
            <v>0.90945051634530116</v>
          </cell>
          <cell r="O68">
            <v>0.9576688767502457</v>
          </cell>
          <cell r="P68">
            <v>0.9865231113648858</v>
          </cell>
          <cell r="Q68">
            <v>1.0012970762896924</v>
          </cell>
          <cell r="R68">
            <v>1.0076356106578106</v>
          </cell>
          <cell r="S68">
            <v>1.0098624683774413</v>
          </cell>
          <cell r="T68">
            <v>1.0104871783970797</v>
          </cell>
          <cell r="U68">
            <v>1.010623336815976</v>
          </cell>
          <cell r="V68">
            <v>1.0106457174525985</v>
          </cell>
          <cell r="W68">
            <v>1.0106484038909742</v>
          </cell>
        </row>
        <row r="69">
          <cell r="A69" t="str">
            <v>HVAC</v>
          </cell>
          <cell r="B69" t="str">
            <v>Combo DHP/HPWH units - Retro</v>
          </cell>
          <cell r="C69" t="str">
            <v>Retro5Med</v>
          </cell>
          <cell r="D69">
            <v>4.2999999999999997E-2</v>
          </cell>
          <cell r="E69">
            <v>5.279714228027832E-2</v>
          </cell>
          <cell r="F69">
            <v>6.4608251467478173E-2</v>
          </cell>
          <cell r="G69">
            <v>7.4999999999999997E-2</v>
          </cell>
          <cell r="H69">
            <v>8.5546997470333563E-2</v>
          </cell>
          <cell r="I69">
            <v>0.10001472303820647</v>
          </cell>
          <cell r="J69">
            <v>0.10971770435235073</v>
          </cell>
          <cell r="K69">
            <v>0.11208438511970376</v>
          </cell>
          <cell r="L69">
            <v>0.10562608162722853</v>
          </cell>
          <cell r="M69">
            <v>9.0794563997872335E-2</v>
          </cell>
          <cell r="N69">
            <v>7.0260666991849297E-2</v>
          </cell>
          <cell r="O69">
            <v>4.8218360404944538E-2</v>
          </cell>
          <cell r="P69">
            <v>2.8854234614640095E-2</v>
          </cell>
          <cell r="Q69">
            <v>1.4773964924806759E-2</v>
          </cell>
          <cell r="R69">
            <v>6.3385343681182649E-3</v>
          </cell>
          <cell r="S69">
            <v>2.2268577196306039E-3</v>
          </cell>
          <cell r="T69">
            <v>6.2471001963848583E-4</v>
          </cell>
          <cell r="U69">
            <v>1.3615841889635938E-4</v>
          </cell>
          <cell r="V69">
            <v>2.2380636622298944E-5</v>
          </cell>
          <cell r="W69">
            <v>2.68643837586513E-6</v>
          </cell>
        </row>
        <row r="70">
          <cell r="A70" t="str">
            <v>Water Heating</v>
          </cell>
          <cell r="B70" t="str">
            <v>Aerator - New</v>
          </cell>
          <cell r="C70" t="str">
            <v>LO3Slow</v>
          </cell>
          <cell r="D70">
            <v>5.5320496977002724E-3</v>
          </cell>
          <cell r="E70">
            <v>1.4227918344261844E-2</v>
          </cell>
          <cell r="F70">
            <v>3.1619655637384989E-2</v>
          </cell>
          <cell r="G70">
            <v>6.2055195900350503E-2</v>
          </cell>
          <cell r="H70">
            <v>0.10939936964274129</v>
          </cell>
          <cell r="I70">
            <v>0.17568121288208835</v>
          </cell>
          <cell r="J70">
            <v>0.26003992245943919</v>
          </cell>
          <cell r="K70">
            <v>0.3584584169663485</v>
          </cell>
          <cell r="L70">
            <v>0.46444756489686617</v>
          </cell>
          <cell r="M70">
            <v>0.57043671282738384</v>
          </cell>
          <cell r="N70">
            <v>0.66935991756253377</v>
          </cell>
          <cell r="O70">
            <v>0.75591772170578986</v>
          </cell>
          <cell r="P70">
            <v>0.82720061923553012</v>
          </cell>
          <cell r="Q70">
            <v>0.88264287286977261</v>
          </cell>
          <cell r="R70">
            <v>0.92349505975816193</v>
          </cell>
          <cell r="S70">
            <v>0.95209159058003434</v>
          </cell>
          <cell r="T70">
            <v>0.97115594446128262</v>
          </cell>
          <cell r="U70">
            <v>0.98328780602207699</v>
          </cell>
          <cell r="V70">
            <v>0.99067241740690848</v>
          </cell>
          <cell r="W70">
            <v>0.99498010738139331</v>
          </cell>
        </row>
        <row r="71">
          <cell r="A71" t="str">
            <v>Water Heating</v>
          </cell>
          <cell r="B71" t="str">
            <v>Aerator - Retro</v>
          </cell>
          <cell r="C71" t="str">
            <v>Retro3Slow</v>
          </cell>
          <cell r="D71">
            <v>5.5320496977002724E-3</v>
          </cell>
          <cell r="E71">
            <v>8.6958686465615706E-3</v>
          </cell>
          <cell r="F71">
            <v>1.7391737293123145E-2</v>
          </cell>
          <cell r="G71">
            <v>3.0435540262965514E-2</v>
          </cell>
          <cell r="H71">
            <v>4.7344173742390784E-2</v>
          </cell>
          <cell r="I71">
            <v>6.6281843239347063E-2</v>
          </cell>
          <cell r="J71">
            <v>8.4358709577350838E-2</v>
          </cell>
          <cell r="K71">
            <v>9.8418494506909315E-2</v>
          </cell>
          <cell r="L71">
            <v>0.10598914793051767</v>
          </cell>
          <cell r="M71">
            <v>0.10598914793051767</v>
          </cell>
          <cell r="N71">
            <v>9.8923204735149928E-2</v>
          </cell>
          <cell r="O71">
            <v>8.655780414325609E-2</v>
          </cell>
          <cell r="P71">
            <v>7.1282897529740263E-2</v>
          </cell>
          <cell r="Q71">
            <v>5.5442253634242489E-2</v>
          </cell>
          <cell r="R71">
            <v>4.0852186888389319E-2</v>
          </cell>
          <cell r="S71">
            <v>2.8596530821872412E-2</v>
          </cell>
          <cell r="T71">
            <v>1.9064353881248275E-2</v>
          </cell>
          <cell r="U71">
            <v>1.2131861560794377E-2</v>
          </cell>
          <cell r="V71">
            <v>7.3846113848314854E-3</v>
          </cell>
          <cell r="W71">
            <v>4.3076899744848296E-3</v>
          </cell>
        </row>
        <row r="72">
          <cell r="A72" t="str">
            <v>Water Heating</v>
          </cell>
          <cell r="B72" t="str">
            <v>Behavior - Retro</v>
          </cell>
          <cell r="C72" t="str">
            <v>Retro5Med</v>
          </cell>
          <cell r="D72">
            <v>4.2999999999999997E-2</v>
          </cell>
          <cell r="E72">
            <v>5.279714228027832E-2</v>
          </cell>
          <cell r="F72">
            <v>6.4608251467478173E-2</v>
          </cell>
          <cell r="G72">
            <v>7.4999999999999997E-2</v>
          </cell>
          <cell r="H72">
            <v>8.5546997470333563E-2</v>
          </cell>
          <cell r="I72">
            <v>0.10001472303820647</v>
          </cell>
          <cell r="J72">
            <v>0.10971770435235073</v>
          </cell>
          <cell r="K72">
            <v>0.11208438511970376</v>
          </cell>
          <cell r="L72">
            <v>0.10562608162722853</v>
          </cell>
          <cell r="M72">
            <v>9.0794563997872335E-2</v>
          </cell>
          <cell r="N72">
            <v>7.0260666991849297E-2</v>
          </cell>
          <cell r="O72">
            <v>4.8218360404944538E-2</v>
          </cell>
          <cell r="P72">
            <v>2.8854234614640095E-2</v>
          </cell>
          <cell r="Q72">
            <v>1.4773964924806759E-2</v>
          </cell>
          <cell r="R72">
            <v>6.3385343681182649E-3</v>
          </cell>
          <cell r="S72">
            <v>2.2268577196306039E-3</v>
          </cell>
          <cell r="T72">
            <v>6.2471001963848583E-4</v>
          </cell>
          <cell r="U72">
            <v>1.3615841889635938E-4</v>
          </cell>
          <cell r="V72">
            <v>2.2380636622298944E-5</v>
          </cell>
          <cell r="W72">
            <v>2.68643837586513E-6</v>
          </cell>
        </row>
        <row r="73">
          <cell r="A73" t="str">
            <v>Water Heating</v>
          </cell>
          <cell r="B73" t="str">
            <v>Behavior - New</v>
          </cell>
          <cell r="C73" t="str">
            <v>LO5Med</v>
          </cell>
          <cell r="D73">
            <v>4.2999999999999997E-2</v>
          </cell>
          <cell r="E73">
            <v>9.5797142280278316E-2</v>
          </cell>
          <cell r="F73">
            <v>0.16040539374775648</v>
          </cell>
          <cell r="G73">
            <v>0.23540539374775649</v>
          </cell>
          <cell r="H73">
            <v>0.32095239121809005</v>
          </cell>
          <cell r="I73">
            <v>0.42096711425629652</v>
          </cell>
          <cell r="J73">
            <v>0.53068481860864725</v>
          </cell>
          <cell r="K73">
            <v>0.642769203728351</v>
          </cell>
          <cell r="L73">
            <v>0.74839528535557953</v>
          </cell>
          <cell r="M73">
            <v>0.83918984935345187</v>
          </cell>
          <cell r="N73">
            <v>0.90945051634530116</v>
          </cell>
          <cell r="O73">
            <v>0.9576688767502457</v>
          </cell>
          <cell r="P73">
            <v>0.9865231113648858</v>
          </cell>
          <cell r="Q73">
            <v>1.0012970762896924</v>
          </cell>
          <cell r="R73">
            <v>1.0076356106578106</v>
          </cell>
          <cell r="S73">
            <v>1.0098624683774413</v>
          </cell>
          <cell r="T73">
            <v>1.0104871783970797</v>
          </cell>
          <cell r="U73">
            <v>1.010623336815976</v>
          </cell>
          <cell r="V73">
            <v>1.0106457174525985</v>
          </cell>
          <cell r="W73">
            <v>1.0106484038909742</v>
          </cell>
        </row>
        <row r="74">
          <cell r="A74">
            <v>0</v>
          </cell>
          <cell r="B74">
            <v>0</v>
          </cell>
          <cell r="C74" t="str">
            <v>Retro1Slow</v>
          </cell>
          <cell r="D74">
            <v>2.5643970768378654E-3</v>
          </cell>
          <cell r="E74">
            <v>5.1260615529385989E-3</v>
          </cell>
          <cell r="F74">
            <v>9.1015544176433795E-3</v>
          </cell>
          <cell r="G74">
            <v>1.4804925730045659E-2</v>
          </cell>
          <cell r="H74">
            <v>2.2471809420486211E-2</v>
          </cell>
          <cell r="I74">
            <v>3.2184432813882391E-2</v>
          </cell>
          <cell r="J74">
            <v>4.3779667172004086E-2</v>
          </cell>
          <cell r="K74">
            <v>5.675426075474499E-2</v>
          </cell>
          <cell r="L74">
            <v>7.0195239068707532E-2</v>
          </cell>
          <cell r="M74">
            <v>8.2776861842756788E-2</v>
          </cell>
          <cell r="N74">
            <v>9.2870259507494834E-2</v>
          </cell>
          <cell r="O74">
            <v>9.8796470678915727E-2</v>
          </cell>
          <cell r="P74">
            <v>9.9208932889988999E-2</v>
          </cell>
          <cell r="Q74">
            <v>9.3521150494244254E-2</v>
          </cell>
          <cell r="R74">
            <v>8.2226007896862296E-2</v>
          </cell>
          <cell r="S74">
            <v>6.6933566027365665E-2</v>
          </cell>
          <cell r="T74">
            <v>5.0029565143448806E-2</v>
          </cell>
          <cell r="U74">
            <v>3.402486521893211E-2</v>
          </cell>
          <cell r="V74">
            <v>2.0846059340774659E-2</v>
          </cell>
          <cell r="W74">
            <v>0.01</v>
          </cell>
        </row>
        <row r="75">
          <cell r="A75" t="str">
            <v>HVAC</v>
          </cell>
          <cell r="B75" t="str">
            <v>Heat Recovery Ventilation - New</v>
          </cell>
          <cell r="C75" t="str">
            <v>LO1Slow</v>
          </cell>
          <cell r="D75">
            <v>2.5643970768378654E-3</v>
          </cell>
          <cell r="E75">
            <v>7.6904586297764643E-3</v>
          </cell>
          <cell r="F75">
            <v>1.6792013047419844E-2</v>
          </cell>
          <cell r="G75">
            <v>3.15969387774655E-2</v>
          </cell>
          <cell r="H75">
            <v>5.406874819795171E-2</v>
          </cell>
          <cell r="I75">
            <v>8.6253181011834101E-2</v>
          </cell>
          <cell r="J75">
            <v>0.1300328481838382</v>
          </cell>
          <cell r="K75">
            <v>0.18678710893858319</v>
          </cell>
          <cell r="L75">
            <v>0.2569823480072907</v>
          </cell>
          <cell r="M75">
            <v>0.33975920985004748</v>
          </cell>
          <cell r="N75">
            <v>0.43262946935754232</v>
          </cell>
          <cell r="O75">
            <v>0.53142594003645804</v>
          </cell>
          <cell r="P75">
            <v>0.63063487292644704</v>
          </cell>
          <cell r="Q75">
            <v>0.7241560234206913</v>
          </cell>
          <cell r="R75">
            <v>0.80638203131755359</v>
          </cell>
          <cell r="S75">
            <v>0.87331559734491926</v>
          </cell>
          <cell r="T75">
            <v>0.92334516248836807</v>
          </cell>
          <cell r="U75">
            <v>0.95737002770730018</v>
          </cell>
          <cell r="V75">
            <v>0.97821608704807483</v>
          </cell>
          <cell r="W75">
            <v>0.98821608704807484</v>
          </cell>
        </row>
        <row r="76">
          <cell r="A76" t="str">
            <v>HVAC</v>
          </cell>
          <cell r="B76" t="str">
            <v>GSHP - New</v>
          </cell>
          <cell r="C76" t="str">
            <v>LO1Slow</v>
          </cell>
          <cell r="D76">
            <v>2.5643970768378654E-3</v>
          </cell>
          <cell r="E76">
            <v>7.6904586297764643E-3</v>
          </cell>
          <cell r="F76">
            <v>1.6792013047419844E-2</v>
          </cell>
          <cell r="G76">
            <v>3.15969387774655E-2</v>
          </cell>
          <cell r="H76">
            <v>5.406874819795171E-2</v>
          </cell>
          <cell r="I76">
            <v>8.6253181011834101E-2</v>
          </cell>
          <cell r="J76">
            <v>0.1300328481838382</v>
          </cell>
          <cell r="K76">
            <v>0.18678710893858319</v>
          </cell>
          <cell r="L76">
            <v>0.2569823480072907</v>
          </cell>
          <cell r="M76">
            <v>0.33975920985004748</v>
          </cell>
          <cell r="N76">
            <v>0.43262946935754232</v>
          </cell>
          <cell r="O76">
            <v>0.53142594003645804</v>
          </cell>
          <cell r="P76">
            <v>0.63063487292644704</v>
          </cell>
          <cell r="Q76">
            <v>0.7241560234206913</v>
          </cell>
          <cell r="R76">
            <v>0.80638203131755359</v>
          </cell>
          <cell r="S76">
            <v>0.87331559734491926</v>
          </cell>
          <cell r="T76">
            <v>0.92334516248836807</v>
          </cell>
          <cell r="U76">
            <v>0.95737002770730018</v>
          </cell>
          <cell r="V76">
            <v>0.97821608704807483</v>
          </cell>
          <cell r="W76">
            <v>0.98821608704807484</v>
          </cell>
        </row>
        <row r="77">
          <cell r="A77" t="str">
            <v>HVAC</v>
          </cell>
          <cell r="B77" t="str">
            <v>GSHP - NR</v>
          </cell>
          <cell r="C77" t="str">
            <v>LO1Slow</v>
          </cell>
          <cell r="D77">
            <v>2.5643970768378654E-3</v>
          </cell>
          <cell r="E77">
            <v>7.6904586297764643E-3</v>
          </cell>
          <cell r="F77">
            <v>1.6792013047419844E-2</v>
          </cell>
          <cell r="G77">
            <v>3.15969387774655E-2</v>
          </cell>
          <cell r="H77">
            <v>5.406874819795171E-2</v>
          </cell>
          <cell r="I77">
            <v>8.6253181011834101E-2</v>
          </cell>
          <cell r="J77">
            <v>0.1300328481838382</v>
          </cell>
          <cell r="K77">
            <v>0.18678710893858319</v>
          </cell>
          <cell r="L77">
            <v>0.2569823480072907</v>
          </cell>
          <cell r="M77">
            <v>0.33975920985004748</v>
          </cell>
          <cell r="N77">
            <v>0.43262946935754232</v>
          </cell>
          <cell r="O77">
            <v>0.53142594003645804</v>
          </cell>
          <cell r="P77">
            <v>0.63063487292644704</v>
          </cell>
          <cell r="Q77">
            <v>0.7241560234206913</v>
          </cell>
          <cell r="R77">
            <v>0.80638203131755359</v>
          </cell>
          <cell r="S77">
            <v>0.87331559734491926</v>
          </cell>
          <cell r="T77">
            <v>0.92334516248836807</v>
          </cell>
          <cell r="U77">
            <v>0.95737002770730018</v>
          </cell>
          <cell r="V77">
            <v>0.97821608704807483</v>
          </cell>
          <cell r="W77">
            <v>0.98821608704807484</v>
          </cell>
        </row>
        <row r="78">
          <cell r="A78">
            <v>0</v>
          </cell>
          <cell r="B78">
            <v>0</v>
          </cell>
          <cell r="C78" t="str">
            <v>Retro5Med</v>
          </cell>
          <cell r="D78">
            <v>4.2999999999999997E-2</v>
          </cell>
          <cell r="E78">
            <v>5.279714228027832E-2</v>
          </cell>
          <cell r="F78">
            <v>6.4608251467478173E-2</v>
          </cell>
          <cell r="G78">
            <v>7.4999999999999997E-2</v>
          </cell>
          <cell r="H78">
            <v>8.5546997470333563E-2</v>
          </cell>
          <cell r="I78">
            <v>0.10001472303820647</v>
          </cell>
          <cell r="J78">
            <v>0.10971770435235073</v>
          </cell>
          <cell r="K78">
            <v>0.11208438511970376</v>
          </cell>
          <cell r="L78">
            <v>0.10562608162722853</v>
          </cell>
          <cell r="M78">
            <v>9.0794563997872335E-2</v>
          </cell>
          <cell r="N78">
            <v>7.0260666991849297E-2</v>
          </cell>
          <cell r="O78">
            <v>4.8218360404944538E-2</v>
          </cell>
          <cell r="P78">
            <v>2.8854234614640095E-2</v>
          </cell>
          <cell r="Q78">
            <v>1.4773964924806759E-2</v>
          </cell>
          <cell r="R78">
            <v>6.3385343681182649E-3</v>
          </cell>
          <cell r="S78">
            <v>2.2268577196306039E-3</v>
          </cell>
          <cell r="T78">
            <v>6.2471001963848583E-4</v>
          </cell>
          <cell r="U78">
            <v>1.3615841889635938E-4</v>
          </cell>
          <cell r="V78">
            <v>2.2380636622298944E-5</v>
          </cell>
          <cell r="W78">
            <v>2.68643837586513E-6</v>
          </cell>
        </row>
        <row r="79">
          <cell r="A79" t="str">
            <v>HVAC</v>
          </cell>
          <cell r="B79" t="str">
            <v>ECM for HVAC ventilation - New</v>
          </cell>
          <cell r="C79" t="str">
            <v>LO12Med</v>
          </cell>
          <cell r="D79">
            <v>0.10937459468255628</v>
          </cell>
          <cell r="E79">
            <v>0.21874918936511256</v>
          </cell>
          <cell r="F79">
            <v>0.32812378404766884</v>
          </cell>
          <cell r="G79">
            <v>0.43749837873022512</v>
          </cell>
          <cell r="H79">
            <v>0.5468729734127814</v>
          </cell>
          <cell r="I79">
            <v>0.64531010862708205</v>
          </cell>
          <cell r="J79">
            <v>0.7240598167985226</v>
          </cell>
          <cell r="K79">
            <v>0.78705958333567505</v>
          </cell>
          <cell r="L79">
            <v>0.83745939656539703</v>
          </cell>
          <cell r="M79">
            <v>0.87777924714917455</v>
          </cell>
          <cell r="N79">
            <v>0.91003512761619654</v>
          </cell>
          <cell r="O79">
            <v>0.93583983198981413</v>
          </cell>
          <cell r="P79">
            <v>0.9564835954887082</v>
          </cell>
          <cell r="Q79">
            <v>0.97299860628782353</v>
          </cell>
          <cell r="R79">
            <v>0.9862106149271157</v>
          </cell>
          <cell r="S79">
            <v>0.99678022183854953</v>
          </cell>
          <cell r="T79">
            <v>0.99685231466234414</v>
          </cell>
          <cell r="U79">
            <v>0.99687806209941365</v>
          </cell>
          <cell r="V79">
            <v>0.99688683963477831</v>
          </cell>
          <cell r="W79">
            <v>0.99688970187457115</v>
          </cell>
        </row>
        <row r="80">
          <cell r="A80" t="str">
            <v>HVAC</v>
          </cell>
          <cell r="B80" t="str">
            <v>ECM for HVAC ventilation - NR</v>
          </cell>
          <cell r="C80" t="str">
            <v>LO12Med</v>
          </cell>
          <cell r="D80">
            <v>0.10937459468255628</v>
          </cell>
          <cell r="E80">
            <v>0.21874918936511256</v>
          </cell>
          <cell r="F80">
            <v>0.32812378404766884</v>
          </cell>
          <cell r="G80">
            <v>0.43749837873022512</v>
          </cell>
          <cell r="H80">
            <v>0.5468729734127814</v>
          </cell>
          <cell r="I80">
            <v>0.64531010862708205</v>
          </cell>
          <cell r="J80">
            <v>0.7240598167985226</v>
          </cell>
          <cell r="K80">
            <v>0.78705958333567505</v>
          </cell>
          <cell r="L80">
            <v>0.83745939656539703</v>
          </cell>
          <cell r="M80">
            <v>0.87777924714917455</v>
          </cell>
          <cell r="N80">
            <v>0.91003512761619654</v>
          </cell>
          <cell r="O80">
            <v>0.93583983198981413</v>
          </cell>
          <cell r="P80">
            <v>0.9564835954887082</v>
          </cell>
          <cell r="Q80">
            <v>0.97299860628782353</v>
          </cell>
          <cell r="R80">
            <v>0.9862106149271157</v>
          </cell>
          <cell r="S80">
            <v>0.99678022183854953</v>
          </cell>
          <cell r="T80">
            <v>0.99685231466234414</v>
          </cell>
          <cell r="U80">
            <v>0.99687806209941365</v>
          </cell>
          <cell r="V80">
            <v>0.99688683963477831</v>
          </cell>
          <cell r="W80">
            <v>0.99688970187457115</v>
          </cell>
        </row>
        <row r="81">
          <cell r="A81" t="str">
            <v>HVAC</v>
          </cell>
          <cell r="B81" t="str">
            <v>Whole house/attic fan - New</v>
          </cell>
          <cell r="C81" t="str">
            <v>LO12Med</v>
          </cell>
          <cell r="D81">
            <v>0.10937459468255628</v>
          </cell>
          <cell r="E81">
            <v>0.21874918936511256</v>
          </cell>
          <cell r="F81">
            <v>0.32812378404766884</v>
          </cell>
          <cell r="G81">
            <v>0.43749837873022512</v>
          </cell>
          <cell r="H81">
            <v>0.5468729734127814</v>
          </cell>
          <cell r="I81">
            <v>0.64531010862708205</v>
          </cell>
          <cell r="J81">
            <v>0.7240598167985226</v>
          </cell>
          <cell r="K81">
            <v>0.78705958333567505</v>
          </cell>
          <cell r="L81">
            <v>0.83745939656539703</v>
          </cell>
          <cell r="M81">
            <v>0.87777924714917455</v>
          </cell>
          <cell r="N81">
            <v>0.91003512761619654</v>
          </cell>
          <cell r="O81">
            <v>0.93583983198981413</v>
          </cell>
          <cell r="P81">
            <v>0.9564835954887082</v>
          </cell>
          <cell r="Q81">
            <v>0.97299860628782353</v>
          </cell>
          <cell r="R81">
            <v>0.9862106149271157</v>
          </cell>
          <cell r="S81">
            <v>0.99678022183854953</v>
          </cell>
          <cell r="T81">
            <v>0.99685231466234414</v>
          </cell>
          <cell r="U81">
            <v>0.99687806209941365</v>
          </cell>
          <cell r="V81">
            <v>0.99688683963477831</v>
          </cell>
          <cell r="W81">
            <v>0.99688970187457115</v>
          </cell>
        </row>
        <row r="82">
          <cell r="A82" t="str">
            <v>HVAC</v>
          </cell>
          <cell r="B82" t="str">
            <v>Whole house/attic fan - Retro</v>
          </cell>
          <cell r="C82" t="str">
            <v>Retro12Med</v>
          </cell>
          <cell r="D82">
            <v>0.10937459468255628</v>
          </cell>
          <cell r="E82">
            <v>0.10937459468255628</v>
          </cell>
          <cell r="F82">
            <v>0.10937459468255628</v>
          </cell>
          <cell r="G82">
            <v>0.10937459468255628</v>
          </cell>
          <cell r="H82">
            <v>0.10937459468255628</v>
          </cell>
          <cell r="I82">
            <v>9.8437135214300656E-2</v>
          </cell>
          <cell r="J82">
            <v>7.874970817144053E-2</v>
          </cell>
          <cell r="K82">
            <v>6.2999766537152418E-2</v>
          </cell>
          <cell r="L82">
            <v>5.0399813229721938E-2</v>
          </cell>
          <cell r="M82">
            <v>4.0319850583777551E-2</v>
          </cell>
          <cell r="N82">
            <v>3.225588046702204E-2</v>
          </cell>
          <cell r="O82">
            <v>2.5804704373617631E-2</v>
          </cell>
          <cell r="P82">
            <v>2.0643763498894106E-2</v>
          </cell>
          <cell r="Q82">
            <v>1.6515010799115284E-2</v>
          </cell>
          <cell r="R82">
            <v>1.3212008639292228E-2</v>
          </cell>
          <cell r="S82">
            <v>1.0569606911433781E-2</v>
          </cell>
          <cell r="T82">
            <v>7.2092823794611682E-5</v>
          </cell>
          <cell r="U82">
            <v>2.5747437069512102E-5</v>
          </cell>
          <cell r="V82">
            <v>8.7775353646568632E-6</v>
          </cell>
          <cell r="W82">
            <v>2.8622397928446119E-6</v>
          </cell>
        </row>
        <row r="83">
          <cell r="A83" t="str">
            <v>Water heating</v>
          </cell>
          <cell r="B83" t="str">
            <v>WH Pipe insulation - Retro</v>
          </cell>
          <cell r="C83" t="str">
            <v>Retro12Med</v>
          </cell>
          <cell r="D83">
            <v>0.10937459468255628</v>
          </cell>
          <cell r="E83">
            <v>0.10937459468255628</v>
          </cell>
          <cell r="F83">
            <v>0.10937459468255628</v>
          </cell>
          <cell r="G83">
            <v>0.10937459468255628</v>
          </cell>
          <cell r="H83">
            <v>0.10937459468255628</v>
          </cell>
          <cell r="I83">
            <v>9.8437135214300656E-2</v>
          </cell>
          <cell r="J83">
            <v>7.874970817144053E-2</v>
          </cell>
          <cell r="K83">
            <v>6.2999766537152418E-2</v>
          </cell>
          <cell r="L83">
            <v>5.0399813229721938E-2</v>
          </cell>
          <cell r="M83">
            <v>4.0319850583777551E-2</v>
          </cell>
          <cell r="N83">
            <v>3.225588046702204E-2</v>
          </cell>
          <cell r="O83">
            <v>2.5804704373617631E-2</v>
          </cell>
          <cell r="P83">
            <v>2.0643763498894106E-2</v>
          </cell>
          <cell r="Q83">
            <v>1.6515010799115284E-2</v>
          </cell>
          <cell r="R83">
            <v>1.3212008639292228E-2</v>
          </cell>
          <cell r="S83">
            <v>1.0569606911433781E-2</v>
          </cell>
          <cell r="T83">
            <v>7.2092823794611682E-5</v>
          </cell>
          <cell r="U83">
            <v>2.5747437069512102E-5</v>
          </cell>
          <cell r="V83">
            <v>8.7775353646568632E-6</v>
          </cell>
          <cell r="W83">
            <v>2.8622397928446119E-6</v>
          </cell>
        </row>
        <row r="84">
          <cell r="A84" t="str">
            <v>HVAC</v>
          </cell>
          <cell r="B84" t="str">
            <v>DHP Ducted - NR</v>
          </cell>
          <cell r="C84" t="str">
            <v>LO12Med</v>
          </cell>
          <cell r="D84">
            <v>0.10937459468255628</v>
          </cell>
          <cell r="E84">
            <v>0.21874918936511256</v>
          </cell>
          <cell r="F84">
            <v>0.32812378404766884</v>
          </cell>
          <cell r="G84">
            <v>0.43749837873022512</v>
          </cell>
          <cell r="H84">
            <v>0.5468729734127814</v>
          </cell>
          <cell r="I84">
            <v>0.64531010862708205</v>
          </cell>
          <cell r="J84">
            <v>0.7240598167985226</v>
          </cell>
          <cell r="K84">
            <v>0.78705958333567505</v>
          </cell>
          <cell r="L84">
            <v>0.83745939656539703</v>
          </cell>
          <cell r="M84">
            <v>0.87777924714917455</v>
          </cell>
          <cell r="N84">
            <v>0.91003512761619654</v>
          </cell>
          <cell r="O84">
            <v>0.93583983198981413</v>
          </cell>
          <cell r="P84">
            <v>0.9564835954887082</v>
          </cell>
          <cell r="Q84">
            <v>0.97299860628782353</v>
          </cell>
          <cell r="R84">
            <v>0.9862106149271157</v>
          </cell>
          <cell r="S84">
            <v>0.99678022183854953</v>
          </cell>
          <cell r="T84">
            <v>0.99685231466234414</v>
          </cell>
          <cell r="U84">
            <v>0.99687806209941365</v>
          </cell>
          <cell r="V84">
            <v>0.99688683963477831</v>
          </cell>
          <cell r="W84">
            <v>0.99688970187457115</v>
          </cell>
        </row>
        <row r="85">
          <cell r="A85" t="str">
            <v>Electronics</v>
          </cell>
          <cell r="B85" t="str">
            <v>Advanced Power Strips - New</v>
          </cell>
          <cell r="C85" t="str">
            <v>LO3Slow</v>
          </cell>
          <cell r="D85">
            <v>5.5320496977002724E-3</v>
          </cell>
          <cell r="E85">
            <v>1.4227918344261844E-2</v>
          </cell>
          <cell r="F85">
            <v>3.1619655637384989E-2</v>
          </cell>
          <cell r="G85">
            <v>6.2055195900350503E-2</v>
          </cell>
          <cell r="H85">
            <v>0.10939936964274129</v>
          </cell>
          <cell r="I85">
            <v>0.17568121288208835</v>
          </cell>
          <cell r="J85">
            <v>0.26003992245943919</v>
          </cell>
          <cell r="K85">
            <v>0.3584584169663485</v>
          </cell>
          <cell r="L85">
            <v>0.46444756489686617</v>
          </cell>
          <cell r="M85">
            <v>0.57043671282738384</v>
          </cell>
          <cell r="N85">
            <v>0.66935991756253377</v>
          </cell>
          <cell r="O85">
            <v>0.75591772170578986</v>
          </cell>
          <cell r="P85">
            <v>0.82720061923553012</v>
          </cell>
          <cell r="Q85">
            <v>0.88264287286977261</v>
          </cell>
          <cell r="R85">
            <v>0.92349505975816193</v>
          </cell>
          <cell r="S85">
            <v>0.95209159058003434</v>
          </cell>
          <cell r="T85">
            <v>0.97115594446128262</v>
          </cell>
          <cell r="U85">
            <v>0.98328780602207699</v>
          </cell>
          <cell r="V85">
            <v>0.99067241740690848</v>
          </cell>
          <cell r="W85">
            <v>0.99498010738139331</v>
          </cell>
        </row>
        <row r="86">
          <cell r="A86" t="str">
            <v>Electronics</v>
          </cell>
          <cell r="B86" t="str">
            <v>Advanced Power Strips - Retro</v>
          </cell>
          <cell r="C86" t="str">
            <v>Retro3Slow</v>
          </cell>
          <cell r="D86">
            <v>5.5320496977002724E-3</v>
          </cell>
          <cell r="E86">
            <v>8.6958686465615706E-3</v>
          </cell>
          <cell r="F86">
            <v>1.7391737293123145E-2</v>
          </cell>
          <cell r="G86">
            <v>3.0435540262965514E-2</v>
          </cell>
          <cell r="H86">
            <v>4.7344173742390784E-2</v>
          </cell>
          <cell r="I86">
            <v>6.6281843239347063E-2</v>
          </cell>
          <cell r="J86">
            <v>8.4358709577350838E-2</v>
          </cell>
          <cell r="K86">
            <v>9.8418494506909315E-2</v>
          </cell>
          <cell r="L86">
            <v>0.10598914793051767</v>
          </cell>
          <cell r="M86">
            <v>0.10598914793051767</v>
          </cell>
          <cell r="N86">
            <v>9.8923204735149928E-2</v>
          </cell>
          <cell r="O86">
            <v>8.655780414325609E-2</v>
          </cell>
          <cell r="P86">
            <v>7.1282897529740263E-2</v>
          </cell>
          <cell r="Q86">
            <v>5.5442253634242489E-2</v>
          </cell>
          <cell r="R86">
            <v>4.0852186888389319E-2</v>
          </cell>
          <cell r="S86">
            <v>2.8596530821872412E-2</v>
          </cell>
          <cell r="T86">
            <v>1.9064353881248275E-2</v>
          </cell>
          <cell r="U86">
            <v>1.2131861560794377E-2</v>
          </cell>
          <cell r="V86">
            <v>7.3846113848314854E-3</v>
          </cell>
          <cell r="W86">
            <v>4.3076899744848296E-3</v>
          </cell>
        </row>
        <row r="87">
          <cell r="A87" t="str">
            <v>HVAC</v>
          </cell>
          <cell r="B87" t="str">
            <v>Controls Commissioning and Sizing - New</v>
          </cell>
          <cell r="C87" t="str">
            <v>LO5Med</v>
          </cell>
          <cell r="D87">
            <v>4.2999999999999997E-2</v>
          </cell>
          <cell r="E87">
            <v>9.5797142280278316E-2</v>
          </cell>
          <cell r="F87">
            <v>0.16040539374775648</v>
          </cell>
          <cell r="G87">
            <v>0.23540539374775649</v>
          </cell>
          <cell r="H87">
            <v>0.32095239121809005</v>
          </cell>
          <cell r="I87">
            <v>0.42096711425629652</v>
          </cell>
          <cell r="J87">
            <v>0.53068481860864725</v>
          </cell>
          <cell r="K87">
            <v>0.642769203728351</v>
          </cell>
          <cell r="L87">
            <v>0.74839528535557953</v>
          </cell>
          <cell r="M87">
            <v>0.83918984935345187</v>
          </cell>
          <cell r="N87">
            <v>0.90945051634530116</v>
          </cell>
          <cell r="O87">
            <v>0.9576688767502457</v>
          </cell>
          <cell r="P87">
            <v>0.9865231113648858</v>
          </cell>
          <cell r="Q87">
            <v>1.0012970762896924</v>
          </cell>
          <cell r="R87">
            <v>1.0076356106578106</v>
          </cell>
          <cell r="S87">
            <v>1.0098624683774413</v>
          </cell>
          <cell r="T87">
            <v>1.0104871783970797</v>
          </cell>
          <cell r="U87">
            <v>1.010623336815976</v>
          </cell>
          <cell r="V87">
            <v>1.0106457174525985</v>
          </cell>
          <cell r="W87">
            <v>1.0106484038909742</v>
          </cell>
        </row>
        <row r="88">
          <cell r="A88" t="str">
            <v>HVAC</v>
          </cell>
          <cell r="B88" t="str">
            <v>Controls Commissioning and Sizing - NR</v>
          </cell>
          <cell r="C88" t="str">
            <v>LO5Med</v>
          </cell>
          <cell r="D88">
            <v>4.2999999999999997E-2</v>
          </cell>
          <cell r="E88">
            <v>9.5797142280278316E-2</v>
          </cell>
          <cell r="F88">
            <v>0.16040539374775648</v>
          </cell>
          <cell r="G88">
            <v>0.23540539374775649</v>
          </cell>
          <cell r="H88">
            <v>0.32095239121809005</v>
          </cell>
          <cell r="I88">
            <v>0.42096711425629652</v>
          </cell>
          <cell r="J88">
            <v>0.53068481860864725</v>
          </cell>
          <cell r="K88">
            <v>0.642769203728351</v>
          </cell>
          <cell r="L88">
            <v>0.74839528535557953</v>
          </cell>
          <cell r="M88">
            <v>0.83918984935345187</v>
          </cell>
          <cell r="N88">
            <v>0.90945051634530116</v>
          </cell>
          <cell r="O88">
            <v>0.9576688767502457</v>
          </cell>
          <cell r="P88">
            <v>0.9865231113648858</v>
          </cell>
          <cell r="Q88">
            <v>1.0012970762896924</v>
          </cell>
          <cell r="R88">
            <v>1.0076356106578106</v>
          </cell>
          <cell r="S88">
            <v>1.0098624683774413</v>
          </cell>
          <cell r="T88">
            <v>1.0104871783970797</v>
          </cell>
          <cell r="U88">
            <v>1.010623336815976</v>
          </cell>
          <cell r="V88">
            <v>1.0106457174525985</v>
          </cell>
          <cell r="W88">
            <v>1.0106484038909742</v>
          </cell>
        </row>
        <row r="89">
          <cell r="A89" t="str">
            <v>HVAC</v>
          </cell>
          <cell r="B89" t="str">
            <v>ResWx - Retro</v>
          </cell>
          <cell r="C89" t="str">
            <v>Retro12Med</v>
          </cell>
          <cell r="D89">
            <v>0.10937459468255628</v>
          </cell>
          <cell r="E89">
            <v>0.10937459468255628</v>
          </cell>
          <cell r="F89">
            <v>0.10937459468255628</v>
          </cell>
          <cell r="G89">
            <v>0.10937459468255628</v>
          </cell>
          <cell r="H89">
            <v>0.10937459468255628</v>
          </cell>
          <cell r="I89">
            <v>9.8437135214300656E-2</v>
          </cell>
          <cell r="J89">
            <v>7.874970817144053E-2</v>
          </cell>
          <cell r="K89">
            <v>6.2999766537152418E-2</v>
          </cell>
          <cell r="L89">
            <v>5.0399813229721938E-2</v>
          </cell>
          <cell r="M89">
            <v>4.0319850583777551E-2</v>
          </cell>
          <cell r="N89">
            <v>3.225588046702204E-2</v>
          </cell>
          <cell r="O89">
            <v>2.5804704373617631E-2</v>
          </cell>
          <cell r="P89">
            <v>2.0643763498894106E-2</v>
          </cell>
          <cell r="Q89">
            <v>1.6515010799115284E-2</v>
          </cell>
          <cell r="R89">
            <v>1.3212008639292228E-2</v>
          </cell>
          <cell r="S89">
            <v>1.0569606911433781E-2</v>
          </cell>
          <cell r="T89">
            <v>7.2092823794611682E-5</v>
          </cell>
          <cell r="U89">
            <v>2.5747437069512102E-5</v>
          </cell>
          <cell r="V89">
            <v>8.7775353646568632E-6</v>
          </cell>
          <cell r="W89">
            <v>2.8622397928446119E-6</v>
          </cell>
        </row>
      </sheetData>
      <sheetData sheetId="10">
        <row r="9">
          <cell r="B9" t="str">
            <v>Measure Index Name</v>
          </cell>
          <cell r="C9" t="str">
            <v>Adjustments Made to Conservation Assessment for Code conditions</v>
          </cell>
        </row>
        <row r="10">
          <cell r="B10" t="str">
            <v>Lighting - New</v>
          </cell>
        </row>
        <row r="11">
          <cell r="B11" t="str">
            <v>Lighting - NR</v>
          </cell>
        </row>
        <row r="12">
          <cell r="B12" t="str">
            <v>Lighting - PPA</v>
          </cell>
        </row>
        <row r="13">
          <cell r="B13" t="str">
            <v>Dishwasher - New</v>
          </cell>
        </row>
        <row r="14">
          <cell r="B14" t="str">
            <v>Dishwasher - NR</v>
          </cell>
        </row>
        <row r="15">
          <cell r="B15" t="str">
            <v>Clothes Washer - New</v>
          </cell>
        </row>
        <row r="16">
          <cell r="B16" t="str">
            <v>Clothes Washer - NR</v>
          </cell>
        </row>
        <row r="17">
          <cell r="B17" t="str">
            <v>WasteWater Heat Recovery - New</v>
          </cell>
        </row>
        <row r="18">
          <cell r="B18" t="str">
            <v>Showerheads - New</v>
          </cell>
        </row>
        <row r="19">
          <cell r="B19" t="str">
            <v>Showerheads - Retro</v>
          </cell>
        </row>
        <row r="20">
          <cell r="B20" t="str">
            <v>HPWH - New</v>
          </cell>
        </row>
        <row r="21">
          <cell r="B21" t="str">
            <v>HPWH - NR</v>
          </cell>
        </row>
        <row r="22">
          <cell r="B22" t="str">
            <v>EV Supply Equip - NR</v>
          </cell>
        </row>
        <row r="23">
          <cell r="B23" t="str">
            <v>Clothes Dryer - New</v>
          </cell>
        </row>
        <row r="24">
          <cell r="B24" t="str">
            <v>Clothes Dryer - NR</v>
          </cell>
        </row>
        <row r="25">
          <cell r="B25" t="str">
            <v>Refrigerator - New</v>
          </cell>
        </row>
        <row r="26">
          <cell r="B26" t="str">
            <v>Refrigerator - NR</v>
          </cell>
        </row>
        <row r="27">
          <cell r="B27" t="str">
            <v>Freezer - New</v>
          </cell>
        </row>
        <row r="28">
          <cell r="B28" t="str">
            <v>Freezer - NR</v>
          </cell>
        </row>
        <row r="29">
          <cell r="B29" t="str">
            <v>Solar Water Heater - New</v>
          </cell>
        </row>
        <row r="30">
          <cell r="B30" t="str">
            <v>Solar Water Heater - NR</v>
          </cell>
        </row>
        <row r="31">
          <cell r="B31" t="str">
            <v>Solar Water Heater - Retro</v>
          </cell>
        </row>
        <row r="32">
          <cell r="B32">
            <v>0</v>
          </cell>
        </row>
        <row r="33">
          <cell r="B33">
            <v>0</v>
          </cell>
        </row>
        <row r="34">
          <cell r="B34" t="str">
            <v>Microwave - New</v>
          </cell>
        </row>
        <row r="35">
          <cell r="B35" t="str">
            <v>Microwave - NR</v>
          </cell>
        </row>
        <row r="36">
          <cell r="B36" t="str">
            <v>Monitor - New</v>
          </cell>
        </row>
        <row r="37">
          <cell r="B37" t="str">
            <v>Monitor - NR</v>
          </cell>
        </row>
        <row r="38">
          <cell r="B38" t="str">
            <v>Desktop - New</v>
          </cell>
        </row>
        <row r="39">
          <cell r="B39" t="str">
            <v>Desktop - NR</v>
          </cell>
        </row>
        <row r="40">
          <cell r="B40" t="str">
            <v>Laptop - New</v>
          </cell>
        </row>
        <row r="41">
          <cell r="B41" t="str">
            <v>Laptop - NR</v>
          </cell>
        </row>
        <row r="42">
          <cell r="B42" t="str">
            <v>Computer - New</v>
          </cell>
        </row>
        <row r="43">
          <cell r="B43" t="str">
            <v>Computer - NR</v>
          </cell>
        </row>
        <row r="44">
          <cell r="B44" t="str">
            <v>ASHP - New</v>
          </cell>
        </row>
        <row r="45">
          <cell r="B45" t="str">
            <v>ASHP - NR</v>
          </cell>
        </row>
        <row r="46">
          <cell r="B46" t="str">
            <v>HP - Retro</v>
          </cell>
        </row>
        <row r="47">
          <cell r="B47" t="str">
            <v>DHP - New</v>
          </cell>
        </row>
        <row r="48">
          <cell r="B48" t="str">
            <v>DHP - NR</v>
          </cell>
        </row>
        <row r="49">
          <cell r="B49" t="str">
            <v>DHP - Retro</v>
          </cell>
        </row>
        <row r="50">
          <cell r="B50" t="str">
            <v>Duct Sealing - New</v>
          </cell>
        </row>
        <row r="51">
          <cell r="B51" t="str">
            <v>Duct Sealing - Retro</v>
          </cell>
        </row>
        <row r="52">
          <cell r="B52" t="str">
            <v>WIFI enabled tstats - New</v>
          </cell>
        </row>
        <row r="53">
          <cell r="B53" t="str">
            <v>WIFI enabled tstats - Retro</v>
          </cell>
        </row>
        <row r="54">
          <cell r="B54" t="str">
            <v>Combo DHP/HPWH units - New</v>
          </cell>
        </row>
        <row r="55">
          <cell r="B55" t="str">
            <v>Combo DHP/HPWH units - NR</v>
          </cell>
        </row>
        <row r="56">
          <cell r="B56" t="str">
            <v>Combo DHP/HPWH units - Retro</v>
          </cell>
        </row>
        <row r="57">
          <cell r="B57" t="str">
            <v>Aerator - New</v>
          </cell>
        </row>
        <row r="58">
          <cell r="B58" t="str">
            <v>Aerator - Retro</v>
          </cell>
        </row>
        <row r="59">
          <cell r="B59" t="str">
            <v>Behavior - Retro</v>
          </cell>
        </row>
        <row r="60">
          <cell r="B60" t="str">
            <v>Behavior - New</v>
          </cell>
        </row>
        <row r="61">
          <cell r="B61">
            <v>0</v>
          </cell>
        </row>
        <row r="62">
          <cell r="B62" t="str">
            <v>Heat Recovery Ventilation - New</v>
          </cell>
        </row>
        <row r="63">
          <cell r="B63" t="str">
            <v>GSHP - New</v>
          </cell>
        </row>
        <row r="64">
          <cell r="B64" t="str">
            <v>GSHP - NR</v>
          </cell>
        </row>
        <row r="65">
          <cell r="B65">
            <v>0</v>
          </cell>
        </row>
        <row r="66">
          <cell r="B66" t="str">
            <v>ECM for HVAC ventilation - New</v>
          </cell>
        </row>
        <row r="67">
          <cell r="B67" t="str">
            <v>ECM for HVAC ventilation - NR</v>
          </cell>
        </row>
        <row r="68">
          <cell r="B68" t="str">
            <v>Whole house/attic fan - New</v>
          </cell>
        </row>
        <row r="69">
          <cell r="B69" t="str">
            <v>Whole house/attic fan - Retro</v>
          </cell>
        </row>
        <row r="70">
          <cell r="B70" t="str">
            <v>WH Pipe insulation - Retro</v>
          </cell>
        </row>
        <row r="71">
          <cell r="B71" t="str">
            <v>DHP Ducted - NR</v>
          </cell>
        </row>
        <row r="72">
          <cell r="B72" t="str">
            <v>Advanced Power Strips - New</v>
          </cell>
        </row>
        <row r="73">
          <cell r="B73" t="str">
            <v>Advanced Power Strips - Retro</v>
          </cell>
        </row>
        <row r="74">
          <cell r="B74" t="str">
            <v>ResWx - Retro</v>
          </cell>
        </row>
        <row r="75">
          <cell r="B75" t="str">
            <v>ATTIC R0 - R19 - Retro</v>
          </cell>
        </row>
        <row r="76">
          <cell r="B76" t="str">
            <v>ATTIC R0 - R38 - Retro</v>
          </cell>
        </row>
        <row r="77">
          <cell r="B77" t="str">
            <v>ATTIC R0 - R49 - Retro</v>
          </cell>
        </row>
        <row r="78">
          <cell r="B78" t="str">
            <v>ATTIC R11 - R38 - Retro</v>
          </cell>
        </row>
        <row r="79">
          <cell r="B79" t="str">
            <v>ATTIC R11 - R49 - Retro</v>
          </cell>
        </row>
        <row r="80">
          <cell r="B80" t="str">
            <v>ATTIC R19 - R30 - Retro</v>
          </cell>
        </row>
        <row r="81">
          <cell r="B81" t="str">
            <v>ATTIC R19 - R38 - Retro</v>
          </cell>
        </row>
        <row r="82">
          <cell r="B82" t="str">
            <v>ATTIC R19 - R49 - Retro</v>
          </cell>
        </row>
        <row r="83">
          <cell r="B83" t="str">
            <v>WALL R0 - R11 - Retro</v>
          </cell>
        </row>
        <row r="84">
          <cell r="B84" t="str">
            <v>FLOOR R0 - R19 - Retro</v>
          </cell>
        </row>
        <row r="85">
          <cell r="B85" t="str">
            <v>FLOOR R0 - R25 - Retro</v>
          </cell>
        </row>
        <row r="86">
          <cell r="B86" t="str">
            <v>FLOOR R0 - R30 - Retro</v>
          </cell>
        </row>
        <row r="87">
          <cell r="B87" t="str">
            <v>WINDOW CL30 Prime Window Replacement of Single Pane Base - Retro</v>
          </cell>
        </row>
        <row r="88">
          <cell r="B88" t="str">
            <v>WINDOW CL30 Prime Window Replacement of Double Pane Base - Retro</v>
          </cell>
        </row>
        <row r="89">
          <cell r="B89" t="e">
            <v>#REF!</v>
          </cell>
        </row>
        <row r="90">
          <cell r="B90" t="str">
            <v>WINDOW CL22 Prime Window Replacement of Single Pane Base - Retro</v>
          </cell>
        </row>
        <row r="91">
          <cell r="B91" t="str">
            <v>WINDOW CL22 Prime Window Replacement of Double Pane Base - Retro</v>
          </cell>
        </row>
        <row r="92">
          <cell r="B92" t="e">
            <v>#REF!</v>
          </cell>
        </row>
        <row r="93">
          <cell r="B93" t="str">
            <v>CFM50 Infiltration Reduction - Retro</v>
          </cell>
        </row>
        <row r="94">
          <cell r="B94" t="str">
            <v>Controls Commissioning and Sizing - New</v>
          </cell>
        </row>
        <row r="95">
          <cell r="B95" t="str">
            <v>Controls Commissioning and Sizing - NR</v>
          </cell>
        </row>
        <row r="96">
          <cell r="B96">
            <v>0</v>
          </cell>
        </row>
      </sheetData>
      <sheetData sheetId="11">
        <row r="9">
          <cell r="B9" t="str">
            <v>All Cohorts RBSA 2012</v>
          </cell>
          <cell r="C9" t="str">
            <v>BLDGTYPE</v>
          </cell>
        </row>
        <row r="10">
          <cell r="B10" t="str">
            <v>Vars</v>
          </cell>
          <cell r="C10" t="str">
            <v>Single Family</v>
          </cell>
          <cell r="D10" t="str">
            <v>Multifamily - Low Rise</v>
          </cell>
          <cell r="E10" t="str">
            <v>Multifamily - High Rise</v>
          </cell>
          <cell r="F10" t="str">
            <v>Manufactured</v>
          </cell>
        </row>
        <row r="11">
          <cell r="B11" t="str">
            <v>Electric FAF - HZ1CZ1</v>
          </cell>
          <cell r="C11">
            <v>6.8910359437455118E-2</v>
          </cell>
          <cell r="D11">
            <v>2.9671514740017984E-2</v>
          </cell>
          <cell r="E11">
            <v>2.9671514740017984E-2</v>
          </cell>
          <cell r="F11">
            <v>0.68310644913823848</v>
          </cell>
        </row>
        <row r="12">
          <cell r="B12" t="str">
            <v>Electric FAF - HZ1CZ23</v>
          </cell>
          <cell r="C12">
            <v>5.5704832325126567E-2</v>
          </cell>
          <cell r="D12">
            <v>0</v>
          </cell>
          <cell r="E12">
            <v>0</v>
          </cell>
          <cell r="F12">
            <v>0.53068387215316171</v>
          </cell>
        </row>
        <row r="13">
          <cell r="B13" t="str">
            <v>Electric FAF - HZ23CZ1</v>
          </cell>
          <cell r="C13">
            <v>6.6557500117039647E-2</v>
          </cell>
          <cell r="D13">
            <v>0</v>
          </cell>
          <cell r="E13">
            <v>0</v>
          </cell>
          <cell r="F13">
            <v>0.29641575914254098</v>
          </cell>
        </row>
        <row r="14">
          <cell r="B14" t="str">
            <v>Electric FAF - HZ23CZ23</v>
          </cell>
          <cell r="C14">
            <v>4.1453999442898203E-2</v>
          </cell>
          <cell r="D14">
            <v>0</v>
          </cell>
          <cell r="E14">
            <v>0</v>
          </cell>
          <cell r="F14">
            <v>0.49242118699820225</v>
          </cell>
        </row>
        <row r="15">
          <cell r="B15" t="str">
            <v>Electric FAF - HZ1</v>
          </cell>
          <cell r="C15">
            <v>6.3764394229545662E-2</v>
          </cell>
          <cell r="D15">
            <v>2.279607208754721E-2</v>
          </cell>
          <cell r="E15">
            <v>2.279607208754721E-2</v>
          </cell>
          <cell r="F15">
            <v>0.6103855317692306</v>
          </cell>
        </row>
        <row r="16">
          <cell r="B16" t="str">
            <v>Electric FAF - HZ23</v>
          </cell>
          <cell r="C16">
            <v>4.8202841751037277E-2</v>
          </cell>
          <cell r="D16">
            <v>0</v>
          </cell>
          <cell r="E16">
            <v>0</v>
          </cell>
          <cell r="F16">
            <v>0.42117367880782697</v>
          </cell>
        </row>
        <row r="17">
          <cell r="B17" t="str">
            <v>Electric FAF - Region</v>
          </cell>
          <cell r="C17">
            <v>5.9888429585079297E-2</v>
          </cell>
          <cell r="D17">
            <v>1.96145349060163E-2</v>
          </cell>
          <cell r="E17">
            <v>1.96145349060163E-2</v>
          </cell>
          <cell r="F17">
            <v>0.54052539788177201</v>
          </cell>
        </row>
        <row r="18">
          <cell r="B18" t="str">
            <v>Electric FAF w/ CAC - HZ1CZ1</v>
          </cell>
          <cell r="C18">
            <v>1.5601272192892677E-2</v>
          </cell>
          <cell r="D18">
            <v>0</v>
          </cell>
          <cell r="E18">
            <v>0</v>
          </cell>
          <cell r="F18">
            <v>0.15868069027846163</v>
          </cell>
        </row>
        <row r="19">
          <cell r="B19" t="str">
            <v>Electric FAF w/ CAC - HZ1CZ23</v>
          </cell>
          <cell r="C19">
            <v>0</v>
          </cell>
          <cell r="D19">
            <v>0</v>
          </cell>
          <cell r="E19">
            <v>0</v>
          </cell>
          <cell r="F19">
            <v>4.8523578535561704E-2</v>
          </cell>
        </row>
        <row r="20">
          <cell r="B20" t="str">
            <v>Electric FAF w/ CAC - HZ23CZ1</v>
          </cell>
          <cell r="C20">
            <v>0</v>
          </cell>
          <cell r="D20">
            <v>0</v>
          </cell>
          <cell r="E20">
            <v>0</v>
          </cell>
          <cell r="F20">
            <v>8.6847892074621388E-2</v>
          </cell>
        </row>
        <row r="21">
          <cell r="B21" t="str">
            <v>Electric FAF w/ CAC - HZ23CZ23</v>
          </cell>
          <cell r="C21">
            <v>0</v>
          </cell>
          <cell r="D21">
            <v>0</v>
          </cell>
          <cell r="E21">
            <v>0</v>
          </cell>
          <cell r="F21">
            <v>6.4577174474630405E-2</v>
          </cell>
        </row>
        <row r="22">
          <cell r="B22" t="str">
            <v>Heat Pump - HZ1CZ1</v>
          </cell>
          <cell r="C22">
            <v>0.13597821666189061</v>
          </cell>
          <cell r="D22">
            <v>1.0945836048995988E-3</v>
          </cell>
          <cell r="E22">
            <v>1.0945836048995988E-3</v>
          </cell>
          <cell r="F22">
            <v>0.11042200533666623</v>
          </cell>
        </row>
        <row r="23">
          <cell r="B23" t="str">
            <v>Heat Pump - HZ1CZ23</v>
          </cell>
          <cell r="C23">
            <v>0.23487960154215734</v>
          </cell>
          <cell r="D23">
            <v>4.9999998343195358E-2</v>
          </cell>
          <cell r="E23">
            <v>4.9999998343195358E-2</v>
          </cell>
          <cell r="F23">
            <v>0.3014354043468136</v>
          </cell>
        </row>
        <row r="24">
          <cell r="B24" t="str">
            <v>Heat Pump - HZ23CZ1</v>
          </cell>
          <cell r="C24">
            <v>5.8367674105625697E-2</v>
          </cell>
          <cell r="D24">
            <v>0</v>
          </cell>
          <cell r="E24">
            <v>0</v>
          </cell>
          <cell r="F24">
            <v>1.6598912836278519E-2</v>
          </cell>
        </row>
        <row r="25">
          <cell r="B25" t="str">
            <v>Heat Pump - HZ23CZ23</v>
          </cell>
          <cell r="C25">
            <v>0.12819607887593021</v>
          </cell>
          <cell r="D25">
            <v>0</v>
          </cell>
          <cell r="E25">
            <v>0</v>
          </cell>
          <cell r="F25">
            <v>7.8940309013942875E-2</v>
          </cell>
        </row>
        <row r="26">
          <cell r="B26" t="str">
            <v>Heat Pump - HZ1</v>
          </cell>
          <cell r="C26">
            <v>0.17451837346735202</v>
          </cell>
          <cell r="D26">
            <v>1.2426879154171162E-2</v>
          </cell>
          <cell r="E26">
            <v>1.2426879154171162E-2</v>
          </cell>
          <cell r="F26">
            <v>0.20155463070325005</v>
          </cell>
        </row>
        <row r="27">
          <cell r="B27" t="str">
            <v>Heat Pump - HZ23</v>
          </cell>
          <cell r="C27">
            <v>0.10942336273004506</v>
          </cell>
          <cell r="D27">
            <v>0</v>
          </cell>
          <cell r="E27">
            <v>0</v>
          </cell>
          <cell r="F27">
            <v>5.6279359348618191E-2</v>
          </cell>
        </row>
        <row r="28">
          <cell r="B28" t="str">
            <v>Heat Pump - Region</v>
          </cell>
          <cell r="C28">
            <v>0.15830495514052295</v>
          </cell>
          <cell r="D28">
            <v>1.0692519922126772E-2</v>
          </cell>
          <cell r="E28">
            <v>1.0692519922126772E-2</v>
          </cell>
          <cell r="F28">
            <v>0.14791660671834839</v>
          </cell>
        </row>
        <row r="29">
          <cell r="B29" t="str">
            <v>Electric Zonal - HZ1CZ1</v>
          </cell>
          <cell r="C29">
            <v>0.1649901802637759</v>
          </cell>
          <cell r="D29">
            <v>0.85383980263040493</v>
          </cell>
          <cell r="E29">
            <v>0.85383980263040493</v>
          </cell>
          <cell r="F29">
            <v>3.0024948086295324E-2</v>
          </cell>
        </row>
        <row r="30">
          <cell r="B30" t="str">
            <v>Electric Zonal - HZ1CZ23</v>
          </cell>
          <cell r="C30">
            <v>9.8631712913821959E-2</v>
          </cell>
          <cell r="D30">
            <v>0.73333333554240632</v>
          </cell>
          <cell r="E30">
            <v>0.73333333554240632</v>
          </cell>
          <cell r="F30">
            <v>2.9788775817665265E-2</v>
          </cell>
        </row>
        <row r="31">
          <cell r="B31" t="str">
            <v>Electric Zonal - HZ23CZ1</v>
          </cell>
          <cell r="C31">
            <v>0.12476331328161443</v>
          </cell>
          <cell r="D31">
            <v>0.59999998409467525</v>
          </cell>
          <cell r="E31">
            <v>0.59999998409467525</v>
          </cell>
          <cell r="F31">
            <v>3.3197825672557038E-2</v>
          </cell>
        </row>
        <row r="32">
          <cell r="B32" t="str">
            <v>Electric Zonal - HZ23CZ23</v>
          </cell>
          <cell r="C32">
            <v>0.1649470283041021</v>
          </cell>
          <cell r="D32">
            <v>0.77777778759587934</v>
          </cell>
          <cell r="E32">
            <v>0.77777778759587934</v>
          </cell>
          <cell r="F32">
            <v>3.9084849826646118E-2</v>
          </cell>
        </row>
        <row r="33">
          <cell r="B33" t="str">
            <v>Electric Zonal - HZ1</v>
          </cell>
          <cell r="C33">
            <v>0.1391314348060306</v>
          </cell>
          <cell r="D33">
            <v>0.82591620954879041</v>
          </cell>
          <cell r="E33">
            <v>0.82591620954879041</v>
          </cell>
          <cell r="F33">
            <v>2.9912270132860779E-2</v>
          </cell>
        </row>
        <row r="34">
          <cell r="B34" t="str">
            <v>Electric Zonal - HZ23</v>
          </cell>
          <cell r="C34">
            <v>0.15414401084601026</v>
          </cell>
          <cell r="D34">
            <v>0.71428571563820797</v>
          </cell>
          <cell r="E34">
            <v>0.71428571563820797</v>
          </cell>
          <cell r="F34">
            <v>3.6944930507961368E-2</v>
          </cell>
        </row>
        <row r="35">
          <cell r="B35" t="str">
            <v>Electric Zonal - Region</v>
          </cell>
          <cell r="C35">
            <v>0.14287066416850494</v>
          </cell>
          <cell r="D35">
            <v>0.81033648311148054</v>
          </cell>
          <cell r="E35">
            <v>0.81033648311148054</v>
          </cell>
          <cell r="F35">
            <v>3.2508844225339915E-2</v>
          </cell>
        </row>
        <row r="36">
          <cell r="B36" t="str">
            <v>DHP - HZ1CZ1</v>
          </cell>
          <cell r="C36">
            <v>3.2261403645206709E-2</v>
          </cell>
          <cell r="D36">
            <v>2.3692380398754449E-2</v>
          </cell>
          <cell r="E36">
            <v>2.3692380398754449E-2</v>
          </cell>
          <cell r="F36">
            <v>1.2931050080460879E-2</v>
          </cell>
        </row>
        <row r="37">
          <cell r="B37" t="str">
            <v>DHP - HZ1CZ23</v>
          </cell>
          <cell r="C37">
            <v>1.0644758975689617E-2</v>
          </cell>
          <cell r="D37">
            <v>0</v>
          </cell>
          <cell r="E37">
            <v>0</v>
          </cell>
          <cell r="F37">
            <v>0</v>
          </cell>
        </row>
        <row r="38">
          <cell r="B38" t="str">
            <v>DHP - HZ23CZ1</v>
          </cell>
          <cell r="C38">
            <v>0</v>
          </cell>
          <cell r="D38">
            <v>0</v>
          </cell>
          <cell r="E38">
            <v>0</v>
          </cell>
          <cell r="F38">
            <v>2.3801185576297144E-2</v>
          </cell>
        </row>
        <row r="39">
          <cell r="B39" t="str">
            <v>DHP - HZ23CZ23</v>
          </cell>
          <cell r="C39">
            <v>2.8613550828090885E-3</v>
          </cell>
          <cell r="D39">
            <v>0</v>
          </cell>
          <cell r="E39">
            <v>0</v>
          </cell>
          <cell r="F39">
            <v>9.4794076514498494E-3</v>
          </cell>
        </row>
        <row r="40">
          <cell r="B40" t="str">
            <v>DHP - HZ1</v>
          </cell>
          <cell r="C40">
            <v>2.3837771598196254E-2</v>
          </cell>
          <cell r="D40">
            <v>1.8202414545664333E-2</v>
          </cell>
          <cell r="E40">
            <v>1.8202414545664333E-2</v>
          </cell>
          <cell r="F40">
            <v>6.761637103748332E-3</v>
          </cell>
        </row>
        <row r="41">
          <cell r="B41" t="str">
            <v>DHP - HZ23</v>
          </cell>
          <cell r="C41">
            <v>2.0921064233437379E-3</v>
          </cell>
          <cell r="D41">
            <v>0</v>
          </cell>
          <cell r="E41">
            <v>0</v>
          </cell>
          <cell r="F41">
            <v>1.4685339962430082E-2</v>
          </cell>
        </row>
        <row r="42">
          <cell r="B42" t="str">
            <v>DHP - Region</v>
          </cell>
          <cell r="C42">
            <v>1.8421510623943455E-2</v>
          </cell>
          <cell r="D42">
            <v>1.5661991860200661E-2</v>
          </cell>
          <cell r="E42">
            <v>1.5661991860200661E-2</v>
          </cell>
          <cell r="F42">
            <v>9.6871987634867523E-3</v>
          </cell>
        </row>
        <row r="43">
          <cell r="B43" t="str">
            <v>Central AC - CZ1</v>
          </cell>
          <cell r="C43">
            <v>8.7547645191238574E-2</v>
          </cell>
          <cell r="D43">
            <v>1.2325175673207357E-2</v>
          </cell>
          <cell r="E43">
            <v>1.2325175673207357E-2</v>
          </cell>
          <cell r="F43">
            <v>0.14076353391268348</v>
          </cell>
        </row>
        <row r="44">
          <cell r="B44" t="str">
            <v>Central AC - CZ23</v>
          </cell>
          <cell r="C44">
            <v>0.27842841395843276</v>
          </cell>
          <cell r="D44">
            <v>6.8965519290222155E-2</v>
          </cell>
          <cell r="E44">
            <v>6.8965519290222155E-2</v>
          </cell>
          <cell r="F44">
            <v>0.17641272113455647</v>
          </cell>
        </row>
        <row r="45">
          <cell r="B45" t="str">
            <v>Room A/C - CZ1</v>
          </cell>
          <cell r="C45">
            <v>3.8197963209166262E-2</v>
          </cell>
          <cell r="D45">
            <v>5.3226756579866766E-2</v>
          </cell>
          <cell r="E45">
            <v>5.3226756579866766E-2</v>
          </cell>
          <cell r="F45">
            <v>0.21069287259219041</v>
          </cell>
        </row>
        <row r="46">
          <cell r="B46" t="str">
            <v>Room A/C - CZ23</v>
          </cell>
          <cell r="C46">
            <v>9.88884449045868E-2</v>
          </cell>
          <cell r="D46">
            <v>0.10344827665008544</v>
          </cell>
          <cell r="E46">
            <v>0.10344827665008544</v>
          </cell>
          <cell r="F46">
            <v>0.16156829862253547</v>
          </cell>
        </row>
        <row r="47">
          <cell r="B47" t="str">
            <v>Electric WH</v>
          </cell>
          <cell r="C47">
            <v>0.55200000000000005</v>
          </cell>
          <cell r="D47">
            <v>0.94699999999999995</v>
          </cell>
          <cell r="E47">
            <v>0.94699999999999995</v>
          </cell>
          <cell r="F47">
            <v>0.88900000000000001</v>
          </cell>
        </row>
        <row r="48">
          <cell r="B48" t="str">
            <v>DWH &lt;55 inside</v>
          </cell>
          <cell r="C48">
            <v>0.34060273187152323</v>
          </cell>
          <cell r="D48">
            <v>0.69037391065424225</v>
          </cell>
          <cell r="E48">
            <v>0.69037391065424225</v>
          </cell>
          <cell r="F48">
            <v>0.64044035004660882</v>
          </cell>
        </row>
        <row r="49">
          <cell r="B49" t="str">
            <v>DHW &lt;55 outside buffer</v>
          </cell>
          <cell r="C49">
            <v>0.13278888545034082</v>
          </cell>
          <cell r="D49">
            <v>0</v>
          </cell>
          <cell r="E49">
            <v>0</v>
          </cell>
          <cell r="F49">
            <v>3.5084497934898207E-2</v>
          </cell>
        </row>
        <row r="50">
          <cell r="B50" t="str">
            <v>DHW &lt; 55 outside unbuffer</v>
          </cell>
          <cell r="C50">
            <v>0</v>
          </cell>
          <cell r="D50">
            <v>0</v>
          </cell>
          <cell r="E50">
            <v>0</v>
          </cell>
          <cell r="F50">
            <v>0.19050866802895391</v>
          </cell>
        </row>
        <row r="51">
          <cell r="B51" t="str">
            <v>DHW &gt;55 inside</v>
          </cell>
          <cell r="C51">
            <v>4.0633005829326954E-2</v>
          </cell>
          <cell r="D51">
            <v>5.571349522752414E-2</v>
          </cell>
          <cell r="E51">
            <v>5.571349522752414E-2</v>
          </cell>
          <cell r="F51">
            <v>0</v>
          </cell>
        </row>
        <row r="52">
          <cell r="B52" t="str">
            <v>DHW &gt;55 outside buffer</v>
          </cell>
          <cell r="C52">
            <v>1.9105116539180608E-2</v>
          </cell>
          <cell r="D52">
            <v>0</v>
          </cell>
          <cell r="E52">
            <v>0</v>
          </cell>
          <cell r="F52">
            <v>0</v>
          </cell>
        </row>
        <row r="53">
          <cell r="B53" t="str">
            <v>DHW &gt;55 outside unbuffer</v>
          </cell>
          <cell r="C53">
            <v>7.8395734639023578E-4</v>
          </cell>
          <cell r="D53">
            <v>0</v>
          </cell>
          <cell r="E53">
            <v>0</v>
          </cell>
          <cell r="F53">
            <v>0</v>
          </cell>
        </row>
        <row r="54">
          <cell r="B54" t="str">
            <v>Refrigerator</v>
          </cell>
          <cell r="C54">
            <v>1.2831400506742725</v>
          </cell>
          <cell r="D54">
            <v>1.0236201688615751</v>
          </cell>
          <cell r="E54">
            <v>1.0236201688615751</v>
          </cell>
          <cell r="F54">
            <v>1.1963734390534748</v>
          </cell>
        </row>
        <row r="55">
          <cell r="B55" t="str">
            <v>Freezer</v>
          </cell>
          <cell r="C55">
            <v>0.52766223341265472</v>
          </cell>
          <cell r="D55">
            <v>4.7085148422193572E-2</v>
          </cell>
          <cell r="E55">
            <v>4.7085148422193572E-2</v>
          </cell>
          <cell r="F55">
            <v>0.44147575101117187</v>
          </cell>
        </row>
        <row r="56">
          <cell r="B56" t="str">
            <v>Clothes Washer</v>
          </cell>
          <cell r="C56">
            <v>0.98546930096285335</v>
          </cell>
          <cell r="D56">
            <v>0.46477658924872384</v>
          </cell>
          <cell r="E56">
            <v>0.46477658924872384</v>
          </cell>
          <cell r="F56">
            <v>0.95368270905809616</v>
          </cell>
        </row>
        <row r="57">
          <cell r="B57" t="str">
            <v>Clothes Dryer</v>
          </cell>
          <cell r="C57">
            <v>0.93640551858187504</v>
          </cell>
          <cell r="D57">
            <v>0.46266057162974022</v>
          </cell>
          <cell r="E57">
            <v>0.46266057162974022</v>
          </cell>
          <cell r="F57">
            <v>0.88480083438048951</v>
          </cell>
        </row>
        <row r="58">
          <cell r="B58" t="str">
            <v>Dishwasher</v>
          </cell>
          <cell r="C58">
            <v>0.87764489634961651</v>
          </cell>
          <cell r="D58">
            <v>0.78113749066870952</v>
          </cell>
          <cell r="E58">
            <v>0.78113749066870952</v>
          </cell>
          <cell r="F58">
            <v>0.76196535734220561</v>
          </cell>
        </row>
        <row r="59">
          <cell r="B59" t="str">
            <v>Microwave</v>
          </cell>
          <cell r="C59">
            <v>0.95</v>
          </cell>
          <cell r="D59">
            <v>0.95</v>
          </cell>
          <cell r="E59">
            <v>0.95</v>
          </cell>
          <cell r="F59">
            <v>0.95</v>
          </cell>
        </row>
        <row r="60">
          <cell r="B60" t="str">
            <v>Electric Oven</v>
          </cell>
          <cell r="C60">
            <v>0.86895503473004965</v>
          </cell>
          <cell r="D60">
            <v>0.96585088459989477</v>
          </cell>
          <cell r="E60">
            <v>0.96585088459989477</v>
          </cell>
          <cell r="F60">
            <v>0.89920410170315002</v>
          </cell>
        </row>
        <row r="61">
          <cell r="B61" t="str">
            <v>TV</v>
          </cell>
          <cell r="C61">
            <v>2.2906090340948593</v>
          </cell>
          <cell r="D61">
            <v>1.5145007606068333</v>
          </cell>
          <cell r="E61">
            <v>1.5145007606068333</v>
          </cell>
          <cell r="F61">
            <v>2.0454162110233622</v>
          </cell>
        </row>
        <row r="62">
          <cell r="B62" t="str">
            <v>Set top box</v>
          </cell>
          <cell r="C62">
            <v>1.0654190989347723</v>
          </cell>
          <cell r="D62">
            <v>1.038434724492763</v>
          </cell>
          <cell r="E62">
            <v>1.038434724492763</v>
          </cell>
          <cell r="F62">
            <v>1.3170555258448295</v>
          </cell>
        </row>
        <row r="63">
          <cell r="B63" t="str">
            <v>Computer</v>
          </cell>
          <cell r="C63">
            <v>1.6655502145549572</v>
          </cell>
          <cell r="D63">
            <v>0.71239882016544165</v>
          </cell>
          <cell r="E63">
            <v>0.71239882016544165</v>
          </cell>
          <cell r="F63">
            <v>1.1331497454290105</v>
          </cell>
        </row>
        <row r="64">
          <cell r="B64" t="str">
            <v>Monitor</v>
          </cell>
          <cell r="C64">
            <v>1.0109839382712824</v>
          </cell>
          <cell r="D64">
            <v>0.45062457275939666</v>
          </cell>
          <cell r="E64">
            <v>0.45062457275939666</v>
          </cell>
          <cell r="F64">
            <v>0.72198913200149617</v>
          </cell>
        </row>
        <row r="65">
          <cell r="B65" t="str">
            <v>EISA nx</v>
          </cell>
          <cell r="C65">
            <v>0.73183262488926393</v>
          </cell>
          <cell r="D65">
            <v>0.41826483853544827</v>
          </cell>
          <cell r="E65">
            <v>0.41826483853544827</v>
          </cell>
          <cell r="F65">
            <v>0.81140182193357802</v>
          </cell>
        </row>
        <row r="66">
          <cell r="B66" t="str">
            <v>EISA x</v>
          </cell>
          <cell r="C66">
            <v>0.26816737511073607</v>
          </cell>
          <cell r="D66">
            <v>0.58148897029728519</v>
          </cell>
          <cell r="E66">
            <v>0.58148897029728519</v>
          </cell>
          <cell r="F66">
            <v>0.18859817806642193</v>
          </cell>
        </row>
        <row r="67">
          <cell r="B67" t="str">
            <v>WallSqft</v>
          </cell>
          <cell r="C67">
            <v>1802.7725325176218</v>
          </cell>
          <cell r="D67">
            <v>487</v>
          </cell>
          <cell r="F67">
            <v>1216.4209797598855</v>
          </cell>
        </row>
        <row r="68">
          <cell r="B68" t="str">
            <v>AtticSqft</v>
          </cell>
          <cell r="C68">
            <v>1431.3235818765609</v>
          </cell>
          <cell r="D68">
            <v>407</v>
          </cell>
          <cell r="F68">
            <v>1280</v>
          </cell>
        </row>
        <row r="69">
          <cell r="B69" t="str">
            <v>FloorSqft</v>
          </cell>
          <cell r="C69">
            <v>1431.3235818765609</v>
          </cell>
          <cell r="D69">
            <v>390</v>
          </cell>
          <cell r="F69">
            <v>1280</v>
          </cell>
        </row>
        <row r="70">
          <cell r="B70" t="str">
            <v>WindowSqft</v>
          </cell>
          <cell r="C70">
            <v>178.91544773457011</v>
          </cell>
          <cell r="D70">
            <v>174</v>
          </cell>
          <cell r="F70">
            <v>160</v>
          </cell>
        </row>
        <row r="71">
          <cell r="B71" t="str">
            <v>HomeSqft</v>
          </cell>
          <cell r="C71">
            <v>2006</v>
          </cell>
          <cell r="D71">
            <v>1150</v>
          </cell>
          <cell r="E71">
            <v>1150</v>
          </cell>
          <cell r="F71">
            <v>1280</v>
          </cell>
        </row>
        <row r="72">
          <cell r="B72" t="str">
            <v>Lighting</v>
          </cell>
          <cell r="C72">
            <v>63</v>
          </cell>
          <cell r="D72">
            <v>23</v>
          </cell>
          <cell r="E72">
            <v>23</v>
          </cell>
          <cell r="F72">
            <v>34.5</v>
          </cell>
        </row>
        <row r="86">
          <cell r="B86" t="str">
            <v>FORECAST</v>
          </cell>
          <cell r="C86" t="str">
            <v>BLDGTYPE</v>
          </cell>
        </row>
        <row r="87">
          <cell r="B87" t="str">
            <v>Vars</v>
          </cell>
          <cell r="C87" t="str">
            <v>Single Family</v>
          </cell>
          <cell r="D87" t="str">
            <v>Multifamily - Low Rise</v>
          </cell>
          <cell r="E87" t="str">
            <v>Multifamily - High Rise</v>
          </cell>
          <cell r="F87" t="str">
            <v>Manufactured</v>
          </cell>
        </row>
        <row r="88">
          <cell r="B88" t="str">
            <v>Electric FAF - HZ1CZ1</v>
          </cell>
          <cell r="C88">
            <v>1.8379055706406227E-2</v>
          </cell>
          <cell r="D88">
            <v>2.9671514740017984E-2</v>
          </cell>
          <cell r="E88">
            <v>2.9671514740017984E-2</v>
          </cell>
          <cell r="F88">
            <v>0.68310644913823848</v>
          </cell>
        </row>
        <row r="89">
          <cell r="B89" t="str">
            <v>Electric FAF - HZ1CZ23</v>
          </cell>
          <cell r="C89">
            <v>2.412923495568365E-2</v>
          </cell>
          <cell r="D89">
            <v>0</v>
          </cell>
          <cell r="E89">
            <v>0</v>
          </cell>
          <cell r="F89">
            <v>0.53068387215316171</v>
          </cell>
        </row>
        <row r="90">
          <cell r="B90" t="str">
            <v>Electric FAF - HZ23CZ1</v>
          </cell>
          <cell r="C90">
            <v>1.4117647058823532E-2</v>
          </cell>
          <cell r="D90">
            <v>0</v>
          </cell>
          <cell r="E90">
            <v>0</v>
          </cell>
          <cell r="F90">
            <v>0.29641575914254098</v>
          </cell>
        </row>
        <row r="91">
          <cell r="B91" t="str">
            <v>Electric FAF - HZ23CZ23</v>
          </cell>
          <cell r="C91">
            <v>0.14117647058823535</v>
          </cell>
          <cell r="D91">
            <v>0</v>
          </cell>
          <cell r="E91">
            <v>0</v>
          </cell>
          <cell r="F91">
            <v>0.49242118699820225</v>
          </cell>
        </row>
        <row r="92">
          <cell r="B92" t="str">
            <v>Electric FAF - HZ1</v>
          </cell>
          <cell r="C92">
            <v>2.0048426314096562E-2</v>
          </cell>
          <cell r="D92">
            <v>2.279607208754721E-2</v>
          </cell>
          <cell r="E92">
            <v>2.279607208754721E-2</v>
          </cell>
          <cell r="F92">
            <v>0.6103855317692306</v>
          </cell>
        </row>
        <row r="93">
          <cell r="B93" t="str">
            <v>Electric FAF - HZ23</v>
          </cell>
          <cell r="C93">
            <v>8.8458324594873558E-2</v>
          </cell>
          <cell r="D93">
            <v>0</v>
          </cell>
          <cell r="E93">
            <v>0</v>
          </cell>
          <cell r="F93">
            <v>0.42117367880782697</v>
          </cell>
        </row>
        <row r="94">
          <cell r="B94" t="str">
            <v>Electric FAF - Region</v>
          </cell>
          <cell r="C94">
            <v>2.1766292465668989E-2</v>
          </cell>
          <cell r="D94">
            <v>1.96145349060163E-2</v>
          </cell>
          <cell r="E94">
            <v>1.96145349060163E-2</v>
          </cell>
          <cell r="F94">
            <v>0.54052539788177201</v>
          </cell>
        </row>
        <row r="95">
          <cell r="B95" t="str">
            <v>Electric FAF w/ CAC - HZ1CZ1</v>
          </cell>
          <cell r="C95">
            <v>0.13310430527104683</v>
          </cell>
          <cell r="D95">
            <v>0</v>
          </cell>
          <cell r="E95">
            <v>0</v>
          </cell>
          <cell r="F95">
            <v>0.15868069027846163</v>
          </cell>
        </row>
        <row r="96">
          <cell r="B96" t="str">
            <v>Electric FAF w/ CAC - HZ1CZ23</v>
          </cell>
          <cell r="C96">
            <v>0.12117534162825606</v>
          </cell>
          <cell r="D96">
            <v>0</v>
          </cell>
          <cell r="E96">
            <v>0</v>
          </cell>
          <cell r="F96">
            <v>4.8523578535561704E-2</v>
          </cell>
        </row>
        <row r="97">
          <cell r="B97" t="str">
            <v>Electric FAF w/ CAC - HZ23CZ1</v>
          </cell>
          <cell r="C97">
            <v>1.9503476240466618E-2</v>
          </cell>
          <cell r="D97">
            <v>0</v>
          </cell>
          <cell r="E97">
            <v>0</v>
          </cell>
          <cell r="F97">
            <v>8.6847892074621388E-2</v>
          </cell>
        </row>
        <row r="98">
          <cell r="B98" t="str">
            <v>Electric FAF w/ CAC - HZ23CZ23</v>
          </cell>
          <cell r="C98">
            <v>3.0407952417464763E-2</v>
          </cell>
          <cell r="D98">
            <v>0</v>
          </cell>
          <cell r="E98">
            <v>0</v>
          </cell>
          <cell r="F98">
            <v>6.4577174474630405E-2</v>
          </cell>
        </row>
        <row r="99">
          <cell r="B99" t="str">
            <v>Heat Pump - HZ1CZ1</v>
          </cell>
          <cell r="C99">
            <v>7.4095770994953139E-2</v>
          </cell>
          <cell r="D99">
            <v>1.0945836048995988E-3</v>
          </cell>
          <cell r="E99">
            <v>1.0945836048995988E-3</v>
          </cell>
          <cell r="F99">
            <v>0.11042200533666623</v>
          </cell>
        </row>
        <row r="100">
          <cell r="B100" t="str">
            <v>Heat Pump - HZ1CZ23</v>
          </cell>
          <cell r="C100">
            <v>0.1235678638282882</v>
          </cell>
          <cell r="D100">
            <v>4.9999998343195358E-2</v>
          </cell>
          <cell r="E100">
            <v>4.9999998343195358E-2</v>
          </cell>
          <cell r="F100">
            <v>0.3014354043468136</v>
          </cell>
        </row>
        <row r="101">
          <cell r="B101" t="str">
            <v>Heat Pump - HZ23CZ1</v>
          </cell>
          <cell r="C101">
            <v>0.11294117647058827</v>
          </cell>
          <cell r="D101">
            <v>0</v>
          </cell>
          <cell r="E101">
            <v>0</v>
          </cell>
          <cell r="F101">
            <v>1.6598912836278519E-2</v>
          </cell>
        </row>
        <row r="102">
          <cell r="B102" t="str">
            <v>Heat Pump - HZ23CZ23</v>
          </cell>
          <cell r="C102">
            <v>0</v>
          </cell>
          <cell r="D102">
            <v>0</v>
          </cell>
          <cell r="E102">
            <v>0</v>
          </cell>
          <cell r="F102">
            <v>7.8940309013942875E-2</v>
          </cell>
        </row>
        <row r="103">
          <cell r="B103" t="str">
            <v>Heat Pump - HZ1</v>
          </cell>
          <cell r="C103">
            <v>8.8458324594873558E-2</v>
          </cell>
          <cell r="D103">
            <v>1.2426879154171162E-2</v>
          </cell>
          <cell r="E103">
            <v>1.2426879154171162E-2</v>
          </cell>
          <cell r="F103">
            <v>0.20155463070325005</v>
          </cell>
        </row>
        <row r="104">
          <cell r="B104" t="str">
            <v>Heat Pump - HZ23</v>
          </cell>
          <cell r="C104">
            <v>9.6333066453162572E-2</v>
          </cell>
          <cell r="D104">
            <v>0</v>
          </cell>
          <cell r="E104">
            <v>0</v>
          </cell>
          <cell r="F104">
            <v>5.6279359348618191E-2</v>
          </cell>
        </row>
        <row r="105">
          <cell r="B105" t="str">
            <v>Heat Pump - Region</v>
          </cell>
          <cell r="C105">
            <v>8.9373362312324317E-2</v>
          </cell>
          <cell r="D105">
            <v>1.0692519922126772E-2</v>
          </cell>
          <cell r="E105">
            <v>1.0692519922126772E-2</v>
          </cell>
          <cell r="F105">
            <v>0.14791660671834839</v>
          </cell>
        </row>
        <row r="106">
          <cell r="B106" t="str">
            <v>Electric Zonal - HZ1CZ1</v>
          </cell>
          <cell r="C106">
            <v>6.1965327738795109E-2</v>
          </cell>
          <cell r="D106">
            <v>0.85383980263040493</v>
          </cell>
          <cell r="E106">
            <v>0.85383980263040493</v>
          </cell>
          <cell r="F106">
            <v>3.0024948086295324E-2</v>
          </cell>
        </row>
        <row r="107">
          <cell r="B107" t="str">
            <v>Electric Zonal - HZ1CZ23</v>
          </cell>
          <cell r="C107">
            <v>6.7430556561826104E-3</v>
          </cell>
          <cell r="D107">
            <v>0.73333333554240632</v>
          </cell>
          <cell r="E107">
            <v>0.73333333554240632</v>
          </cell>
          <cell r="F107">
            <v>2.9788775817665265E-2</v>
          </cell>
        </row>
        <row r="108">
          <cell r="B108" t="str">
            <v>Electric Zonal - HZ23CZ1</v>
          </cell>
          <cell r="C108">
            <v>1.4117647058823532E-2</v>
          </cell>
          <cell r="D108">
            <v>0.59999998409467525</v>
          </cell>
          <cell r="E108">
            <v>0.59999998409467525</v>
          </cell>
          <cell r="F108">
            <v>3.3197825672557038E-2</v>
          </cell>
        </row>
        <row r="109">
          <cell r="B109" t="str">
            <v>Electric Zonal - HZ23CZ23</v>
          </cell>
          <cell r="C109">
            <v>0</v>
          </cell>
          <cell r="D109">
            <v>0.77777778759587934</v>
          </cell>
          <cell r="E109">
            <v>0.77777778759587934</v>
          </cell>
          <cell r="F109">
            <v>3.9084849826646118E-2</v>
          </cell>
        </row>
        <row r="110">
          <cell r="B110" t="str">
            <v>Electric Zonal - HZ1</v>
          </cell>
          <cell r="C110">
            <v>2.0048426314096562E-2</v>
          </cell>
          <cell r="D110">
            <v>0.82591620954879041</v>
          </cell>
          <cell r="E110">
            <v>0.82591620954879041</v>
          </cell>
          <cell r="F110">
            <v>2.9912270132860779E-2</v>
          </cell>
        </row>
        <row r="111">
          <cell r="B111" t="str">
            <v>Electric Zonal - HZ23</v>
          </cell>
          <cell r="C111">
            <v>1.204163330664532E-2</v>
          </cell>
          <cell r="D111">
            <v>0.71428571563820797</v>
          </cell>
          <cell r="E111">
            <v>0.71428571563820797</v>
          </cell>
          <cell r="F111">
            <v>3.6944930507961368E-2</v>
          </cell>
        </row>
        <row r="112">
          <cell r="B112" t="str">
            <v>Electric Zonal - Region</v>
          </cell>
          <cell r="C112">
            <v>4.1178226016708668E-2</v>
          </cell>
          <cell r="D112">
            <v>0.81033648311148054</v>
          </cell>
          <cell r="E112">
            <v>0.81033648311148054</v>
          </cell>
          <cell r="F112">
            <v>3.2508844225339915E-2</v>
          </cell>
        </row>
        <row r="113">
          <cell r="B113" t="str">
            <v>DHP - HZ1CZ1</v>
          </cell>
          <cell r="C113">
            <v>0</v>
          </cell>
          <cell r="D113">
            <v>2.3692380398754449E-2</v>
          </cell>
          <cell r="E113">
            <v>2.3692380398754449E-2</v>
          </cell>
          <cell r="F113">
            <v>1.2931050080460879E-2</v>
          </cell>
        </row>
        <row r="114">
          <cell r="B114" t="str">
            <v>DHP - HZ1CZ23</v>
          </cell>
          <cell r="C114">
            <v>0</v>
          </cell>
          <cell r="D114">
            <v>0</v>
          </cell>
          <cell r="E114">
            <v>0</v>
          </cell>
          <cell r="F114">
            <v>0</v>
          </cell>
        </row>
        <row r="115">
          <cell r="B115" t="str">
            <v>DHP - HZ23CZ1</v>
          </cell>
          <cell r="C115">
            <v>0</v>
          </cell>
          <cell r="D115">
            <v>0</v>
          </cell>
          <cell r="E115">
            <v>0</v>
          </cell>
          <cell r="F115">
            <v>2.3801185576297144E-2</v>
          </cell>
        </row>
        <row r="116">
          <cell r="B116" t="str">
            <v>DHP - HZ23CZ23</v>
          </cell>
          <cell r="C116">
            <v>0</v>
          </cell>
          <cell r="D116">
            <v>0</v>
          </cell>
          <cell r="E116">
            <v>0</v>
          </cell>
          <cell r="F116">
            <v>9.4794076514498494E-3</v>
          </cell>
        </row>
        <row r="117">
          <cell r="B117" t="str">
            <v>DHP - HZ1</v>
          </cell>
          <cell r="C117">
            <v>0</v>
          </cell>
          <cell r="D117">
            <v>1.8202414545664333E-2</v>
          </cell>
          <cell r="E117">
            <v>1.8202414545664333E-2</v>
          </cell>
          <cell r="F117">
            <v>6.761637103748332E-3</v>
          </cell>
        </row>
        <row r="118">
          <cell r="B118" t="str">
            <v>DHP - HZ23</v>
          </cell>
          <cell r="C118">
            <v>0</v>
          </cell>
          <cell r="D118">
            <v>0</v>
          </cell>
          <cell r="E118">
            <v>0</v>
          </cell>
          <cell r="F118">
            <v>1.4685339962430082E-2</v>
          </cell>
        </row>
        <row r="119">
          <cell r="B119" t="str">
            <v>DHP - Region</v>
          </cell>
          <cell r="C119">
            <v>0</v>
          </cell>
          <cell r="D119">
            <v>1.5661991860200661E-2</v>
          </cell>
          <cell r="E119">
            <v>1.5661991860200661E-2</v>
          </cell>
          <cell r="F119">
            <v>9.6871987634867523E-3</v>
          </cell>
        </row>
      </sheetData>
      <sheetData sheetId="12">
        <row r="8">
          <cell r="B8" t="str">
            <v>Multifamily - Low Rise</v>
          </cell>
        </row>
        <row r="9">
          <cell r="B9" t="str">
            <v>Multifamily - High Rise</v>
          </cell>
        </row>
        <row r="10">
          <cell r="B10" t="str">
            <v>Manufactured</v>
          </cell>
        </row>
        <row r="12">
          <cell r="C12">
            <v>0</v>
          </cell>
          <cell r="D12">
            <v>0</v>
          </cell>
          <cell r="E12">
            <v>0</v>
          </cell>
          <cell r="F12">
            <v>0</v>
          </cell>
        </row>
      </sheetData>
      <sheetData sheetId="13">
        <row r="8">
          <cell r="B8" t="str">
            <v>forced air furnace saturation in heating zone 2&amp;3 cooling zone 1</v>
          </cell>
          <cell r="C8">
            <v>3</v>
          </cell>
        </row>
        <row r="9">
          <cell r="B9" t="str">
            <v>forced air furnace saturation in heating zone 2&amp;3 cooling zone 2&amp;3</v>
          </cell>
          <cell r="C9">
            <v>4</v>
          </cell>
        </row>
        <row r="10">
          <cell r="B10" t="str">
            <v>forced air furnace saturation in heating zone 1</v>
          </cell>
          <cell r="C10">
            <v>5</v>
          </cell>
        </row>
        <row r="11">
          <cell r="B11" t="str">
            <v>forced air furnace saturation in heating zone 2&amp;3</v>
          </cell>
          <cell r="C11">
            <v>6</v>
          </cell>
        </row>
        <row r="12">
          <cell r="B12" t="str">
            <v>forced air furnace saturation across region</v>
          </cell>
        </row>
        <row r="13">
          <cell r="B13" t="str">
            <v>forced air furnace saturation w/CAC in heating zone 1 cooling zone 1</v>
          </cell>
          <cell r="C13">
            <v>8</v>
          </cell>
        </row>
        <row r="14">
          <cell r="B14" t="str">
            <v>forced air furnace saturation w/CAC in heating zone 1 cooling zone 2&amp;3</v>
          </cell>
          <cell r="C14">
            <v>9</v>
          </cell>
        </row>
        <row r="15">
          <cell r="B15" t="str">
            <v>forced air furnace saturation w/CAC in heating zone 2&amp;3 cooling zone 1</v>
          </cell>
          <cell r="C15">
            <v>10</v>
          </cell>
        </row>
        <row r="16">
          <cell r="B16" t="str">
            <v>forced air furnace saturation w/CAC in heating zone 2&amp;3 cooling zone 2&amp;3</v>
          </cell>
          <cell r="C16">
            <v>11</v>
          </cell>
        </row>
        <row r="17">
          <cell r="B17" t="str">
            <v>air source heat pump saturation in heating zone 1 cooling zone 1</v>
          </cell>
          <cell r="C17">
            <v>12</v>
          </cell>
        </row>
        <row r="18">
          <cell r="B18" t="str">
            <v>air source heat pump saturation in heating zone 1 cooling zone 2&amp;3</v>
          </cell>
          <cell r="C18">
            <v>13</v>
          </cell>
        </row>
        <row r="19">
          <cell r="B19" t="str">
            <v>air source heat pump saturation in heating zone 2&amp;3 cooling zone 1</v>
          </cell>
          <cell r="C19">
            <v>14</v>
          </cell>
        </row>
        <row r="20">
          <cell r="B20" t="str">
            <v>air source heat pump saturation in heating zone 2&amp;3 cooling zone 2&amp;3</v>
          </cell>
          <cell r="C20">
            <v>15</v>
          </cell>
        </row>
        <row r="21">
          <cell r="B21" t="str">
            <v>air source heat pump saturation in heating zone 1</v>
          </cell>
        </row>
        <row r="22">
          <cell r="B22" t="str">
            <v>air source heat pump saturation in heating zone 2&amp;3</v>
          </cell>
        </row>
        <row r="23">
          <cell r="B23" t="str">
            <v>air source heat pump saturation across region</v>
          </cell>
        </row>
        <row r="24">
          <cell r="B24" t="str">
            <v>forced air furnace saturation in heating zone 1 cooling zone 1</v>
          </cell>
          <cell r="C24">
            <v>19</v>
          </cell>
        </row>
        <row r="25">
          <cell r="B25" t="str">
            <v>forced air furnace saturation in heating zone 1 cooling zone 2&amp;3</v>
          </cell>
          <cell r="C25">
            <v>20</v>
          </cell>
        </row>
        <row r="26">
          <cell r="B26" t="str">
            <v>forced air furnace saturation in heating zone 2&amp;3 cooling zone 1</v>
          </cell>
          <cell r="C26">
            <v>21</v>
          </cell>
        </row>
        <row r="27">
          <cell r="B27" t="str">
            <v>forced air furnace saturation in heating zone 2&amp;3 cooling zone 2&amp;3</v>
          </cell>
          <cell r="C27">
            <v>22</v>
          </cell>
        </row>
        <row r="28">
          <cell r="B28" t="str">
            <v>forced air furnace saturation in heating zone 1</v>
          </cell>
          <cell r="C28">
            <v>23</v>
          </cell>
        </row>
        <row r="29">
          <cell r="B29" t="str">
            <v>forced air furnace saturation in heating zone 2&amp;3</v>
          </cell>
          <cell r="C29">
            <v>24</v>
          </cell>
        </row>
        <row r="30">
          <cell r="B30" t="str">
            <v>forced air furnace saturation across region</v>
          </cell>
        </row>
        <row r="31">
          <cell r="B31" t="str">
            <v>ductless heat pump saturation in heating zone 1 cooling zone 1</v>
          </cell>
          <cell r="C31">
            <v>26</v>
          </cell>
        </row>
        <row r="32">
          <cell r="B32" t="str">
            <v>ductless heat pump saturation in heating zone 1 cooling zone 2&amp;3</v>
          </cell>
          <cell r="C32">
            <v>27</v>
          </cell>
        </row>
        <row r="33">
          <cell r="B33" t="str">
            <v>ductless heat pump saturation in heating zone 2&amp;3 cooling zone 1</v>
          </cell>
          <cell r="C33">
            <v>28</v>
          </cell>
        </row>
        <row r="34">
          <cell r="B34" t="str">
            <v>ductless heat pump saturation in heating zone 2&amp;3 cooling zone 2&amp;3</v>
          </cell>
          <cell r="C34">
            <v>29</v>
          </cell>
        </row>
        <row r="35">
          <cell r="B35" t="str">
            <v>ductless heat pump saturation in heating zone 1</v>
          </cell>
          <cell r="C35">
            <v>30</v>
          </cell>
        </row>
        <row r="36">
          <cell r="B36" t="str">
            <v>ductless heat pump saturation in heating zone 2&amp;3</v>
          </cell>
          <cell r="C36">
            <v>31</v>
          </cell>
        </row>
        <row r="37">
          <cell r="B37" t="str">
            <v>ductless heat pump saturation across region</v>
          </cell>
        </row>
        <row r="38">
          <cell r="B38" t="str">
            <v>central air conditioner saturation in cooling zone 1</v>
          </cell>
          <cell r="C38">
            <v>33</v>
          </cell>
        </row>
        <row r="39">
          <cell r="B39" t="str">
            <v>central air conditioner saturation in cooling zone 2&amp;3</v>
          </cell>
          <cell r="C39">
            <v>34</v>
          </cell>
        </row>
        <row r="40">
          <cell r="B40" t="str">
            <v>room air conditioner saturation in cooling zone 1</v>
          </cell>
          <cell r="C40">
            <v>35</v>
          </cell>
        </row>
        <row r="41">
          <cell r="B41" t="str">
            <v>room air conditioner saturation in cooling zone 2&amp;3</v>
          </cell>
          <cell r="C41">
            <v>36</v>
          </cell>
        </row>
        <row r="42">
          <cell r="B42" t="str">
            <v>Electric water heater saturation in region</v>
          </cell>
        </row>
        <row r="43">
          <cell r="B43" t="str">
            <v>Electric water heater &lt; 55 gal inside conditioned space</v>
          </cell>
          <cell r="C43">
            <v>38</v>
          </cell>
        </row>
        <row r="44">
          <cell r="B44" t="str">
            <v>Electric water heater &lt; 55 gal in buffered space</v>
          </cell>
          <cell r="C44">
            <v>39</v>
          </cell>
        </row>
        <row r="45">
          <cell r="B45" t="str">
            <v>Electric water heater &lt; 55 gal in unbuffered space</v>
          </cell>
        </row>
        <row r="46">
          <cell r="B46" t="str">
            <v>Electric water heater &gt;= 55 gal inside conditioned space</v>
          </cell>
          <cell r="C46">
            <v>41</v>
          </cell>
        </row>
        <row r="47">
          <cell r="B47" t="str">
            <v>Electric water heater &gt;= 55 gal in buffered space</v>
          </cell>
          <cell r="C47">
            <v>42</v>
          </cell>
        </row>
        <row r="48">
          <cell r="B48" t="str">
            <v>Electric water heater &gt;= 55 gal in unbuffered space</v>
          </cell>
        </row>
        <row r="49">
          <cell r="B49" t="str">
            <v>Saturation of Refrigerator in homes</v>
          </cell>
          <cell r="C49">
            <v>44</v>
          </cell>
        </row>
        <row r="50">
          <cell r="B50" t="str">
            <v>Saturation of Freezer in homes</v>
          </cell>
          <cell r="C50">
            <v>45</v>
          </cell>
        </row>
        <row r="51">
          <cell r="B51" t="str">
            <v>Saturation of Clothes Washer in homes</v>
          </cell>
          <cell r="C51">
            <v>46</v>
          </cell>
        </row>
        <row r="52">
          <cell r="B52" t="str">
            <v>Saturation of Clothes Dryer in homes</v>
          </cell>
          <cell r="C52">
            <v>47</v>
          </cell>
        </row>
        <row r="53">
          <cell r="B53" t="str">
            <v>Saturation of Dishwasher in homes</v>
          </cell>
          <cell r="C53">
            <v>48</v>
          </cell>
        </row>
        <row r="54">
          <cell r="B54" t="str">
            <v>Saturation of Microwave in homes</v>
          </cell>
          <cell r="C54">
            <v>49</v>
          </cell>
        </row>
        <row r="55">
          <cell r="B55" t="str">
            <v>Saturation of Electric Oven in homes</v>
          </cell>
          <cell r="C55">
            <v>50</v>
          </cell>
        </row>
        <row r="56">
          <cell r="B56" t="str">
            <v>Saturation of TV in homes</v>
          </cell>
          <cell r="C56">
            <v>51</v>
          </cell>
        </row>
        <row r="57">
          <cell r="B57" t="str">
            <v>Saturation of Set top box in homes</v>
          </cell>
          <cell r="C57">
            <v>52</v>
          </cell>
        </row>
        <row r="58">
          <cell r="B58" t="str">
            <v>Saturation of Computer in homes</v>
          </cell>
          <cell r="C58">
            <v>53</v>
          </cell>
        </row>
        <row r="59">
          <cell r="B59" t="str">
            <v>Saturation of Monitor in homes</v>
          </cell>
          <cell r="C59">
            <v>54</v>
          </cell>
        </row>
        <row r="60">
          <cell r="B60" t="str">
            <v>Saturation of EISA-nonexempt bulbs in homes</v>
          </cell>
          <cell r="C60">
            <v>55</v>
          </cell>
        </row>
        <row r="61">
          <cell r="B61" t="str">
            <v>Saturation of EISA-exempt bulbs in homes</v>
          </cell>
          <cell r="C61">
            <v>56</v>
          </cell>
        </row>
        <row r="62">
          <cell r="B62" t="str">
            <v>Average square feet of walls</v>
          </cell>
        </row>
        <row r="63">
          <cell r="B63" t="str">
            <v>Average square feet of attic</v>
          </cell>
        </row>
        <row r="64">
          <cell r="B64" t="str">
            <v>Average square feet of floors</v>
          </cell>
        </row>
        <row r="65">
          <cell r="B65" t="str">
            <v>Average square feet of windows</v>
          </cell>
        </row>
        <row r="66">
          <cell r="B66" t="str">
            <v>Averagetotal square feet of homes</v>
          </cell>
        </row>
        <row r="67">
          <cell r="B67" t="str">
            <v>Number of bulbs per house</v>
          </cell>
        </row>
      </sheetData>
      <sheetData sheetId="14">
        <row r="8">
          <cell r="B8" t="str">
            <v>Workshop</v>
          </cell>
          <cell r="C8" t="str">
            <v>Other</v>
          </cell>
          <cell r="D8" t="str">
            <v>Other</v>
          </cell>
          <cell r="E8" t="str">
            <v>Other</v>
          </cell>
        </row>
        <row r="9">
          <cell r="B9" t="str">
            <v>Skilled Nursing</v>
          </cell>
        </row>
        <row r="10">
          <cell r="B10" t="str">
            <v>Warehouse</v>
          </cell>
        </row>
        <row r="11">
          <cell r="B11" t="str">
            <v>Other</v>
          </cell>
        </row>
        <row r="13">
          <cell r="D13" t="str">
            <v>Characteristics</v>
          </cell>
        </row>
        <row r="14">
          <cell r="C14" t="str">
            <v>NPPC BUILDTYPE</v>
          </cell>
          <cell r="D14" t="str">
            <v>Primary Activity</v>
          </cell>
          <cell r="E14" t="str">
            <v>Gross Floor Area</v>
          </cell>
          <cell r="F14" t="str">
            <v>Number of Stories</v>
          </cell>
        </row>
        <row r="15">
          <cell r="C15" t="str">
            <v>Large Off</v>
          </cell>
          <cell r="D15" t="str">
            <v>Office</v>
          </cell>
          <cell r="E15" t="str">
            <v>&gt; 100,000</v>
          </cell>
          <cell r="F15" t="str">
            <v>Any</v>
          </cell>
        </row>
        <row r="16">
          <cell r="C16" t="str">
            <v>Medium Off</v>
          </cell>
          <cell r="D16" t="str">
            <v>Office</v>
          </cell>
          <cell r="E16" t="str">
            <v>20,000 to 100,000</v>
          </cell>
          <cell r="F16" t="str">
            <v>Any</v>
          </cell>
        </row>
        <row r="17">
          <cell r="C17" t="str">
            <v>Small Off</v>
          </cell>
          <cell r="D17" t="str">
            <v>Office</v>
          </cell>
          <cell r="E17" t="str">
            <v>&lt; 20,000</v>
          </cell>
          <cell r="F17" t="str">
            <v>Any</v>
          </cell>
        </row>
        <row r="18">
          <cell r="C18" t="str">
            <v>Big Box</v>
          </cell>
          <cell r="D18" t="str">
            <v>Retail</v>
          </cell>
          <cell r="E18" t="str">
            <v>&gt; 50,000</v>
          </cell>
          <cell r="F18">
            <v>1</v>
          </cell>
        </row>
        <row r="19">
          <cell r="C19" t="str">
            <v>Small Box</v>
          </cell>
          <cell r="D19" t="str">
            <v>Retail</v>
          </cell>
          <cell r="E19" t="str">
            <v>&lt;50,000</v>
          </cell>
          <cell r="F19">
            <v>1</v>
          </cell>
        </row>
        <row r="20">
          <cell r="C20" t="str">
            <v>High End</v>
          </cell>
          <cell r="D20" t="str">
            <v>Retail</v>
          </cell>
          <cell r="E20" t="str">
            <v>&lt; 20,000</v>
          </cell>
          <cell r="F20">
            <v>1</v>
          </cell>
        </row>
        <row r="21">
          <cell r="C21" t="str">
            <v>Anchor</v>
          </cell>
          <cell r="D21" t="str">
            <v>Retail</v>
          </cell>
          <cell r="E21" t="str">
            <v>&gt; 50,000</v>
          </cell>
          <cell r="F21" t="str">
            <v>&gt;1</v>
          </cell>
        </row>
        <row r="22">
          <cell r="C22" t="str">
            <v>K-12</v>
          </cell>
          <cell r="D22" t="str">
            <v>School</v>
          </cell>
          <cell r="E22" t="str">
            <v>Any</v>
          </cell>
          <cell r="F22" t="str">
            <v>Any</v>
          </cell>
        </row>
        <row r="23">
          <cell r="C23" t="str">
            <v>University</v>
          </cell>
          <cell r="D23" t="str">
            <v>School</v>
          </cell>
          <cell r="E23" t="str">
            <v>Any</v>
          </cell>
          <cell r="F23" t="str">
            <v>Any</v>
          </cell>
        </row>
        <row r="24">
          <cell r="C24" t="str">
            <v>Warehouse</v>
          </cell>
          <cell r="D24" t="str">
            <v>Warehouse</v>
          </cell>
          <cell r="E24" t="str">
            <v>Any</v>
          </cell>
          <cell r="F24" t="str">
            <v>Any</v>
          </cell>
        </row>
        <row r="25">
          <cell r="C25" t="str">
            <v>Supermarket</v>
          </cell>
          <cell r="D25" t="str">
            <v>Retail Food</v>
          </cell>
          <cell r="E25" t="str">
            <v>&gt; 5000</v>
          </cell>
          <cell r="F25" t="str">
            <v>Any</v>
          </cell>
        </row>
        <row r="26">
          <cell r="C26" t="str">
            <v>MIniMart</v>
          </cell>
          <cell r="D26" t="str">
            <v>Retail Food</v>
          </cell>
          <cell r="E26" t="str">
            <v>&lt;= 5000</v>
          </cell>
          <cell r="F26" t="str">
            <v>Any</v>
          </cell>
        </row>
        <row r="27">
          <cell r="C27" t="str">
            <v>Restaurant</v>
          </cell>
          <cell r="D27" t="str">
            <v>Retail Food</v>
          </cell>
          <cell r="E27" t="str">
            <v>Any</v>
          </cell>
          <cell r="F27" t="str">
            <v>Any</v>
          </cell>
        </row>
        <row r="28">
          <cell r="C28" t="str">
            <v>Lodging</v>
          </cell>
          <cell r="D28" t="str">
            <v>Lodging</v>
          </cell>
          <cell r="E28" t="str">
            <v>Any</v>
          </cell>
          <cell r="F28" t="str">
            <v>Any</v>
          </cell>
        </row>
        <row r="29">
          <cell r="C29" t="str">
            <v>Hospital</v>
          </cell>
          <cell r="D29" t="str">
            <v>Health Care</v>
          </cell>
          <cell r="E29" t="str">
            <v>Any</v>
          </cell>
          <cell r="F29" t="str">
            <v>Any</v>
          </cell>
        </row>
        <row r="30">
          <cell r="C30" t="str">
            <v>OtherHealth</v>
          </cell>
          <cell r="D30" t="str">
            <v>Health Care</v>
          </cell>
          <cell r="E30" t="str">
            <v>Any</v>
          </cell>
          <cell r="F30" t="str">
            <v>Any</v>
          </cell>
        </row>
        <row r="31">
          <cell r="C31" t="str">
            <v>Other</v>
          </cell>
          <cell r="D31" t="str">
            <v>Other</v>
          </cell>
          <cell r="E31" t="str">
            <v>Any</v>
          </cell>
          <cell r="F31" t="str">
            <v>Any</v>
          </cell>
        </row>
      </sheetData>
      <sheetData sheetId="15">
        <row r="8">
          <cell r="C8" t="str">
            <v>OR new homes</v>
          </cell>
        </row>
        <row r="9">
          <cell r="C9" t="str">
            <v>OR existing homes</v>
          </cell>
        </row>
        <row r="10">
          <cell r="C10" t="str">
            <v>WA new homes</v>
          </cell>
        </row>
        <row r="11">
          <cell r="C11" t="str">
            <v>WA existing homes</v>
          </cell>
        </row>
        <row r="12">
          <cell r="C12" t="str">
            <v>Region new homes</v>
          </cell>
        </row>
        <row r="13">
          <cell r="C13" t="str">
            <v>Region existing homes</v>
          </cell>
        </row>
      </sheetData>
      <sheetData sheetId="16">
        <row r="8">
          <cell r="B8" t="str">
            <v>Electric FAF - HZ1</v>
          </cell>
        </row>
        <row r="9">
          <cell r="B9" t="str">
            <v>Electric FAF - HZ23</v>
          </cell>
        </row>
        <row r="10">
          <cell r="B10" t="str">
            <v>Electric FAF - Region</v>
          </cell>
        </row>
        <row r="11">
          <cell r="B11" t="str">
            <v>Electric FAF w/ CAC - HZ1CZ1</v>
          </cell>
        </row>
        <row r="12">
          <cell r="B12" t="str">
            <v>Electric FAF w/ CAC - HZ1CZ23</v>
          </cell>
        </row>
        <row r="13">
          <cell r="B13" t="str">
            <v>Electric FAF w/ CAC - HZ23CZ1</v>
          </cell>
        </row>
        <row r="14">
          <cell r="B14" t="str">
            <v>Electric FAF w/ CAC - HZ23CZ23</v>
          </cell>
        </row>
        <row r="15">
          <cell r="B15" t="str">
            <v>Heat Pump - HZ1CZ1</v>
          </cell>
        </row>
        <row r="16">
          <cell r="B16" t="str">
            <v>Heat Pump - HZ1CZ23</v>
          </cell>
        </row>
        <row r="17">
          <cell r="B17" t="str">
            <v>Heat Pump - HZ23CZ1</v>
          </cell>
        </row>
        <row r="18">
          <cell r="B18" t="str">
            <v>Heat Pump - HZ23CZ23</v>
          </cell>
        </row>
        <row r="19">
          <cell r="B19" t="str">
            <v>Heat Pump - HZ1</v>
          </cell>
        </row>
        <row r="20">
          <cell r="B20" t="str">
            <v>Heat Pump - HZ23</v>
          </cell>
        </row>
        <row r="21">
          <cell r="B21" t="str">
            <v>Heat Pump - Region</v>
          </cell>
        </row>
        <row r="22">
          <cell r="B22" t="str">
            <v>Electric Zonal - HZ1CZ1</v>
          </cell>
        </row>
        <row r="23">
          <cell r="B23" t="str">
            <v>Electric Zonal - HZ1CZ23</v>
          </cell>
        </row>
        <row r="24">
          <cell r="B24" t="str">
            <v>Electric Zonal - HZ23CZ1</v>
          </cell>
        </row>
        <row r="25">
          <cell r="B25" t="str">
            <v>Electric Zonal - HZ23CZ23</v>
          </cell>
        </row>
        <row r="26">
          <cell r="B26" t="str">
            <v>Electric Zonal - HZ1</v>
          </cell>
        </row>
        <row r="27">
          <cell r="B27" t="str">
            <v>Electric Zonal - HZ23</v>
          </cell>
        </row>
        <row r="28">
          <cell r="B28" t="str">
            <v>Electric Zonal - Region</v>
          </cell>
        </row>
        <row r="29">
          <cell r="B29" t="str">
            <v>DHP - HZ1CZ1</v>
          </cell>
        </row>
        <row r="30">
          <cell r="B30" t="str">
            <v>DHP - HZ1CZ23</v>
          </cell>
        </row>
        <row r="31">
          <cell r="B31" t="str">
            <v>DHP - HZ23CZ1</v>
          </cell>
        </row>
        <row r="32">
          <cell r="B32" t="str">
            <v>DHP - HZ23CZ23</v>
          </cell>
        </row>
        <row r="33">
          <cell r="B33" t="str">
            <v>DHP - HZ1</v>
          </cell>
        </row>
        <row r="34">
          <cell r="B34" t="str">
            <v>DHP - HZ23</v>
          </cell>
        </row>
        <row r="35">
          <cell r="B35" t="str">
            <v>DHP - Region</v>
          </cell>
        </row>
        <row r="36">
          <cell r="B36" t="str">
            <v>Central AC - CZ1</v>
          </cell>
        </row>
        <row r="37">
          <cell r="B37" t="str">
            <v>Central AC - CZ23</v>
          </cell>
        </row>
        <row r="38">
          <cell r="B38" t="str">
            <v>Room A/C - CZ1</v>
          </cell>
        </row>
        <row r="39">
          <cell r="B39" t="str">
            <v>Room A/C - CZ23</v>
          </cell>
        </row>
        <row r="40">
          <cell r="B40" t="str">
            <v>DWH &lt;55 inside</v>
          </cell>
        </row>
        <row r="41">
          <cell r="B41" t="str">
            <v>DHW &lt;55 outside buffer</v>
          </cell>
        </row>
        <row r="42">
          <cell r="B42" t="str">
            <v>DHW &lt; 55 outside unbuffer</v>
          </cell>
        </row>
        <row r="43">
          <cell r="B43" t="str">
            <v>DHW &gt;55 inside</v>
          </cell>
        </row>
        <row r="44">
          <cell r="B44" t="str">
            <v>DHW &gt;55 outside buffer</v>
          </cell>
        </row>
        <row r="45">
          <cell r="B45" t="str">
            <v>DHW &gt;55 outside unbuffer</v>
          </cell>
        </row>
        <row r="46">
          <cell r="B46" t="str">
            <v>Refrigerator</v>
          </cell>
        </row>
        <row r="47">
          <cell r="B47" t="str">
            <v>Freezer</v>
          </cell>
        </row>
        <row r="48">
          <cell r="B48" t="str">
            <v>Clothes Washer</v>
          </cell>
        </row>
        <row r="49">
          <cell r="B49" t="str">
            <v>Clothes Dryer</v>
          </cell>
        </row>
        <row r="50">
          <cell r="B50" t="str">
            <v>Dishwasher</v>
          </cell>
        </row>
        <row r="51">
          <cell r="B51" t="str">
            <v>Microwave</v>
          </cell>
        </row>
        <row r="52">
          <cell r="B52" t="str">
            <v>Electric Oven</v>
          </cell>
        </row>
        <row r="53">
          <cell r="B53" t="str">
            <v>Computer</v>
          </cell>
        </row>
        <row r="54">
          <cell r="B54" t="str">
            <v>Monitor</v>
          </cell>
        </row>
        <row r="55">
          <cell r="B55" t="str">
            <v>EISA nx</v>
          </cell>
        </row>
        <row r="56">
          <cell r="B56" t="str">
            <v>EISA x</v>
          </cell>
        </row>
        <row r="57">
          <cell r="B57" t="str">
            <v>WallSqft</v>
          </cell>
        </row>
        <row r="58">
          <cell r="B58" t="str">
            <v>AtticSqft</v>
          </cell>
        </row>
        <row r="59">
          <cell r="B59" t="str">
            <v>FloorSqft</v>
          </cell>
        </row>
        <row r="60">
          <cell r="B60" t="str">
            <v>WindowSqft</v>
          </cell>
        </row>
        <row r="61">
          <cell r="B61" t="str">
            <v>HomeSqft</v>
          </cell>
        </row>
        <row r="62">
          <cell r="B62" t="str">
            <v>Lighting</v>
          </cell>
        </row>
        <row r="63">
          <cell r="B63">
            <v>0</v>
          </cell>
        </row>
        <row r="64">
          <cell r="B64">
            <v>0</v>
          </cell>
        </row>
        <row r="65">
          <cell r="B65">
            <v>0</v>
          </cell>
        </row>
        <row r="66">
          <cell r="B66">
            <v>0</v>
          </cell>
        </row>
        <row r="67">
          <cell r="B67">
            <v>0</v>
          </cell>
        </row>
        <row r="68">
          <cell r="B68">
            <v>0</v>
          </cell>
        </row>
      </sheetData>
      <sheetData sheetId="17">
        <row r="8">
          <cell r="B8" t="str">
            <v>HVAC</v>
          </cell>
          <cell r="C8" t="str">
            <v>Envelope</v>
          </cell>
          <cell r="D8" t="str">
            <v>Insulation</v>
          </cell>
          <cell r="E8" t="str">
            <v>Attic Insulation</v>
          </cell>
          <cell r="F8" t="str">
            <v>Low/No insulation</v>
          </cell>
        </row>
        <row r="9">
          <cell r="B9" t="str">
            <v>HVAC</v>
          </cell>
          <cell r="C9" t="str">
            <v>Envelope</v>
          </cell>
          <cell r="D9" t="str">
            <v>Insulation</v>
          </cell>
          <cell r="E9" t="str">
            <v>Wall Insulation</v>
          </cell>
          <cell r="F9" t="str">
            <v>Low/No insulation</v>
          </cell>
        </row>
        <row r="10">
          <cell r="B10" t="str">
            <v>HVAC</v>
          </cell>
          <cell r="C10" t="str">
            <v>Envelope</v>
          </cell>
          <cell r="D10" t="str">
            <v>Insulation</v>
          </cell>
          <cell r="E10" t="str">
            <v xml:space="preserve">Floor Insulation </v>
          </cell>
          <cell r="F10" t="str">
            <v>Low/No insulation</v>
          </cell>
        </row>
        <row r="11">
          <cell r="B11" t="str">
            <v>HVAC</v>
          </cell>
          <cell r="C11" t="str">
            <v>Envelope</v>
          </cell>
          <cell r="D11" t="str">
            <v>Insulation</v>
          </cell>
          <cell r="E11" t="str">
            <v>Windows</v>
          </cell>
          <cell r="F11" t="str">
            <v>Single/Double Pane</v>
          </cell>
        </row>
        <row r="12">
          <cell r="B12" t="str">
            <v>HVAC</v>
          </cell>
          <cell r="C12" t="str">
            <v>Envelope</v>
          </cell>
          <cell r="D12" t="str">
            <v>Insulation</v>
          </cell>
          <cell r="E12" t="str">
            <v>Infiltration</v>
          </cell>
          <cell r="F12" t="str">
            <v>High leakage</v>
          </cell>
        </row>
        <row r="13">
          <cell r="B13" t="str">
            <v>HVAC</v>
          </cell>
          <cell r="C13" t="str">
            <v>Envelope</v>
          </cell>
          <cell r="D13" t="str">
            <v>Insulation</v>
          </cell>
          <cell r="E13" t="str">
            <v>Attic Insulation</v>
          </cell>
          <cell r="F13" t="str">
            <v>Code-avg</v>
          </cell>
        </row>
        <row r="14">
          <cell r="B14" t="str">
            <v>HVAC</v>
          </cell>
          <cell r="C14" t="str">
            <v>Envelope</v>
          </cell>
          <cell r="D14" t="str">
            <v>Insulation</v>
          </cell>
          <cell r="E14" t="str">
            <v>Wall Insulation</v>
          </cell>
          <cell r="F14" t="str">
            <v>Code-avg</v>
          </cell>
        </row>
        <row r="15">
          <cell r="B15" t="str">
            <v>HVAC</v>
          </cell>
          <cell r="C15" t="str">
            <v>Envelope</v>
          </cell>
          <cell r="D15" t="str">
            <v>Insulation</v>
          </cell>
          <cell r="E15" t="str">
            <v xml:space="preserve">Floor Insulation </v>
          </cell>
          <cell r="F15" t="str">
            <v>Code-avg</v>
          </cell>
        </row>
        <row r="16">
          <cell r="B16" t="str">
            <v>HVAC</v>
          </cell>
          <cell r="C16" t="str">
            <v>Envelope</v>
          </cell>
          <cell r="D16" t="str">
            <v>Insulation</v>
          </cell>
          <cell r="E16" t="str">
            <v>Windows</v>
          </cell>
          <cell r="F16" t="str">
            <v>Code-avg</v>
          </cell>
        </row>
        <row r="17">
          <cell r="B17" t="str">
            <v>HVAC</v>
          </cell>
          <cell r="C17" t="str">
            <v>Envelope</v>
          </cell>
          <cell r="D17" t="str">
            <v>Insulation</v>
          </cell>
          <cell r="E17" t="str">
            <v>Infiltration</v>
          </cell>
          <cell r="F17" t="str">
            <v>Code-avg</v>
          </cell>
        </row>
        <row r="18">
          <cell r="B18" t="str">
            <v>HVAC</v>
          </cell>
          <cell r="C18" t="str">
            <v>Heat Recovery</v>
          </cell>
          <cell r="D18" t="str">
            <v>Heat Recovery Improvements</v>
          </cell>
          <cell r="E18" t="str">
            <v>HRV</v>
          </cell>
          <cell r="F18" t="str">
            <v>Natural Ventilation</v>
          </cell>
        </row>
        <row r="19">
          <cell r="B19" t="str">
            <v>HVAC</v>
          </cell>
          <cell r="C19" t="str">
            <v>HVAC System</v>
          </cell>
          <cell r="D19" t="str">
            <v>Variable Speed Heat Pumps</v>
          </cell>
          <cell r="E19" t="str">
            <v>VS ASHP 12.0 HSPF/18 SEER + PTCS</v>
          </cell>
          <cell r="F19" t="str">
            <v>8.5HSPF/14SEER</v>
          </cell>
        </row>
        <row r="20">
          <cell r="B20" t="str">
            <v>HVAC</v>
          </cell>
          <cell r="C20" t="str">
            <v>HVAC System</v>
          </cell>
          <cell r="D20" t="str">
            <v>Air Source Heat Pump</v>
          </cell>
          <cell r="E20" t="str">
            <v>ASHP 9.0 HSPF/14 SEER</v>
          </cell>
          <cell r="F20" t="str">
            <v>8.5HSPF/14SEER</v>
          </cell>
        </row>
        <row r="21">
          <cell r="B21" t="str">
            <v>HVAC</v>
          </cell>
          <cell r="C21" t="str">
            <v>HVAC System</v>
          </cell>
          <cell r="D21" t="str">
            <v>Air Source Heat Pump</v>
          </cell>
          <cell r="E21" t="str">
            <v>ASHP 8.5 HSPF/14 SEER</v>
          </cell>
          <cell r="F21" t="str">
            <v>Electric FAF</v>
          </cell>
        </row>
        <row r="22">
          <cell r="B22" t="str">
            <v>HVAC</v>
          </cell>
          <cell r="C22" t="str">
            <v>HVAC System</v>
          </cell>
          <cell r="D22" t="str">
            <v>Ductless Heat Pump</v>
          </cell>
          <cell r="E22" t="str">
            <v>DHP 9.5 HSPF</v>
          </cell>
          <cell r="F22" t="str">
            <v>Zonal</v>
          </cell>
        </row>
        <row r="23">
          <cell r="B23" t="str">
            <v>HVAC</v>
          </cell>
          <cell r="C23" t="str">
            <v>HVAC System</v>
          </cell>
          <cell r="D23" t="str">
            <v>Ductless Heat Pump</v>
          </cell>
          <cell r="E23" t="str">
            <v>DHP 9.5 HSPF</v>
          </cell>
          <cell r="F23" t="str">
            <v>Electric FAF</v>
          </cell>
        </row>
        <row r="24">
          <cell r="B24" t="str">
            <v>HVAC</v>
          </cell>
          <cell r="C24" t="str">
            <v>HVAC System</v>
          </cell>
          <cell r="D24" t="str">
            <v>Duct Sealing</v>
          </cell>
          <cell r="E24" t="str">
            <v>PTCS-level sealing</v>
          </cell>
          <cell r="F24" t="str">
            <v>Leaky ducts</v>
          </cell>
        </row>
        <row r="25">
          <cell r="B25" t="str">
            <v>HVAC</v>
          </cell>
          <cell r="C25" t="str">
            <v>HVAC System</v>
          </cell>
          <cell r="D25" t="str">
            <v>Furnace Fan</v>
          </cell>
          <cell r="E25" t="str">
            <v>BPM motor</v>
          </cell>
          <cell r="F25" t="str">
            <v>PSC motor</v>
          </cell>
        </row>
        <row r="26">
          <cell r="B26" t="str">
            <v>HVAC</v>
          </cell>
          <cell r="C26" t="str">
            <v>HVAC System</v>
          </cell>
          <cell r="D26" t="str">
            <v>Whole House Fan</v>
          </cell>
          <cell r="E26" t="str">
            <v>Whole House Fan</v>
          </cell>
          <cell r="F26" t="str">
            <v>No Fan</v>
          </cell>
        </row>
        <row r="27">
          <cell r="B27" t="str">
            <v>HVAC</v>
          </cell>
          <cell r="C27" t="str">
            <v>HVAC System Controls</v>
          </cell>
          <cell r="D27" t="str">
            <v>Thermostats</v>
          </cell>
          <cell r="E27" t="str">
            <v>WIFI enabled tstats</v>
          </cell>
          <cell r="F27" t="str">
            <v>Manual thermostat</v>
          </cell>
        </row>
        <row r="28">
          <cell r="B28" t="str">
            <v>HVAC/Water Heating</v>
          </cell>
          <cell r="C28" t="str">
            <v>HVAC System/Water Heaters</v>
          </cell>
          <cell r="D28" t="str">
            <v>Combo DHP/HPWH units</v>
          </cell>
          <cell r="E28" t="str">
            <v>DHP + HPWH</v>
          </cell>
          <cell r="F28" t="str">
            <v>ER space heat/0.95 EF WH</v>
          </cell>
        </row>
        <row r="29">
          <cell r="B29" t="str">
            <v>Lighting</v>
          </cell>
          <cell r="C29" t="str">
            <v>Lamps/Fixtures</v>
          </cell>
          <cell r="D29" t="str">
            <v>Lamps</v>
          </cell>
          <cell r="E29" t="str">
            <v>LED/CFL Standard</v>
          </cell>
          <cell r="F29" t="str">
            <v>EISA 2014 &amp; 2020</v>
          </cell>
        </row>
        <row r="30">
          <cell r="B30" t="str">
            <v>Lighting</v>
          </cell>
          <cell r="C30" t="str">
            <v>Lamps/Fixtures</v>
          </cell>
          <cell r="D30" t="str">
            <v>Lamps</v>
          </cell>
          <cell r="E30" t="str">
            <v>LED/CFL Specialty</v>
          </cell>
          <cell r="F30" t="str">
            <v>Incandescent</v>
          </cell>
        </row>
        <row r="31">
          <cell r="B31" t="str">
            <v>Lighting</v>
          </cell>
          <cell r="C31" t="str">
            <v>Lighting Controls</v>
          </cell>
          <cell r="D31" t="str">
            <v>Lighting Controls</v>
          </cell>
          <cell r="E31" t="str">
            <v>Daylighting/Occ Sensors</v>
          </cell>
          <cell r="F31" t="str">
            <v>No Controls</v>
          </cell>
        </row>
        <row r="32">
          <cell r="B32" t="str">
            <v>Motors/Drives</v>
          </cell>
          <cell r="C32" t="str">
            <v>Motors/Drives Controls</v>
          </cell>
          <cell r="D32" t="str">
            <v>Motors/Drives Control Improvements (VFD)</v>
          </cell>
          <cell r="E32" t="str">
            <v>VSD Pump for well water</v>
          </cell>
          <cell r="F32" t="str">
            <v>Single-Speed Motor</v>
          </cell>
        </row>
        <row r="33">
          <cell r="B33" t="str">
            <v>Refrigeration</v>
          </cell>
          <cell r="C33" t="str">
            <v>Freezers</v>
          </cell>
          <cell r="D33" t="str">
            <v>Freezers</v>
          </cell>
          <cell r="E33" t="str">
            <v>ENERGY STAR freezer</v>
          </cell>
          <cell r="F33" t="str">
            <v>Fed Std 2014</v>
          </cell>
        </row>
        <row r="34">
          <cell r="B34" t="str">
            <v>Refrigeration</v>
          </cell>
          <cell r="C34" t="str">
            <v>Refrigerators</v>
          </cell>
          <cell r="D34" t="str">
            <v>Refrigerators</v>
          </cell>
          <cell r="E34" t="str">
            <v>ENERGY STAR fridge</v>
          </cell>
          <cell r="F34" t="str">
            <v>Fed Std 2014</v>
          </cell>
        </row>
        <row r="35">
          <cell r="B35" t="str">
            <v>Water Heating</v>
          </cell>
          <cell r="C35" t="str">
            <v>Pipe Insulation</v>
          </cell>
          <cell r="D35" t="str">
            <v>Pipe Insulation</v>
          </cell>
          <cell r="E35" t="str">
            <v>R4 insulation</v>
          </cell>
          <cell r="F35" t="str">
            <v>No Insulation</v>
          </cell>
        </row>
        <row r="36">
          <cell r="B36" t="str">
            <v>Water Heating</v>
          </cell>
          <cell r="C36" t="str">
            <v>Water Heaters</v>
          </cell>
          <cell r="D36" t="str">
            <v>Drain Water Heat Recovery</v>
          </cell>
          <cell r="E36" t="str">
            <v>Heat recovery unit</v>
          </cell>
          <cell r="F36" t="str">
            <v>No Heat Recovery</v>
          </cell>
        </row>
        <row r="37">
          <cell r="B37" t="str">
            <v>Water Heating</v>
          </cell>
          <cell r="C37" t="str">
            <v>Water Heaters</v>
          </cell>
          <cell r="D37" t="str">
            <v>Heat Pump Water Heaters</v>
          </cell>
          <cell r="E37" t="str">
            <v>HPWH Tier 1+</v>
          </cell>
          <cell r="F37" t="str">
            <v>0.95 EF WH</v>
          </cell>
        </row>
        <row r="38">
          <cell r="B38" t="str">
            <v>Water Heating</v>
          </cell>
          <cell r="C38" t="str">
            <v>Water Heaters</v>
          </cell>
          <cell r="D38" t="str">
            <v>Solar Water Heaters</v>
          </cell>
          <cell r="E38" t="str">
            <v>SRCC certified SWH</v>
          </cell>
          <cell r="F38" t="str">
            <v>Standard WH</v>
          </cell>
        </row>
        <row r="39">
          <cell r="B39" t="str">
            <v>Water Heating</v>
          </cell>
          <cell r="C39" t="str">
            <v>Water Using Devices</v>
          </cell>
          <cell r="D39" t="str">
            <v>Dishwashers</v>
          </cell>
          <cell r="E39" t="str">
            <v>ENERGY STAR Dishwasher</v>
          </cell>
          <cell r="F39" t="str">
            <v>Fed Std 2013</v>
          </cell>
        </row>
        <row r="40">
          <cell r="B40" t="str">
            <v>Water Heating</v>
          </cell>
          <cell r="C40" t="str">
            <v>Water Using Devices</v>
          </cell>
          <cell r="D40" t="str">
            <v>Clothes Washers</v>
          </cell>
          <cell r="E40" t="str">
            <v>ENERGY STAR Clothes Washer</v>
          </cell>
          <cell r="F40" t="str">
            <v>Fed Std 2015</v>
          </cell>
        </row>
        <row r="41">
          <cell r="B41" t="str">
            <v>Water Heating</v>
          </cell>
          <cell r="C41" t="str">
            <v>Water Using Devices</v>
          </cell>
          <cell r="D41" t="str">
            <v>Showerheads</v>
          </cell>
          <cell r="E41" t="str">
            <v>1.5 GPM</v>
          </cell>
          <cell r="F41" t="str">
            <v>2.5 GPM</v>
          </cell>
        </row>
        <row r="42">
          <cell r="B42" t="str">
            <v>Water Heating</v>
          </cell>
          <cell r="C42" t="str">
            <v>Water Using Devices</v>
          </cell>
          <cell r="D42" t="str">
            <v>Aerators</v>
          </cell>
          <cell r="E42" t="str">
            <v>1.0 GPM</v>
          </cell>
          <cell r="F42" t="str">
            <v>2.5 GPM</v>
          </cell>
        </row>
        <row r="43">
          <cell r="B43" t="str">
            <v>Whole Bldg/Meter Level</v>
          </cell>
          <cell r="C43" t="str">
            <v>Whole Bldg/Meter Level System Improvements</v>
          </cell>
          <cell r="D43" t="str">
            <v>Photovoltaics</v>
          </cell>
          <cell r="E43" t="str">
            <v>PV system</v>
          </cell>
          <cell r="F43" t="str">
            <v>No PV system</v>
          </cell>
        </row>
        <row r="44">
          <cell r="B44" t="str">
            <v>Whole Bldg/Meter Level</v>
          </cell>
          <cell r="C44" t="str">
            <v>Whole Bldg/Meter Level System Improvements</v>
          </cell>
          <cell r="D44" t="str">
            <v>Behavioral</v>
          </cell>
          <cell r="E44" t="str">
            <v>Home Energy Reports</v>
          </cell>
          <cell r="F44" t="str">
            <v>No Report</v>
          </cell>
        </row>
        <row r="45">
          <cell r="B45" t="str">
            <v>Whole Bldg/Meter Level</v>
          </cell>
          <cell r="C45" t="str">
            <v>Whole Bldg/Meter Level System Improvements</v>
          </cell>
          <cell r="D45" t="str">
            <v>Automation</v>
          </cell>
          <cell r="E45" t="str">
            <v>Smart Devices</v>
          </cell>
          <cell r="F45" t="str">
            <v>Standard Home</v>
          </cell>
        </row>
        <row r="46">
          <cell r="B46" t="str">
            <v>Electronics</v>
          </cell>
          <cell r="C46" t="str">
            <v>Plug Load</v>
          </cell>
          <cell r="D46" t="str">
            <v>Electric Vehicle Supply Equipment</v>
          </cell>
          <cell r="E46" t="str">
            <v>Efficient EVSE</v>
          </cell>
          <cell r="F46" t="str">
            <v>Standard EVSE</v>
          </cell>
        </row>
        <row r="47">
          <cell r="B47" t="str">
            <v>HVAC</v>
          </cell>
          <cell r="C47" t="str">
            <v>HVAC System</v>
          </cell>
          <cell r="D47" t="str">
            <v>Geothermal Heat Pump</v>
          </cell>
          <cell r="E47" t="str">
            <v>ENERGY STAR qualified</v>
          </cell>
          <cell r="F47" t="str">
            <v>ASHP</v>
          </cell>
        </row>
        <row r="48">
          <cell r="B48" t="str">
            <v>HVAC</v>
          </cell>
          <cell r="C48" t="str">
            <v>HVAC System</v>
          </cell>
          <cell r="D48" t="str">
            <v>Commissioning Controls Sizing</v>
          </cell>
          <cell r="E48" t="str">
            <v>Controls Commissioning &amp; Sizing</v>
          </cell>
          <cell r="F48" t="str">
            <v>Standard installation</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F"/>
      <sheetName val="MF"/>
      <sheetName val="MH"/>
      <sheetName val="SF Estimates"/>
      <sheetName val="MH_Estimates"/>
      <sheetName val="MF_Estimates"/>
      <sheetName val="Estimates"/>
      <sheetName val="RBSA Saturations"/>
    </sheetNames>
    <sheetDataSet>
      <sheetData sheetId="0">
        <row r="12">
          <cell r="I12">
            <v>6.8910359437455118E-2</v>
          </cell>
          <cell r="O12">
            <v>3.1581870751261829E-2</v>
          </cell>
          <cell r="P12">
            <v>1.6300525975087153E-2</v>
          </cell>
        </row>
        <row r="13">
          <cell r="O13">
            <v>4.4567562228016852E-3</v>
          </cell>
          <cell r="P13">
            <v>7.5492766359286211E-3</v>
          </cell>
        </row>
        <row r="20">
          <cell r="R20">
            <v>7.1501203298525128E-3</v>
          </cell>
        </row>
        <row r="21">
          <cell r="R21">
            <v>0</v>
          </cell>
        </row>
        <row r="27">
          <cell r="O27">
            <v>6.2319315973103612E-2</v>
          </cell>
          <cell r="P27">
            <v>6.8731219288296411E-2</v>
          </cell>
          <cell r="R27">
            <v>0.13105053526140004</v>
          </cell>
        </row>
        <row r="28">
          <cell r="O28">
            <v>3.9083573500097715E-3</v>
          </cell>
          <cell r="P28">
            <v>2.3346062529113146E-2</v>
          </cell>
          <cell r="R28">
            <v>2.7254419879122912E-2</v>
          </cell>
        </row>
        <row r="35">
          <cell r="O35">
            <v>7.5615605416299289E-2</v>
          </cell>
          <cell r="P35">
            <v>2.8861926895952489E-2</v>
          </cell>
          <cell r="R35">
            <v>0.10447753231225178</v>
          </cell>
        </row>
        <row r="36">
          <cell r="O36">
            <v>8.3542752036571358E-3</v>
          </cell>
          <cell r="P36">
            <v>3.0038856652596046E-2</v>
          </cell>
          <cell r="R36">
            <v>3.8393131856253183E-2</v>
          </cell>
        </row>
      </sheetData>
      <sheetData sheetId="1">
        <row r="11">
          <cell r="I11">
            <v>2.9671514740017984E-2</v>
          </cell>
        </row>
        <row r="34">
          <cell r="L34">
            <v>0.82591620954879041</v>
          </cell>
        </row>
        <row r="35">
          <cell r="L35">
            <v>0.71428571563820797</v>
          </cell>
        </row>
      </sheetData>
      <sheetData sheetId="2">
        <row r="12">
          <cell r="I12">
            <v>0.68310644913823848</v>
          </cell>
        </row>
        <row r="35">
          <cell r="L35">
            <v>2.9912270132860779E-2</v>
          </cell>
        </row>
        <row r="36">
          <cell r="L36">
            <v>3.6944930507961368E-2</v>
          </cell>
        </row>
      </sheetData>
      <sheetData sheetId="3"/>
      <sheetData sheetId="4"/>
      <sheetData sheetId="5"/>
      <sheetData sheetId="6" refreshError="1"/>
      <sheetData sheetId="7"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Introduction"/>
      <sheetName val="GDP Deflator"/>
      <sheetName val="Labor"/>
      <sheetName val="Equipment Mark-ups"/>
      <sheetName val="Equipment Rental Costs"/>
      <sheetName val="Water and Wastewater"/>
      <sheetName val="Water Energy"/>
      <sheetName val="Detergent"/>
      <sheetName val="Wood Fuel Credit"/>
      <sheetName val="Residential Lighting"/>
      <sheetName val="SF Insulation"/>
      <sheetName val="MF Insulation"/>
      <sheetName val="SF Window "/>
      <sheetName val="MF Window"/>
      <sheetName val="Air Source HP"/>
      <sheetName val="PTCS Duct Sealing"/>
      <sheetName val="PTCS HPC"/>
      <sheetName val="HP Water Heater"/>
      <sheetName val="Tank Water Heater"/>
      <sheetName val="Weighting Factors"/>
      <sheetName val="Com HVAC Interaction Factors"/>
      <sheetName val="Res HVAC Interaction Factors"/>
      <sheetName val="EER Values"/>
      <sheetName val="Water Heater Recovery Eff."/>
      <sheetName val="Lifetime Reference Table"/>
      <sheetName val="Sheet1"/>
      <sheetName val="RTFStandardInformationWorkbook_"/>
    </sheetNames>
    <sheetDataSet>
      <sheetData sheetId="0"/>
      <sheetData sheetId="1"/>
      <sheetData sheetId="2"/>
      <sheetData sheetId="3"/>
      <sheetData sheetId="4"/>
      <sheetData sheetId="5"/>
      <sheetData sheetId="6"/>
      <sheetData sheetId="7"/>
      <sheetData sheetId="8">
        <row r="28">
          <cell r="B28">
            <v>8.1390946695386157E-2</v>
          </cell>
        </row>
      </sheetData>
      <sheetData sheetId="9"/>
      <sheetData sheetId="10"/>
      <sheetData sheetId="11"/>
      <sheetData sheetId="12"/>
      <sheetData sheetId="13"/>
      <sheetData sheetId="14">
        <row r="23">
          <cell r="B23">
            <v>80.823411921055197</v>
          </cell>
        </row>
        <row r="61">
          <cell r="N61">
            <v>596</v>
          </cell>
        </row>
        <row r="62">
          <cell r="N62">
            <v>4340.8</v>
          </cell>
        </row>
        <row r="106">
          <cell r="A106">
            <v>8.5</v>
          </cell>
          <cell r="C106">
            <v>1.5</v>
          </cell>
          <cell r="E106">
            <v>5343</v>
          </cell>
        </row>
        <row r="107">
          <cell r="A107">
            <v>8.5</v>
          </cell>
          <cell r="C107">
            <v>2</v>
          </cell>
          <cell r="E107">
            <v>5480</v>
          </cell>
        </row>
        <row r="108">
          <cell r="A108">
            <v>8.5</v>
          </cell>
          <cell r="C108">
            <v>2.5</v>
          </cell>
          <cell r="E108">
            <v>5700</v>
          </cell>
        </row>
        <row r="109">
          <cell r="A109">
            <v>8.5</v>
          </cell>
          <cell r="C109">
            <v>3</v>
          </cell>
          <cell r="E109">
            <v>6116</v>
          </cell>
        </row>
        <row r="110">
          <cell r="A110">
            <v>8.5</v>
          </cell>
          <cell r="C110">
            <v>3.5</v>
          </cell>
          <cell r="E110">
            <v>6515</v>
          </cell>
        </row>
        <row r="138">
          <cell r="E138">
            <v>862</v>
          </cell>
        </row>
        <row r="147">
          <cell r="E147">
            <v>265</v>
          </cell>
        </row>
        <row r="148">
          <cell r="E148">
            <v>1184</v>
          </cell>
        </row>
      </sheetData>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tro"/>
      <sheetName val="Dashboard"/>
      <sheetName val="HRV"/>
      <sheetName val="PTCS"/>
      <sheetName val="DHP"/>
      <sheetName val="VSHPUpgrade"/>
      <sheetName val="HPUpgrade"/>
      <sheetName val="AdjustedOutputsSF"/>
      <sheetName val="SEEMoutput"/>
      <sheetName val="SEEM"/>
      <sheetName val="SEEMinput"/>
      <sheetName val="InputMap"/>
      <sheetName val="RTF Guide to SEEM"/>
      <sheetName val="HZCZWeight"/>
      <sheetName val="Ventilation"/>
      <sheetName val="PackageCosts"/>
      <sheetName val="DHW"/>
      <sheetName val="HZone"/>
      <sheetName val="(QGains)"/>
      <sheetName val="(Tons) (Furnsize)"/>
      <sheetName val="(CFMmult) (HPcntrl) (Tcntrl)"/>
      <sheetName val="(SDLeak)(RDLeak)"/>
      <sheetName val="(SDRval) (RDRval)"/>
      <sheetName val="(Rfloor)"/>
      <sheetName val="(Rextwall)"/>
      <sheetName val="(Rceiling)"/>
      <sheetName val="(Uwindow)(SHGC)"/>
      <sheetName val="(CFM50)"/>
      <sheetName val="Constants"/>
      <sheetName val="RTF Prototypes"/>
      <sheetName val="Calibration"/>
      <sheetName val="setpointschedule_heat"/>
      <sheetName val="setpointschedule_cool"/>
      <sheetName val="Qgains_schedule"/>
      <sheetName val="Wgains_schedule"/>
      <sheetName val="fanschedule"/>
      <sheetName val="draw_schedule"/>
      <sheetName val="SEEMReadMe"/>
      <sheetName val="Reference"/>
      <sheetName val="About"/>
      <sheetName val="HP_Curves"/>
      <sheetName val="DHP_Curves"/>
      <sheetName val="ToDo"/>
      <sheetName val="SF RNC equip_SEEM_v3"/>
    </sheetNames>
    <sheetDataSet>
      <sheetData sheetId="0"/>
      <sheetData sheetId="1"/>
      <sheetData sheetId="2">
        <row r="10">
          <cell r="AO10">
            <v>671.33042414840406</v>
          </cell>
          <cell r="AP10">
            <v>0</v>
          </cell>
          <cell r="AQ10">
            <v>29.836260506567328</v>
          </cell>
          <cell r="AR10">
            <v>-13.681898010000008</v>
          </cell>
          <cell r="AS10">
            <v>0</v>
          </cell>
          <cell r="AT10">
            <v>0</v>
          </cell>
          <cell r="AU10">
            <v>0</v>
          </cell>
          <cell r="AV10">
            <v>0</v>
          </cell>
          <cell r="AW10">
            <v>126.70797773367477</v>
          </cell>
          <cell r="AX10">
            <v>10.727489577603283</v>
          </cell>
        </row>
        <row r="11">
          <cell r="AO11">
            <v>671.33042414840406</v>
          </cell>
          <cell r="AP11">
            <v>0</v>
          </cell>
          <cell r="AQ11">
            <v>29.836260506567328</v>
          </cell>
          <cell r="AR11">
            <v>8.4630364199999857</v>
          </cell>
          <cell r="AS11">
            <v>0</v>
          </cell>
          <cell r="AT11">
            <v>0</v>
          </cell>
          <cell r="AU11">
            <v>0</v>
          </cell>
          <cell r="AV11">
            <v>0</v>
          </cell>
          <cell r="AW11">
            <v>126.70797773367477</v>
          </cell>
          <cell r="AX11">
            <v>10.727489577603283</v>
          </cell>
        </row>
        <row r="12">
          <cell r="AO12">
            <v>671.33042414840406</v>
          </cell>
          <cell r="AP12">
            <v>0</v>
          </cell>
          <cell r="AQ12">
            <v>29.836260506567328</v>
          </cell>
          <cell r="AR12">
            <v>33.60562826999994</v>
          </cell>
          <cell r="AS12">
            <v>0</v>
          </cell>
          <cell r="AT12">
            <v>0</v>
          </cell>
          <cell r="AU12">
            <v>0</v>
          </cell>
          <cell r="AV12">
            <v>0</v>
          </cell>
          <cell r="AW12">
            <v>126.70797773367477</v>
          </cell>
          <cell r="AX12">
            <v>10.727489577603283</v>
          </cell>
        </row>
        <row r="13">
          <cell r="AO13">
            <v>961.07248711120326</v>
          </cell>
          <cell r="AP13">
            <v>0</v>
          </cell>
          <cell r="AQ13">
            <v>31.395332218582979</v>
          </cell>
          <cell r="AR13">
            <v>-13.644004430000008</v>
          </cell>
          <cell r="AS13">
            <v>0</v>
          </cell>
          <cell r="AT13">
            <v>0</v>
          </cell>
          <cell r="AU13">
            <v>0</v>
          </cell>
          <cell r="AV13">
            <v>0</v>
          </cell>
          <cell r="AW13">
            <v>138.22254243896504</v>
          </cell>
          <cell r="AX13">
            <v>11.702348265082845</v>
          </cell>
        </row>
        <row r="14">
          <cell r="AO14">
            <v>961.07248711120326</v>
          </cell>
          <cell r="AP14">
            <v>0</v>
          </cell>
          <cell r="AQ14">
            <v>31.395332218582979</v>
          </cell>
          <cell r="AR14">
            <v>8.6228920500000008</v>
          </cell>
          <cell r="AS14">
            <v>0</v>
          </cell>
          <cell r="AT14">
            <v>0</v>
          </cell>
          <cell r="AU14">
            <v>0</v>
          </cell>
          <cell r="AV14">
            <v>0</v>
          </cell>
          <cell r="AW14">
            <v>138.22254243896504</v>
          </cell>
          <cell r="AX14">
            <v>11.702348265082845</v>
          </cell>
        </row>
        <row r="15">
          <cell r="AO15">
            <v>961.07248711120326</v>
          </cell>
          <cell r="AP15">
            <v>0</v>
          </cell>
          <cell r="AQ15">
            <v>31.395332218582979</v>
          </cell>
          <cell r="AR15">
            <v>34.239409340000094</v>
          </cell>
          <cell r="AS15">
            <v>0</v>
          </cell>
          <cell r="AT15">
            <v>0</v>
          </cell>
          <cell r="AU15">
            <v>0</v>
          </cell>
          <cell r="AV15">
            <v>0</v>
          </cell>
          <cell r="AW15">
            <v>138.22254243896504</v>
          </cell>
          <cell r="AX15">
            <v>11.702348265082845</v>
          </cell>
        </row>
        <row r="16">
          <cell r="AO16">
            <v>1073.2278989875481</v>
          </cell>
          <cell r="AP16">
            <v>0</v>
          </cell>
          <cell r="AQ16">
            <v>25.848460476492637</v>
          </cell>
          <cell r="AR16">
            <v>-14.553040199999975</v>
          </cell>
          <cell r="AS16">
            <v>0</v>
          </cell>
          <cell r="AT16">
            <v>0</v>
          </cell>
          <cell r="AU16">
            <v>0</v>
          </cell>
          <cell r="AV16">
            <v>0</v>
          </cell>
          <cell r="AW16">
            <v>154.35286183291106</v>
          </cell>
          <cell r="AX16">
            <v>13.067991031047221</v>
          </cell>
        </row>
        <row r="17">
          <cell r="AO17">
            <v>1073.2278989875481</v>
          </cell>
          <cell r="AP17">
            <v>0</v>
          </cell>
          <cell r="AQ17">
            <v>25.848460476492637</v>
          </cell>
          <cell r="AR17">
            <v>7.7348274800000194</v>
          </cell>
          <cell r="AS17">
            <v>0</v>
          </cell>
          <cell r="AT17">
            <v>0</v>
          </cell>
          <cell r="AU17">
            <v>0</v>
          </cell>
          <cell r="AV17">
            <v>0</v>
          </cell>
          <cell r="AW17">
            <v>154.35286183291106</v>
          </cell>
          <cell r="AX17">
            <v>13.067991031047221</v>
          </cell>
        </row>
        <row r="18">
          <cell r="AO18">
            <v>1073.2278989875481</v>
          </cell>
          <cell r="AP18">
            <v>0</v>
          </cell>
          <cell r="AQ18">
            <v>25.848460476492637</v>
          </cell>
          <cell r="AR18">
            <v>33.341646940000039</v>
          </cell>
          <cell r="AS18">
            <v>0</v>
          </cell>
          <cell r="AT18">
            <v>0</v>
          </cell>
          <cell r="AU18">
            <v>0</v>
          </cell>
          <cell r="AV18">
            <v>0</v>
          </cell>
          <cell r="AW18">
            <v>154.35286183291106</v>
          </cell>
          <cell r="AX18">
            <v>13.067991031047221</v>
          </cell>
        </row>
      </sheetData>
      <sheetData sheetId="3">
        <row r="10">
          <cell r="AO10">
            <v>419.46167481862858</v>
          </cell>
          <cell r="AP10">
            <v>0</v>
          </cell>
          <cell r="AQ10">
            <v>13.760829924998715</v>
          </cell>
          <cell r="AR10">
            <v>30.705759639999993</v>
          </cell>
          <cell r="AS10">
            <v>0</v>
          </cell>
          <cell r="AT10">
            <v>0</v>
          </cell>
          <cell r="AU10">
            <v>0</v>
          </cell>
          <cell r="AV10">
            <v>0</v>
          </cell>
          <cell r="AW10">
            <v>79.169867238579883</v>
          </cell>
          <cell r="AX10">
            <v>6.7027660045779989</v>
          </cell>
        </row>
        <row r="11">
          <cell r="AO11">
            <v>419.46167481862858</v>
          </cell>
          <cell r="AP11">
            <v>0</v>
          </cell>
          <cell r="AQ11">
            <v>13.760829924998715</v>
          </cell>
          <cell r="AR11">
            <v>63.162865079999989</v>
          </cell>
          <cell r="AS11">
            <v>0</v>
          </cell>
          <cell r="AT11">
            <v>0</v>
          </cell>
          <cell r="AU11">
            <v>0</v>
          </cell>
          <cell r="AV11">
            <v>0</v>
          </cell>
          <cell r="AW11">
            <v>79.169867238579883</v>
          </cell>
          <cell r="AX11">
            <v>6.7027660045779989</v>
          </cell>
        </row>
        <row r="12">
          <cell r="AO12">
            <v>419.46167481862858</v>
          </cell>
          <cell r="AP12">
            <v>0</v>
          </cell>
          <cell r="AQ12">
            <v>13.760829924998715</v>
          </cell>
          <cell r="AR12">
            <v>106.38566924000007</v>
          </cell>
          <cell r="AS12">
            <v>0</v>
          </cell>
          <cell r="AT12">
            <v>0</v>
          </cell>
          <cell r="AU12">
            <v>0</v>
          </cell>
          <cell r="AV12">
            <v>0</v>
          </cell>
          <cell r="AW12">
            <v>79.169867238579883</v>
          </cell>
          <cell r="AX12">
            <v>6.7027660045779989</v>
          </cell>
        </row>
        <row r="13">
          <cell r="AO13">
            <v>667.77720920251272</v>
          </cell>
          <cell r="AP13">
            <v>0</v>
          </cell>
          <cell r="AQ13">
            <v>14.090837089359228</v>
          </cell>
          <cell r="AR13">
            <v>30.715044900000013</v>
          </cell>
          <cell r="AS13">
            <v>0</v>
          </cell>
          <cell r="AT13">
            <v>0</v>
          </cell>
          <cell r="AU13">
            <v>0</v>
          </cell>
          <cell r="AV13">
            <v>0</v>
          </cell>
          <cell r="AW13">
            <v>96.040480688620292</v>
          </cell>
          <cell r="AX13">
            <v>8.1310843566669213</v>
          </cell>
        </row>
        <row r="14">
          <cell r="AO14">
            <v>667.77720920251272</v>
          </cell>
          <cell r="AP14">
            <v>0</v>
          </cell>
          <cell r="AQ14">
            <v>14.090837089359228</v>
          </cell>
          <cell r="AR14">
            <v>63.57843580000003</v>
          </cell>
          <cell r="AS14">
            <v>0</v>
          </cell>
          <cell r="AT14">
            <v>0</v>
          </cell>
          <cell r="AU14">
            <v>0</v>
          </cell>
          <cell r="AV14">
            <v>0</v>
          </cell>
          <cell r="AW14">
            <v>96.040480688620292</v>
          </cell>
          <cell r="AX14">
            <v>8.1310843566669213</v>
          </cell>
        </row>
        <row r="15">
          <cell r="AO15">
            <v>667.77720920251272</v>
          </cell>
          <cell r="AP15">
            <v>0</v>
          </cell>
          <cell r="AQ15">
            <v>14.090837089359228</v>
          </cell>
          <cell r="AR15">
            <v>108.29338487000004</v>
          </cell>
          <cell r="AS15">
            <v>0</v>
          </cell>
          <cell r="AT15">
            <v>0</v>
          </cell>
          <cell r="AU15">
            <v>0</v>
          </cell>
          <cell r="AV15">
            <v>0</v>
          </cell>
          <cell r="AW15">
            <v>96.040480688620292</v>
          </cell>
          <cell r="AX15">
            <v>8.1310843566669213</v>
          </cell>
        </row>
        <row r="16">
          <cell r="AO16">
            <v>757.48924749223158</v>
          </cell>
          <cell r="AP16">
            <v>0</v>
          </cell>
          <cell r="AQ16">
            <v>10.819782101865862</v>
          </cell>
          <cell r="AR16">
            <v>31.026158569999993</v>
          </cell>
          <cell r="AS16">
            <v>0</v>
          </cell>
          <cell r="AT16">
            <v>0</v>
          </cell>
          <cell r="AU16">
            <v>0</v>
          </cell>
          <cell r="AV16">
            <v>0</v>
          </cell>
          <cell r="AW16">
            <v>108.94296846772573</v>
          </cell>
          <cell r="AX16">
            <v>9.2234489074328696</v>
          </cell>
        </row>
        <row r="17">
          <cell r="AO17">
            <v>757.48924749223158</v>
          </cell>
          <cell r="AP17">
            <v>0</v>
          </cell>
          <cell r="AQ17">
            <v>10.819782101865862</v>
          </cell>
          <cell r="AR17">
            <v>63.762841660000007</v>
          </cell>
          <cell r="AS17">
            <v>0</v>
          </cell>
          <cell r="AT17">
            <v>0</v>
          </cell>
          <cell r="AU17">
            <v>0</v>
          </cell>
          <cell r="AV17">
            <v>0</v>
          </cell>
          <cell r="AW17">
            <v>108.94296846772573</v>
          </cell>
          <cell r="AX17">
            <v>9.2234489074328696</v>
          </cell>
        </row>
        <row r="18">
          <cell r="AO18">
            <v>757.48924749223158</v>
          </cell>
          <cell r="AP18">
            <v>0</v>
          </cell>
          <cell r="AQ18">
            <v>10.819782101865862</v>
          </cell>
          <cell r="AR18">
            <v>108.08973006000012</v>
          </cell>
          <cell r="AS18">
            <v>0</v>
          </cell>
          <cell r="AT18">
            <v>0</v>
          </cell>
          <cell r="AU18">
            <v>0</v>
          </cell>
          <cell r="AV18">
            <v>0</v>
          </cell>
          <cell r="AW18">
            <v>108.94296846772573</v>
          </cell>
          <cell r="AX18">
            <v>9.2234489074328696</v>
          </cell>
        </row>
      </sheetData>
      <sheetData sheetId="4">
        <row r="10">
          <cell r="AO10">
            <v>2738.5165726189575</v>
          </cell>
          <cell r="AP10">
            <v>0</v>
          </cell>
          <cell r="AQ10">
            <v>254.71770166029717</v>
          </cell>
          <cell r="AR10">
            <v>-192.39676424000001</v>
          </cell>
          <cell r="AS10">
            <v>0</v>
          </cell>
          <cell r="AT10">
            <v>0</v>
          </cell>
          <cell r="AU10">
            <v>0</v>
          </cell>
          <cell r="AV10">
            <v>0</v>
          </cell>
          <cell r="AW10">
            <v>647.00661623411406</v>
          </cell>
          <cell r="AX10">
            <v>54.777582725536647</v>
          </cell>
        </row>
        <row r="11">
          <cell r="AO11">
            <v>2738.5165726189575</v>
          </cell>
          <cell r="AP11">
            <v>0</v>
          </cell>
          <cell r="AQ11">
            <v>254.71770166029717</v>
          </cell>
          <cell r="AR11">
            <v>-393.10186218000001</v>
          </cell>
          <cell r="AS11">
            <v>0</v>
          </cell>
          <cell r="AT11">
            <v>0</v>
          </cell>
          <cell r="AU11">
            <v>0</v>
          </cell>
          <cell r="AV11">
            <v>0</v>
          </cell>
          <cell r="AW11">
            <v>647.00661623411406</v>
          </cell>
          <cell r="AX11">
            <v>54.777582725536647</v>
          </cell>
        </row>
        <row r="12">
          <cell r="AO12">
            <v>2738.5165726189575</v>
          </cell>
          <cell r="AP12">
            <v>0</v>
          </cell>
          <cell r="AQ12">
            <v>254.71770166029717</v>
          </cell>
          <cell r="AR12">
            <v>-679.85455003000004</v>
          </cell>
          <cell r="AS12">
            <v>0</v>
          </cell>
          <cell r="AT12">
            <v>0</v>
          </cell>
          <cell r="AU12">
            <v>0</v>
          </cell>
          <cell r="AV12">
            <v>0</v>
          </cell>
          <cell r="AW12">
            <v>647.00661623411406</v>
          </cell>
          <cell r="AX12">
            <v>54.777582725536647</v>
          </cell>
        </row>
        <row r="13">
          <cell r="AO13">
            <v>2976.9281092658866</v>
          </cell>
          <cell r="AP13">
            <v>0</v>
          </cell>
          <cell r="AQ13">
            <v>342.68305465672341</v>
          </cell>
          <cell r="AR13">
            <v>-192.39676424000001</v>
          </cell>
          <cell r="AS13">
            <v>0</v>
          </cell>
          <cell r="AT13">
            <v>0</v>
          </cell>
          <cell r="AU13">
            <v>0</v>
          </cell>
          <cell r="AV13">
            <v>0</v>
          </cell>
          <cell r="AW13">
            <v>523.38794824392289</v>
          </cell>
          <cell r="AX13">
            <v>44.311643672754037</v>
          </cell>
        </row>
        <row r="14">
          <cell r="AO14">
            <v>2976.9281092658866</v>
          </cell>
          <cell r="AP14">
            <v>0</v>
          </cell>
          <cell r="AQ14">
            <v>342.68305465672341</v>
          </cell>
          <cell r="AR14">
            <v>-393.10186218000001</v>
          </cell>
          <cell r="AS14">
            <v>0</v>
          </cell>
          <cell r="AT14">
            <v>0</v>
          </cell>
          <cell r="AU14">
            <v>0</v>
          </cell>
          <cell r="AV14">
            <v>0</v>
          </cell>
          <cell r="AW14">
            <v>523.38794824392289</v>
          </cell>
          <cell r="AX14">
            <v>44.311643672754037</v>
          </cell>
        </row>
        <row r="15">
          <cell r="AO15">
            <v>2976.9281092658866</v>
          </cell>
          <cell r="AP15">
            <v>0</v>
          </cell>
          <cell r="AQ15">
            <v>342.68305465672341</v>
          </cell>
          <cell r="AR15">
            <v>-679.85455003000004</v>
          </cell>
          <cell r="AS15">
            <v>0</v>
          </cell>
          <cell r="AT15">
            <v>0</v>
          </cell>
          <cell r="AU15">
            <v>0</v>
          </cell>
          <cell r="AV15">
            <v>0</v>
          </cell>
          <cell r="AW15">
            <v>523.38794824392289</v>
          </cell>
          <cell r="AX15">
            <v>44.311643672754037</v>
          </cell>
        </row>
        <row r="16">
          <cell r="AO16">
            <v>1639.8901000105166</v>
          </cell>
          <cell r="AP16">
            <v>0</v>
          </cell>
          <cell r="AQ16">
            <v>367.84223185438969</v>
          </cell>
          <cell r="AR16">
            <v>-195.58776805000002</v>
          </cell>
          <cell r="AS16">
            <v>0</v>
          </cell>
          <cell r="AT16">
            <v>0</v>
          </cell>
          <cell r="AU16">
            <v>0</v>
          </cell>
          <cell r="AV16">
            <v>0</v>
          </cell>
          <cell r="AW16">
            <v>1509.3063718391163</v>
          </cell>
          <cell r="AX16">
            <v>127.78254899897512</v>
          </cell>
        </row>
        <row r="17">
          <cell r="AO17">
            <v>1639.8901000105166</v>
          </cell>
          <cell r="AP17">
            <v>0</v>
          </cell>
          <cell r="AQ17">
            <v>367.84223185438969</v>
          </cell>
          <cell r="AR17">
            <v>-396.29596749000001</v>
          </cell>
          <cell r="AS17">
            <v>0</v>
          </cell>
          <cell r="AT17">
            <v>0</v>
          </cell>
          <cell r="AU17">
            <v>0</v>
          </cell>
          <cell r="AV17">
            <v>0</v>
          </cell>
          <cell r="AW17">
            <v>1509.3063718391163</v>
          </cell>
          <cell r="AX17">
            <v>127.78254899897512</v>
          </cell>
        </row>
        <row r="18">
          <cell r="AO18">
            <v>1639.8901000105166</v>
          </cell>
          <cell r="AP18">
            <v>0</v>
          </cell>
          <cell r="AQ18">
            <v>367.84223185438969</v>
          </cell>
          <cell r="AR18">
            <v>-682.82415287000003</v>
          </cell>
          <cell r="AS18">
            <v>0</v>
          </cell>
          <cell r="AT18">
            <v>0</v>
          </cell>
          <cell r="AU18">
            <v>0</v>
          </cell>
          <cell r="AV18">
            <v>0</v>
          </cell>
          <cell r="AW18">
            <v>1509.3063718391163</v>
          </cell>
          <cell r="AX18">
            <v>127.78254899897512</v>
          </cell>
        </row>
      </sheetData>
      <sheetData sheetId="5">
        <row r="10">
          <cell r="AO10">
            <v>399.97917299272876</v>
          </cell>
          <cell r="AP10">
            <v>0</v>
          </cell>
          <cell r="AQ10">
            <v>-21.998388444052306</v>
          </cell>
          <cell r="AS10">
            <v>0</v>
          </cell>
          <cell r="AT10">
            <v>0</v>
          </cell>
          <cell r="AU10">
            <v>0</v>
          </cell>
          <cell r="AV10">
            <v>0</v>
          </cell>
          <cell r="AW10">
            <v>75.492708690784525</v>
          </cell>
          <cell r="AX10">
            <v>6.3914463804925932</v>
          </cell>
        </row>
        <row r="11">
          <cell r="AO11">
            <v>399.97917299272876</v>
          </cell>
          <cell r="AP11">
            <v>0</v>
          </cell>
          <cell r="AQ11">
            <v>-21.998388444052306</v>
          </cell>
          <cell r="AS11">
            <v>0</v>
          </cell>
          <cell r="AT11">
            <v>0</v>
          </cell>
          <cell r="AU11">
            <v>0</v>
          </cell>
          <cell r="AV11">
            <v>0</v>
          </cell>
          <cell r="AW11">
            <v>75.492708690784525</v>
          </cell>
          <cell r="AX11">
            <v>6.3914463804925932</v>
          </cell>
        </row>
        <row r="12">
          <cell r="AO12">
            <v>399.97917299272876</v>
          </cell>
          <cell r="AP12">
            <v>0</v>
          </cell>
          <cell r="AQ12">
            <v>-21.998388444052306</v>
          </cell>
          <cell r="AS12">
            <v>0</v>
          </cell>
          <cell r="AT12">
            <v>0</v>
          </cell>
          <cell r="AU12">
            <v>0</v>
          </cell>
          <cell r="AV12">
            <v>0</v>
          </cell>
          <cell r="AW12">
            <v>75.492708690784525</v>
          </cell>
          <cell r="AX12">
            <v>6.3914463804925932</v>
          </cell>
        </row>
        <row r="13">
          <cell r="AO13">
            <v>582.31227378469714</v>
          </cell>
          <cell r="AP13">
            <v>0</v>
          </cell>
          <cell r="AQ13">
            <v>-10.897565996603163</v>
          </cell>
          <cell r="AS13">
            <v>0</v>
          </cell>
          <cell r="AT13">
            <v>0</v>
          </cell>
          <cell r="AU13">
            <v>0</v>
          </cell>
          <cell r="AV13">
            <v>0</v>
          </cell>
          <cell r="AW13">
            <v>83.74881609385038</v>
          </cell>
          <cell r="AX13">
            <v>7.0904339872881206</v>
          </cell>
        </row>
        <row r="14">
          <cell r="AO14">
            <v>582.31227378469714</v>
          </cell>
          <cell r="AP14">
            <v>0</v>
          </cell>
          <cell r="AQ14">
            <v>-10.897565996603163</v>
          </cell>
          <cell r="AS14">
            <v>0</v>
          </cell>
          <cell r="AT14">
            <v>0</v>
          </cell>
          <cell r="AU14">
            <v>0</v>
          </cell>
          <cell r="AV14">
            <v>0</v>
          </cell>
          <cell r="AW14">
            <v>83.74881609385038</v>
          </cell>
          <cell r="AX14">
            <v>7.0904339872881206</v>
          </cell>
        </row>
        <row r="15">
          <cell r="AO15">
            <v>582.31227378469714</v>
          </cell>
          <cell r="AP15">
            <v>0</v>
          </cell>
          <cell r="AQ15">
            <v>-10.897565996603163</v>
          </cell>
          <cell r="AS15">
            <v>0</v>
          </cell>
          <cell r="AT15">
            <v>0</v>
          </cell>
          <cell r="AU15">
            <v>0</v>
          </cell>
          <cell r="AV15">
            <v>0</v>
          </cell>
          <cell r="AW15">
            <v>83.74881609385038</v>
          </cell>
          <cell r="AX15">
            <v>7.0904339872881206</v>
          </cell>
        </row>
        <row r="16">
          <cell r="AO16">
            <v>673.77497156488607</v>
          </cell>
          <cell r="AP16">
            <v>0</v>
          </cell>
          <cell r="AQ16">
            <v>-11.259166586872631</v>
          </cell>
          <cell r="AS16">
            <v>0</v>
          </cell>
          <cell r="AT16">
            <v>0</v>
          </cell>
          <cell r="AU16">
            <v>0</v>
          </cell>
          <cell r="AV16">
            <v>0</v>
          </cell>
          <cell r="AW16">
            <v>96.903085719759943</v>
          </cell>
          <cell r="AX16">
            <v>8.2041151685120024</v>
          </cell>
        </row>
        <row r="17">
          <cell r="AO17">
            <v>673.77497156488607</v>
          </cell>
          <cell r="AP17">
            <v>0</v>
          </cell>
          <cell r="AQ17">
            <v>-11.259166586872631</v>
          </cell>
          <cell r="AS17">
            <v>0</v>
          </cell>
          <cell r="AT17">
            <v>0</v>
          </cell>
          <cell r="AU17">
            <v>0</v>
          </cell>
          <cell r="AV17">
            <v>0</v>
          </cell>
          <cell r="AW17">
            <v>96.903085719759943</v>
          </cell>
          <cell r="AX17">
            <v>8.2041151685120024</v>
          </cell>
        </row>
        <row r="18">
          <cell r="AO18">
            <v>673.77497156488607</v>
          </cell>
          <cell r="AP18">
            <v>0</v>
          </cell>
          <cell r="AQ18">
            <v>-11.259166586872631</v>
          </cell>
          <cell r="AS18">
            <v>0</v>
          </cell>
          <cell r="AT18">
            <v>0</v>
          </cell>
          <cell r="AU18">
            <v>0</v>
          </cell>
          <cell r="AV18">
            <v>0</v>
          </cell>
          <cell r="AW18">
            <v>96.903085719759943</v>
          </cell>
          <cell r="AX18">
            <v>8.2041151685120024</v>
          </cell>
        </row>
      </sheetData>
      <sheetData sheetId="6">
        <row r="10">
          <cell r="AO10">
            <v>134.5653139726399</v>
          </cell>
          <cell r="AP10">
            <v>0</v>
          </cell>
          <cell r="AQ10">
            <v>185.06207192173795</v>
          </cell>
          <cell r="AR10">
            <v>15.869696470000001</v>
          </cell>
          <cell r="AS10">
            <v>0</v>
          </cell>
          <cell r="AT10">
            <v>0</v>
          </cell>
          <cell r="AU10">
            <v>0</v>
          </cell>
          <cell r="AV10">
            <v>0</v>
          </cell>
          <cell r="AW10">
            <v>25.398072533654574</v>
          </cell>
          <cell r="AX10">
            <v>2.1502794320391199</v>
          </cell>
        </row>
        <row r="11">
          <cell r="AO11">
            <v>134.5653139726399</v>
          </cell>
          <cell r="AP11">
            <v>0</v>
          </cell>
          <cell r="AQ11">
            <v>185.06207192173795</v>
          </cell>
          <cell r="AR11">
            <v>31.275325390000035</v>
          </cell>
          <cell r="AS11">
            <v>0</v>
          </cell>
          <cell r="AT11">
            <v>0</v>
          </cell>
          <cell r="AU11">
            <v>0</v>
          </cell>
          <cell r="AV11">
            <v>0</v>
          </cell>
          <cell r="AW11">
            <v>25.398072533654574</v>
          </cell>
          <cell r="AX11">
            <v>2.1502794320391199</v>
          </cell>
        </row>
        <row r="12">
          <cell r="AO12">
            <v>134.5653139726399</v>
          </cell>
          <cell r="AP12">
            <v>0</v>
          </cell>
          <cell r="AQ12">
            <v>185.06207192173795</v>
          </cell>
          <cell r="AR12">
            <v>50.669817789999996</v>
          </cell>
          <cell r="AS12">
            <v>0</v>
          </cell>
          <cell r="AT12">
            <v>0</v>
          </cell>
          <cell r="AU12">
            <v>0</v>
          </cell>
          <cell r="AV12">
            <v>0</v>
          </cell>
          <cell r="AW12">
            <v>25.398072533654574</v>
          </cell>
          <cell r="AX12">
            <v>2.1502794320391199</v>
          </cell>
        </row>
        <row r="13">
          <cell r="AO13">
            <v>117.94453152744856</v>
          </cell>
          <cell r="AP13">
            <v>0</v>
          </cell>
          <cell r="AQ13">
            <v>243.22328866494175</v>
          </cell>
          <cell r="AR13">
            <v>15.860532380000018</v>
          </cell>
          <cell r="AS13">
            <v>0</v>
          </cell>
          <cell r="AT13">
            <v>0</v>
          </cell>
          <cell r="AU13">
            <v>0</v>
          </cell>
          <cell r="AV13">
            <v>0</v>
          </cell>
          <cell r="AW13">
            <v>16.962917192124763</v>
          </cell>
          <cell r="AX13">
            <v>1.4361330725895129</v>
          </cell>
        </row>
        <row r="14">
          <cell r="AO14">
            <v>117.94453152744856</v>
          </cell>
          <cell r="AP14">
            <v>0</v>
          </cell>
          <cell r="AQ14">
            <v>243.22328866494175</v>
          </cell>
          <cell r="AR14">
            <v>31.345845989999969</v>
          </cell>
          <cell r="AS14">
            <v>0</v>
          </cell>
          <cell r="AT14">
            <v>0</v>
          </cell>
          <cell r="AU14">
            <v>0</v>
          </cell>
          <cell r="AV14">
            <v>0</v>
          </cell>
          <cell r="AW14">
            <v>16.962917192124763</v>
          </cell>
          <cell r="AX14">
            <v>1.4361330725895129</v>
          </cell>
        </row>
        <row r="15">
          <cell r="AO15">
            <v>117.94453152744856</v>
          </cell>
          <cell r="AP15">
            <v>0</v>
          </cell>
          <cell r="AQ15">
            <v>243.22328866494175</v>
          </cell>
          <cell r="AR15">
            <v>51.086072969999947</v>
          </cell>
          <cell r="AS15">
            <v>0</v>
          </cell>
          <cell r="AT15">
            <v>0</v>
          </cell>
          <cell r="AU15">
            <v>0</v>
          </cell>
          <cell r="AV15">
            <v>0</v>
          </cell>
          <cell r="AW15">
            <v>16.962917192124763</v>
          </cell>
          <cell r="AX15">
            <v>1.4361330725895129</v>
          </cell>
        </row>
        <row r="16">
          <cell r="AO16">
            <v>97.633593264434865</v>
          </cell>
          <cell r="AP16">
            <v>0</v>
          </cell>
          <cell r="AQ16">
            <v>248.35943809006059</v>
          </cell>
          <cell r="AR16">
            <v>16.101439590000009</v>
          </cell>
          <cell r="AS16">
            <v>0</v>
          </cell>
          <cell r="AT16">
            <v>0</v>
          </cell>
          <cell r="AU16">
            <v>0</v>
          </cell>
          <cell r="AV16">
            <v>0</v>
          </cell>
          <cell r="AW16">
            <v>14.041774860318608</v>
          </cell>
          <cell r="AX16">
            <v>1.1888201213481004</v>
          </cell>
        </row>
        <row r="17">
          <cell r="AO17">
            <v>97.633593264434865</v>
          </cell>
          <cell r="AP17">
            <v>0</v>
          </cell>
          <cell r="AQ17">
            <v>248.35943809006059</v>
          </cell>
          <cell r="AR17">
            <v>31.558066760000042</v>
          </cell>
          <cell r="AS17">
            <v>0</v>
          </cell>
          <cell r="AT17">
            <v>0</v>
          </cell>
          <cell r="AU17">
            <v>0</v>
          </cell>
          <cell r="AV17">
            <v>0</v>
          </cell>
          <cell r="AW17">
            <v>14.041774860318608</v>
          </cell>
          <cell r="AX17">
            <v>1.1888201213481004</v>
          </cell>
        </row>
        <row r="18">
          <cell r="AO18">
            <v>97.633593264434865</v>
          </cell>
          <cell r="AP18">
            <v>0</v>
          </cell>
          <cell r="AQ18">
            <v>248.35943809006059</v>
          </cell>
          <cell r="AR18">
            <v>51.227045089999876</v>
          </cell>
          <cell r="AS18">
            <v>0</v>
          </cell>
          <cell r="AT18">
            <v>0</v>
          </cell>
          <cell r="AU18">
            <v>0</v>
          </cell>
          <cell r="AV18">
            <v>0</v>
          </cell>
          <cell r="AW18">
            <v>14.041774860318608</v>
          </cell>
          <cell r="AX18">
            <v>1.1888201213481004</v>
          </cell>
        </row>
      </sheetData>
      <sheetData sheetId="7">
        <row r="16">
          <cell r="Y16">
            <v>2.0200864049509297</v>
          </cell>
        </row>
        <row r="17">
          <cell r="Y17">
            <v>2.0647578197520788</v>
          </cell>
        </row>
        <row r="18">
          <cell r="Y18">
            <v>2.0349476876355062</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1.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hyperlink" Target="http://neea.org/docs/default-source/reports/ductless-heat-pump-impact-process-evaluation-field-metering-report.pdf?sfvrsn=29" TargetMode="External"/></Relationships>
</file>

<file path=xl/worksheets/_rels/sheet2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sheetPr codeName="Sheet1"/>
  <dimension ref="B1:E18"/>
  <sheetViews>
    <sheetView workbookViewId="0">
      <selection activeCell="E10" sqref="E10"/>
    </sheetView>
  </sheetViews>
  <sheetFormatPr defaultRowHeight="12.75"/>
  <cols>
    <col min="1" max="1" width="9.140625" style="69"/>
    <col min="2" max="2" width="37.85546875" style="69" customWidth="1"/>
    <col min="3" max="3" width="53.42578125" style="69" customWidth="1"/>
    <col min="4" max="4" width="34.140625" style="69" customWidth="1"/>
    <col min="5" max="5" width="18.28515625" style="69" customWidth="1"/>
    <col min="6" max="256" width="9.140625" style="69"/>
    <col min="257" max="257" width="26.7109375" style="69" customWidth="1"/>
    <col min="258" max="258" width="73.7109375" style="69" customWidth="1"/>
    <col min="259" max="259" width="58.42578125" style="69" customWidth="1"/>
    <col min="260" max="260" width="28.85546875" style="69" customWidth="1"/>
    <col min="261" max="512" width="9.140625" style="69"/>
    <col min="513" max="513" width="26.7109375" style="69" customWidth="1"/>
    <col min="514" max="514" width="73.7109375" style="69" customWidth="1"/>
    <col min="515" max="515" width="58.42578125" style="69" customWidth="1"/>
    <col min="516" max="516" width="28.85546875" style="69" customWidth="1"/>
    <col min="517" max="768" width="9.140625" style="69"/>
    <col min="769" max="769" width="26.7109375" style="69" customWidth="1"/>
    <col min="770" max="770" width="73.7109375" style="69" customWidth="1"/>
    <col min="771" max="771" width="58.42578125" style="69" customWidth="1"/>
    <col min="772" max="772" width="28.85546875" style="69" customWidth="1"/>
    <col min="773" max="1024" width="9.140625" style="69"/>
    <col min="1025" max="1025" width="26.7109375" style="69" customWidth="1"/>
    <col min="1026" max="1026" width="73.7109375" style="69" customWidth="1"/>
    <col min="1027" max="1027" width="58.42578125" style="69" customWidth="1"/>
    <col min="1028" max="1028" width="28.85546875" style="69" customWidth="1"/>
    <col min="1029" max="1280" width="9.140625" style="69"/>
    <col min="1281" max="1281" width="26.7109375" style="69" customWidth="1"/>
    <col min="1282" max="1282" width="73.7109375" style="69" customWidth="1"/>
    <col min="1283" max="1283" width="58.42578125" style="69" customWidth="1"/>
    <col min="1284" max="1284" width="28.85546875" style="69" customWidth="1"/>
    <col min="1285" max="1536" width="9.140625" style="69"/>
    <col min="1537" max="1537" width="26.7109375" style="69" customWidth="1"/>
    <col min="1538" max="1538" width="73.7109375" style="69" customWidth="1"/>
    <col min="1539" max="1539" width="58.42578125" style="69" customWidth="1"/>
    <col min="1540" max="1540" width="28.85546875" style="69" customWidth="1"/>
    <col min="1541" max="1792" width="9.140625" style="69"/>
    <col min="1793" max="1793" width="26.7109375" style="69" customWidth="1"/>
    <col min="1794" max="1794" width="73.7109375" style="69" customWidth="1"/>
    <col min="1795" max="1795" width="58.42578125" style="69" customWidth="1"/>
    <col min="1796" max="1796" width="28.85546875" style="69" customWidth="1"/>
    <col min="1797" max="2048" width="9.140625" style="69"/>
    <col min="2049" max="2049" width="26.7109375" style="69" customWidth="1"/>
    <col min="2050" max="2050" width="73.7109375" style="69" customWidth="1"/>
    <col min="2051" max="2051" width="58.42578125" style="69" customWidth="1"/>
    <col min="2052" max="2052" width="28.85546875" style="69" customWidth="1"/>
    <col min="2053" max="2304" width="9.140625" style="69"/>
    <col min="2305" max="2305" width="26.7109375" style="69" customWidth="1"/>
    <col min="2306" max="2306" width="73.7109375" style="69" customWidth="1"/>
    <col min="2307" max="2307" width="58.42578125" style="69" customWidth="1"/>
    <col min="2308" max="2308" width="28.85546875" style="69" customWidth="1"/>
    <col min="2309" max="2560" width="9.140625" style="69"/>
    <col min="2561" max="2561" width="26.7109375" style="69" customWidth="1"/>
    <col min="2562" max="2562" width="73.7109375" style="69" customWidth="1"/>
    <col min="2563" max="2563" width="58.42578125" style="69" customWidth="1"/>
    <col min="2564" max="2564" width="28.85546875" style="69" customWidth="1"/>
    <col min="2565" max="2816" width="9.140625" style="69"/>
    <col min="2817" max="2817" width="26.7109375" style="69" customWidth="1"/>
    <col min="2818" max="2818" width="73.7109375" style="69" customWidth="1"/>
    <col min="2819" max="2819" width="58.42578125" style="69" customWidth="1"/>
    <col min="2820" max="2820" width="28.85546875" style="69" customWidth="1"/>
    <col min="2821" max="3072" width="9.140625" style="69"/>
    <col min="3073" max="3073" width="26.7109375" style="69" customWidth="1"/>
    <col min="3074" max="3074" width="73.7109375" style="69" customWidth="1"/>
    <col min="3075" max="3075" width="58.42578125" style="69" customWidth="1"/>
    <col min="3076" max="3076" width="28.85546875" style="69" customWidth="1"/>
    <col min="3077" max="3328" width="9.140625" style="69"/>
    <col min="3329" max="3329" width="26.7109375" style="69" customWidth="1"/>
    <col min="3330" max="3330" width="73.7109375" style="69" customWidth="1"/>
    <col min="3331" max="3331" width="58.42578125" style="69" customWidth="1"/>
    <col min="3332" max="3332" width="28.85546875" style="69" customWidth="1"/>
    <col min="3333" max="3584" width="9.140625" style="69"/>
    <col min="3585" max="3585" width="26.7109375" style="69" customWidth="1"/>
    <col min="3586" max="3586" width="73.7109375" style="69" customWidth="1"/>
    <col min="3587" max="3587" width="58.42578125" style="69" customWidth="1"/>
    <col min="3588" max="3588" width="28.85546875" style="69" customWidth="1"/>
    <col min="3589" max="3840" width="9.140625" style="69"/>
    <col min="3841" max="3841" width="26.7109375" style="69" customWidth="1"/>
    <col min="3842" max="3842" width="73.7109375" style="69" customWidth="1"/>
    <col min="3843" max="3843" width="58.42578125" style="69" customWidth="1"/>
    <col min="3844" max="3844" width="28.85546875" style="69" customWidth="1"/>
    <col min="3845" max="4096" width="9.140625" style="69"/>
    <col min="4097" max="4097" width="26.7109375" style="69" customWidth="1"/>
    <col min="4098" max="4098" width="73.7109375" style="69" customWidth="1"/>
    <col min="4099" max="4099" width="58.42578125" style="69" customWidth="1"/>
    <col min="4100" max="4100" width="28.85546875" style="69" customWidth="1"/>
    <col min="4101" max="4352" width="9.140625" style="69"/>
    <col min="4353" max="4353" width="26.7109375" style="69" customWidth="1"/>
    <col min="4354" max="4354" width="73.7109375" style="69" customWidth="1"/>
    <col min="4355" max="4355" width="58.42578125" style="69" customWidth="1"/>
    <col min="4356" max="4356" width="28.85546875" style="69" customWidth="1"/>
    <col min="4357" max="4608" width="9.140625" style="69"/>
    <col min="4609" max="4609" width="26.7109375" style="69" customWidth="1"/>
    <col min="4610" max="4610" width="73.7109375" style="69" customWidth="1"/>
    <col min="4611" max="4611" width="58.42578125" style="69" customWidth="1"/>
    <col min="4612" max="4612" width="28.85546875" style="69" customWidth="1"/>
    <col min="4613" max="4864" width="9.140625" style="69"/>
    <col min="4865" max="4865" width="26.7109375" style="69" customWidth="1"/>
    <col min="4866" max="4866" width="73.7109375" style="69" customWidth="1"/>
    <col min="4867" max="4867" width="58.42578125" style="69" customWidth="1"/>
    <col min="4868" max="4868" width="28.85546875" style="69" customWidth="1"/>
    <col min="4869" max="5120" width="9.140625" style="69"/>
    <col min="5121" max="5121" width="26.7109375" style="69" customWidth="1"/>
    <col min="5122" max="5122" width="73.7109375" style="69" customWidth="1"/>
    <col min="5123" max="5123" width="58.42578125" style="69" customWidth="1"/>
    <col min="5124" max="5124" width="28.85546875" style="69" customWidth="1"/>
    <col min="5125" max="5376" width="9.140625" style="69"/>
    <col min="5377" max="5377" width="26.7109375" style="69" customWidth="1"/>
    <col min="5378" max="5378" width="73.7109375" style="69" customWidth="1"/>
    <col min="5379" max="5379" width="58.42578125" style="69" customWidth="1"/>
    <col min="5380" max="5380" width="28.85546875" style="69" customWidth="1"/>
    <col min="5381" max="5632" width="9.140625" style="69"/>
    <col min="5633" max="5633" width="26.7109375" style="69" customWidth="1"/>
    <col min="5634" max="5634" width="73.7109375" style="69" customWidth="1"/>
    <col min="5635" max="5635" width="58.42578125" style="69" customWidth="1"/>
    <col min="5636" max="5636" width="28.85546875" style="69" customWidth="1"/>
    <col min="5637" max="5888" width="9.140625" style="69"/>
    <col min="5889" max="5889" width="26.7109375" style="69" customWidth="1"/>
    <col min="5890" max="5890" width="73.7109375" style="69" customWidth="1"/>
    <col min="5891" max="5891" width="58.42578125" style="69" customWidth="1"/>
    <col min="5892" max="5892" width="28.85546875" style="69" customWidth="1"/>
    <col min="5893" max="6144" width="9.140625" style="69"/>
    <col min="6145" max="6145" width="26.7109375" style="69" customWidth="1"/>
    <col min="6146" max="6146" width="73.7109375" style="69" customWidth="1"/>
    <col min="6147" max="6147" width="58.42578125" style="69" customWidth="1"/>
    <col min="6148" max="6148" width="28.85546875" style="69" customWidth="1"/>
    <col min="6149" max="6400" width="9.140625" style="69"/>
    <col min="6401" max="6401" width="26.7109375" style="69" customWidth="1"/>
    <col min="6402" max="6402" width="73.7109375" style="69" customWidth="1"/>
    <col min="6403" max="6403" width="58.42578125" style="69" customWidth="1"/>
    <col min="6404" max="6404" width="28.85546875" style="69" customWidth="1"/>
    <col min="6405" max="6656" width="9.140625" style="69"/>
    <col min="6657" max="6657" width="26.7109375" style="69" customWidth="1"/>
    <col min="6658" max="6658" width="73.7109375" style="69" customWidth="1"/>
    <col min="6659" max="6659" width="58.42578125" style="69" customWidth="1"/>
    <col min="6660" max="6660" width="28.85546875" style="69" customWidth="1"/>
    <col min="6661" max="6912" width="9.140625" style="69"/>
    <col min="6913" max="6913" width="26.7109375" style="69" customWidth="1"/>
    <col min="6914" max="6914" width="73.7109375" style="69" customWidth="1"/>
    <col min="6915" max="6915" width="58.42578125" style="69" customWidth="1"/>
    <col min="6916" max="6916" width="28.85546875" style="69" customWidth="1"/>
    <col min="6917" max="7168" width="9.140625" style="69"/>
    <col min="7169" max="7169" width="26.7109375" style="69" customWidth="1"/>
    <col min="7170" max="7170" width="73.7109375" style="69" customWidth="1"/>
    <col min="7171" max="7171" width="58.42578125" style="69" customWidth="1"/>
    <col min="7172" max="7172" width="28.85546875" style="69" customWidth="1"/>
    <col min="7173" max="7424" width="9.140625" style="69"/>
    <col min="7425" max="7425" width="26.7109375" style="69" customWidth="1"/>
    <col min="7426" max="7426" width="73.7109375" style="69" customWidth="1"/>
    <col min="7427" max="7427" width="58.42578125" style="69" customWidth="1"/>
    <col min="7428" max="7428" width="28.85546875" style="69" customWidth="1"/>
    <col min="7429" max="7680" width="9.140625" style="69"/>
    <col min="7681" max="7681" width="26.7109375" style="69" customWidth="1"/>
    <col min="7682" max="7682" width="73.7109375" style="69" customWidth="1"/>
    <col min="7683" max="7683" width="58.42578125" style="69" customWidth="1"/>
    <col min="7684" max="7684" width="28.85546875" style="69" customWidth="1"/>
    <col min="7685" max="7936" width="9.140625" style="69"/>
    <col min="7937" max="7937" width="26.7109375" style="69" customWidth="1"/>
    <col min="7938" max="7938" width="73.7109375" style="69" customWidth="1"/>
    <col min="7939" max="7939" width="58.42578125" style="69" customWidth="1"/>
    <col min="7940" max="7940" width="28.85546875" style="69" customWidth="1"/>
    <col min="7941" max="8192" width="9.140625" style="69"/>
    <col min="8193" max="8193" width="26.7109375" style="69" customWidth="1"/>
    <col min="8194" max="8194" width="73.7109375" style="69" customWidth="1"/>
    <col min="8195" max="8195" width="58.42578125" style="69" customWidth="1"/>
    <col min="8196" max="8196" width="28.85546875" style="69" customWidth="1"/>
    <col min="8197" max="8448" width="9.140625" style="69"/>
    <col min="8449" max="8449" width="26.7109375" style="69" customWidth="1"/>
    <col min="8450" max="8450" width="73.7109375" style="69" customWidth="1"/>
    <col min="8451" max="8451" width="58.42578125" style="69" customWidth="1"/>
    <col min="8452" max="8452" width="28.85546875" style="69" customWidth="1"/>
    <col min="8453" max="8704" width="9.140625" style="69"/>
    <col min="8705" max="8705" width="26.7109375" style="69" customWidth="1"/>
    <col min="8706" max="8706" width="73.7109375" style="69" customWidth="1"/>
    <col min="8707" max="8707" width="58.42578125" style="69" customWidth="1"/>
    <col min="8708" max="8708" width="28.85546875" style="69" customWidth="1"/>
    <col min="8709" max="8960" width="9.140625" style="69"/>
    <col min="8961" max="8961" width="26.7109375" style="69" customWidth="1"/>
    <col min="8962" max="8962" width="73.7109375" style="69" customWidth="1"/>
    <col min="8963" max="8963" width="58.42578125" style="69" customWidth="1"/>
    <col min="8964" max="8964" width="28.85546875" style="69" customWidth="1"/>
    <col min="8965" max="9216" width="9.140625" style="69"/>
    <col min="9217" max="9217" width="26.7109375" style="69" customWidth="1"/>
    <col min="9218" max="9218" width="73.7109375" style="69" customWidth="1"/>
    <col min="9219" max="9219" width="58.42578125" style="69" customWidth="1"/>
    <col min="9220" max="9220" width="28.85546875" style="69" customWidth="1"/>
    <col min="9221" max="9472" width="9.140625" style="69"/>
    <col min="9473" max="9473" width="26.7109375" style="69" customWidth="1"/>
    <col min="9474" max="9474" width="73.7109375" style="69" customWidth="1"/>
    <col min="9475" max="9475" width="58.42578125" style="69" customWidth="1"/>
    <col min="9476" max="9476" width="28.85546875" style="69" customWidth="1"/>
    <col min="9477" max="9728" width="9.140625" style="69"/>
    <col min="9729" max="9729" width="26.7109375" style="69" customWidth="1"/>
    <col min="9730" max="9730" width="73.7109375" style="69" customWidth="1"/>
    <col min="9731" max="9731" width="58.42578125" style="69" customWidth="1"/>
    <col min="9732" max="9732" width="28.85546875" style="69" customWidth="1"/>
    <col min="9733" max="9984" width="9.140625" style="69"/>
    <col min="9985" max="9985" width="26.7109375" style="69" customWidth="1"/>
    <col min="9986" max="9986" width="73.7109375" style="69" customWidth="1"/>
    <col min="9987" max="9987" width="58.42578125" style="69" customWidth="1"/>
    <col min="9988" max="9988" width="28.85546875" style="69" customWidth="1"/>
    <col min="9989" max="10240" width="9.140625" style="69"/>
    <col min="10241" max="10241" width="26.7109375" style="69" customWidth="1"/>
    <col min="10242" max="10242" width="73.7109375" style="69" customWidth="1"/>
    <col min="10243" max="10243" width="58.42578125" style="69" customWidth="1"/>
    <col min="10244" max="10244" width="28.85546875" style="69" customWidth="1"/>
    <col min="10245" max="10496" width="9.140625" style="69"/>
    <col min="10497" max="10497" width="26.7109375" style="69" customWidth="1"/>
    <col min="10498" max="10498" width="73.7109375" style="69" customWidth="1"/>
    <col min="10499" max="10499" width="58.42578125" style="69" customWidth="1"/>
    <col min="10500" max="10500" width="28.85546875" style="69" customWidth="1"/>
    <col min="10501" max="10752" width="9.140625" style="69"/>
    <col min="10753" max="10753" width="26.7109375" style="69" customWidth="1"/>
    <col min="10754" max="10754" width="73.7109375" style="69" customWidth="1"/>
    <col min="10755" max="10755" width="58.42578125" style="69" customWidth="1"/>
    <col min="10756" max="10756" width="28.85546875" style="69" customWidth="1"/>
    <col min="10757" max="11008" width="9.140625" style="69"/>
    <col min="11009" max="11009" width="26.7109375" style="69" customWidth="1"/>
    <col min="11010" max="11010" width="73.7109375" style="69" customWidth="1"/>
    <col min="11011" max="11011" width="58.42578125" style="69" customWidth="1"/>
    <col min="11012" max="11012" width="28.85546875" style="69" customWidth="1"/>
    <col min="11013" max="11264" width="9.140625" style="69"/>
    <col min="11265" max="11265" width="26.7109375" style="69" customWidth="1"/>
    <col min="11266" max="11266" width="73.7109375" style="69" customWidth="1"/>
    <col min="11267" max="11267" width="58.42578125" style="69" customWidth="1"/>
    <col min="11268" max="11268" width="28.85546875" style="69" customWidth="1"/>
    <col min="11269" max="11520" width="9.140625" style="69"/>
    <col min="11521" max="11521" width="26.7109375" style="69" customWidth="1"/>
    <col min="11522" max="11522" width="73.7109375" style="69" customWidth="1"/>
    <col min="11523" max="11523" width="58.42578125" style="69" customWidth="1"/>
    <col min="11524" max="11524" width="28.85546875" style="69" customWidth="1"/>
    <col min="11525" max="11776" width="9.140625" style="69"/>
    <col min="11777" max="11777" width="26.7109375" style="69" customWidth="1"/>
    <col min="11778" max="11778" width="73.7109375" style="69" customWidth="1"/>
    <col min="11779" max="11779" width="58.42578125" style="69" customWidth="1"/>
    <col min="11780" max="11780" width="28.85546875" style="69" customWidth="1"/>
    <col min="11781" max="12032" width="9.140625" style="69"/>
    <col min="12033" max="12033" width="26.7109375" style="69" customWidth="1"/>
    <col min="12034" max="12034" width="73.7109375" style="69" customWidth="1"/>
    <col min="12035" max="12035" width="58.42578125" style="69" customWidth="1"/>
    <col min="12036" max="12036" width="28.85546875" style="69" customWidth="1"/>
    <col min="12037" max="12288" width="9.140625" style="69"/>
    <col min="12289" max="12289" width="26.7109375" style="69" customWidth="1"/>
    <col min="12290" max="12290" width="73.7109375" style="69" customWidth="1"/>
    <col min="12291" max="12291" width="58.42578125" style="69" customWidth="1"/>
    <col min="12292" max="12292" width="28.85546875" style="69" customWidth="1"/>
    <col min="12293" max="12544" width="9.140625" style="69"/>
    <col min="12545" max="12545" width="26.7109375" style="69" customWidth="1"/>
    <col min="12546" max="12546" width="73.7109375" style="69" customWidth="1"/>
    <col min="12547" max="12547" width="58.42578125" style="69" customWidth="1"/>
    <col min="12548" max="12548" width="28.85546875" style="69" customWidth="1"/>
    <col min="12549" max="12800" width="9.140625" style="69"/>
    <col min="12801" max="12801" width="26.7109375" style="69" customWidth="1"/>
    <col min="12802" max="12802" width="73.7109375" style="69" customWidth="1"/>
    <col min="12803" max="12803" width="58.42578125" style="69" customWidth="1"/>
    <col min="12804" max="12804" width="28.85546875" style="69" customWidth="1"/>
    <col min="12805" max="13056" width="9.140625" style="69"/>
    <col min="13057" max="13057" width="26.7109375" style="69" customWidth="1"/>
    <col min="13058" max="13058" width="73.7109375" style="69" customWidth="1"/>
    <col min="13059" max="13059" width="58.42578125" style="69" customWidth="1"/>
    <col min="13060" max="13060" width="28.85546875" style="69" customWidth="1"/>
    <col min="13061" max="13312" width="9.140625" style="69"/>
    <col min="13313" max="13313" width="26.7109375" style="69" customWidth="1"/>
    <col min="13314" max="13314" width="73.7109375" style="69" customWidth="1"/>
    <col min="13315" max="13315" width="58.42578125" style="69" customWidth="1"/>
    <col min="13316" max="13316" width="28.85546875" style="69" customWidth="1"/>
    <col min="13317" max="13568" width="9.140625" style="69"/>
    <col min="13569" max="13569" width="26.7109375" style="69" customWidth="1"/>
    <col min="13570" max="13570" width="73.7109375" style="69" customWidth="1"/>
    <col min="13571" max="13571" width="58.42578125" style="69" customWidth="1"/>
    <col min="13572" max="13572" width="28.85546875" style="69" customWidth="1"/>
    <col min="13573" max="13824" width="9.140625" style="69"/>
    <col min="13825" max="13825" width="26.7109375" style="69" customWidth="1"/>
    <col min="13826" max="13826" width="73.7109375" style="69" customWidth="1"/>
    <col min="13827" max="13827" width="58.42578125" style="69" customWidth="1"/>
    <col min="13828" max="13828" width="28.85546875" style="69" customWidth="1"/>
    <col min="13829" max="14080" width="9.140625" style="69"/>
    <col min="14081" max="14081" width="26.7109375" style="69" customWidth="1"/>
    <col min="14082" max="14082" width="73.7109375" style="69" customWidth="1"/>
    <col min="14083" max="14083" width="58.42578125" style="69" customWidth="1"/>
    <col min="14084" max="14084" width="28.85546875" style="69" customWidth="1"/>
    <col min="14085" max="14336" width="9.140625" style="69"/>
    <col min="14337" max="14337" width="26.7109375" style="69" customWidth="1"/>
    <col min="14338" max="14338" width="73.7109375" style="69" customWidth="1"/>
    <col min="14339" max="14339" width="58.42578125" style="69" customWidth="1"/>
    <col min="14340" max="14340" width="28.85546875" style="69" customWidth="1"/>
    <col min="14341" max="14592" width="9.140625" style="69"/>
    <col min="14593" max="14593" width="26.7109375" style="69" customWidth="1"/>
    <col min="14594" max="14594" width="73.7109375" style="69" customWidth="1"/>
    <col min="14595" max="14595" width="58.42578125" style="69" customWidth="1"/>
    <col min="14596" max="14596" width="28.85546875" style="69" customWidth="1"/>
    <col min="14597" max="14848" width="9.140625" style="69"/>
    <col min="14849" max="14849" width="26.7109375" style="69" customWidth="1"/>
    <col min="14850" max="14850" width="73.7109375" style="69" customWidth="1"/>
    <col min="14851" max="14851" width="58.42578125" style="69" customWidth="1"/>
    <col min="14852" max="14852" width="28.85546875" style="69" customWidth="1"/>
    <col min="14853" max="15104" width="9.140625" style="69"/>
    <col min="15105" max="15105" width="26.7109375" style="69" customWidth="1"/>
    <col min="15106" max="15106" width="73.7109375" style="69" customWidth="1"/>
    <col min="15107" max="15107" width="58.42578125" style="69" customWidth="1"/>
    <col min="15108" max="15108" width="28.85546875" style="69" customWidth="1"/>
    <col min="15109" max="15360" width="9.140625" style="69"/>
    <col min="15361" max="15361" width="26.7109375" style="69" customWidth="1"/>
    <col min="15362" max="15362" width="73.7109375" style="69" customWidth="1"/>
    <col min="15363" max="15363" width="58.42578125" style="69" customWidth="1"/>
    <col min="15364" max="15364" width="28.85546875" style="69" customWidth="1"/>
    <col min="15365" max="15616" width="9.140625" style="69"/>
    <col min="15617" max="15617" width="26.7109375" style="69" customWidth="1"/>
    <col min="15618" max="15618" width="73.7109375" style="69" customWidth="1"/>
    <col min="15619" max="15619" width="58.42578125" style="69" customWidth="1"/>
    <col min="15620" max="15620" width="28.85546875" style="69" customWidth="1"/>
    <col min="15621" max="15872" width="9.140625" style="69"/>
    <col min="15873" max="15873" width="26.7109375" style="69" customWidth="1"/>
    <col min="15874" max="15874" width="73.7109375" style="69" customWidth="1"/>
    <col min="15875" max="15875" width="58.42578125" style="69" customWidth="1"/>
    <col min="15876" max="15876" width="28.85546875" style="69" customWidth="1"/>
    <col min="15877" max="16128" width="9.140625" style="69"/>
    <col min="16129" max="16129" width="26.7109375" style="69" customWidth="1"/>
    <col min="16130" max="16130" width="73.7109375" style="69" customWidth="1"/>
    <col min="16131" max="16131" width="58.42578125" style="69" customWidth="1"/>
    <col min="16132" max="16132" width="28.85546875" style="69" customWidth="1"/>
    <col min="16133" max="16384" width="9.140625" style="69"/>
  </cols>
  <sheetData>
    <row r="1" spans="2:5" ht="13.5" thickBot="1"/>
    <row r="2" spans="2:5" s="73" customFormat="1" ht="19.5" thickBot="1">
      <c r="B2" s="70" t="s">
        <v>140</v>
      </c>
      <c r="C2" s="71" t="s">
        <v>529</v>
      </c>
      <c r="D2" s="71"/>
      <c r="E2" s="72"/>
    </row>
    <row r="3" spans="2:5" s="73" customFormat="1" ht="15">
      <c r="B3" s="74" t="s">
        <v>141</v>
      </c>
      <c r="C3" s="74" t="s">
        <v>142</v>
      </c>
      <c r="D3" s="74" t="s">
        <v>143</v>
      </c>
      <c r="E3" s="74" t="s">
        <v>144</v>
      </c>
    </row>
    <row r="4" spans="2:5" ht="38.25">
      <c r="B4" s="75" t="s">
        <v>145</v>
      </c>
      <c r="C4" s="76" t="s">
        <v>899</v>
      </c>
      <c r="D4" s="76" t="s">
        <v>537</v>
      </c>
      <c r="E4" s="76" t="s">
        <v>900</v>
      </c>
    </row>
    <row r="5" spans="2:5" ht="38.25">
      <c r="B5" s="75" t="s">
        <v>901</v>
      </c>
      <c r="C5" s="77" t="s">
        <v>530</v>
      </c>
      <c r="D5" s="78" t="s">
        <v>902</v>
      </c>
      <c r="E5" s="78" t="s">
        <v>531</v>
      </c>
    </row>
    <row r="6" spans="2:5">
      <c r="B6" s="75" t="s">
        <v>146</v>
      </c>
      <c r="C6" s="78" t="s">
        <v>532</v>
      </c>
      <c r="D6" s="77"/>
      <c r="E6" s="77"/>
    </row>
    <row r="7" spans="2:5">
      <c r="B7" s="75" t="s">
        <v>147</v>
      </c>
      <c r="C7" s="77" t="s">
        <v>533</v>
      </c>
      <c r="D7" s="82" t="s">
        <v>383</v>
      </c>
      <c r="E7" s="77"/>
    </row>
    <row r="8" spans="2:5" s="73" customFormat="1" ht="39.75" customHeight="1">
      <c r="B8" s="79" t="s">
        <v>903</v>
      </c>
      <c r="C8" s="80" t="s">
        <v>534</v>
      </c>
      <c r="D8" s="81"/>
      <c r="E8" s="81" t="s">
        <v>542</v>
      </c>
    </row>
    <row r="9" spans="2:5" ht="25.5">
      <c r="B9" s="75" t="s">
        <v>148</v>
      </c>
      <c r="C9" s="77" t="s">
        <v>535</v>
      </c>
      <c r="D9" s="77"/>
      <c r="E9" s="77" t="s">
        <v>543</v>
      </c>
    </row>
    <row r="10" spans="2:5">
      <c r="B10" s="75" t="s">
        <v>904</v>
      </c>
      <c r="C10" s="77" t="s">
        <v>541</v>
      </c>
      <c r="D10" s="77"/>
      <c r="E10" s="77"/>
    </row>
    <row r="11" spans="2:5">
      <c r="B11" s="75" t="s">
        <v>138</v>
      </c>
      <c r="C11" s="77" t="s">
        <v>536</v>
      </c>
      <c r="D11" s="77"/>
      <c r="E11" s="77"/>
    </row>
    <row r="12" spans="2:5">
      <c r="B12" s="75" t="s">
        <v>149</v>
      </c>
      <c r="C12" s="77" t="s">
        <v>905</v>
      </c>
      <c r="D12" s="77"/>
      <c r="E12" s="77"/>
    </row>
    <row r="13" spans="2:5" ht="25.5">
      <c r="B13" s="75" t="s">
        <v>150</v>
      </c>
      <c r="C13" s="77" t="s">
        <v>538</v>
      </c>
      <c r="D13" s="77" t="s">
        <v>539</v>
      </c>
      <c r="E13" s="77" t="s">
        <v>540</v>
      </c>
    </row>
    <row r="14" spans="2:5" customFormat="1"/>
    <row r="15" spans="2:5" customFormat="1"/>
    <row r="16" spans="2:5" customFormat="1"/>
    <row r="17" customFormat="1"/>
    <row r="18" customFormat="1"/>
  </sheetData>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G19"/>
  <sheetViews>
    <sheetView workbookViewId="0">
      <selection activeCell="G18" sqref="G18"/>
    </sheetView>
  </sheetViews>
  <sheetFormatPr defaultRowHeight="12.75"/>
  <cols>
    <col min="2" max="2" width="9.85546875" bestFit="1" customWidth="1"/>
    <col min="4" max="4" width="11.5703125" bestFit="1" customWidth="1"/>
    <col min="5" max="5" width="33.140625" bestFit="1" customWidth="1"/>
    <col min="6" max="6" width="15.28515625" bestFit="1" customWidth="1"/>
  </cols>
  <sheetData>
    <row r="1" spans="1:7">
      <c r="A1" s="182" t="s">
        <v>510</v>
      </c>
      <c r="B1" s="183" t="s">
        <v>511</v>
      </c>
      <c r="C1" s="183" t="s">
        <v>512</v>
      </c>
      <c r="D1" s="183" t="s">
        <v>513</v>
      </c>
      <c r="E1" s="183" t="s">
        <v>514</v>
      </c>
      <c r="F1" s="183" t="s">
        <v>515</v>
      </c>
      <c r="G1" s="184" t="s">
        <v>516</v>
      </c>
    </row>
    <row r="2" spans="1:7">
      <c r="A2" s="185">
        <v>2010</v>
      </c>
      <c r="B2" s="186" t="s">
        <v>517</v>
      </c>
      <c r="C2" s="186" t="s">
        <v>518</v>
      </c>
      <c r="D2" s="186" t="s">
        <v>519</v>
      </c>
      <c r="E2" s="186" t="s">
        <v>520</v>
      </c>
      <c r="F2" s="187">
        <v>23250.485530000002</v>
      </c>
      <c r="G2" s="188">
        <v>2.6541650731815025E-3</v>
      </c>
    </row>
    <row r="3" spans="1:7">
      <c r="A3" s="189">
        <v>2010</v>
      </c>
      <c r="B3" s="190" t="s">
        <v>517</v>
      </c>
      <c r="C3" s="190" t="s">
        <v>518</v>
      </c>
      <c r="D3" s="190" t="s">
        <v>519</v>
      </c>
      <c r="E3" s="190" t="s">
        <v>521</v>
      </c>
      <c r="F3" s="191">
        <v>4071163.3856118754</v>
      </c>
      <c r="G3" s="192">
        <v>0.46474467864754843</v>
      </c>
    </row>
    <row r="4" spans="1:7">
      <c r="A4" s="193">
        <v>2010</v>
      </c>
      <c r="B4" s="194" t="s">
        <v>517</v>
      </c>
      <c r="C4" s="194" t="s">
        <v>518</v>
      </c>
      <c r="D4" s="194" t="s">
        <v>519</v>
      </c>
      <c r="E4" s="194" t="s">
        <v>522</v>
      </c>
      <c r="F4" s="195">
        <v>14753858.544511914</v>
      </c>
      <c r="G4" s="196">
        <v>1.684230426679278</v>
      </c>
    </row>
    <row r="5" spans="1:7">
      <c r="A5" s="197">
        <v>2010</v>
      </c>
      <c r="B5" s="198" t="s">
        <v>517</v>
      </c>
      <c r="C5" s="198" t="s">
        <v>518</v>
      </c>
      <c r="D5" s="198" t="s">
        <v>519</v>
      </c>
      <c r="E5" s="198" t="s">
        <v>523</v>
      </c>
      <c r="F5" s="199">
        <v>18112098.76738302</v>
      </c>
      <c r="G5" s="200">
        <v>2.0675911852740683</v>
      </c>
    </row>
    <row r="6" spans="1:7">
      <c r="A6" s="185">
        <v>2011</v>
      </c>
      <c r="B6" s="186" t="s">
        <v>517</v>
      </c>
      <c r="C6" s="186" t="s">
        <v>518</v>
      </c>
      <c r="D6" s="186" t="s">
        <v>519</v>
      </c>
      <c r="E6" s="186" t="s">
        <v>520</v>
      </c>
      <c r="F6" s="187">
        <v>18794.396950000002</v>
      </c>
      <c r="G6" s="188">
        <v>2.1454791292399022E-3</v>
      </c>
    </row>
    <row r="7" spans="1:7">
      <c r="A7" s="189">
        <v>2011</v>
      </c>
      <c r="B7" s="190" t="s">
        <v>517</v>
      </c>
      <c r="C7" s="190" t="s">
        <v>518</v>
      </c>
      <c r="D7" s="190" t="s">
        <v>519</v>
      </c>
      <c r="E7" s="190" t="s">
        <v>521</v>
      </c>
      <c r="F7" s="191">
        <v>5455968.1357471207</v>
      </c>
      <c r="G7" s="192">
        <v>0.62282741155650001</v>
      </c>
    </row>
    <row r="8" spans="1:7">
      <c r="A8" s="193">
        <v>2011</v>
      </c>
      <c r="B8" s="194" t="s">
        <v>517</v>
      </c>
      <c r="C8" s="194" t="s">
        <v>518</v>
      </c>
      <c r="D8" s="194" t="s">
        <v>519</v>
      </c>
      <c r="E8" s="194" t="s">
        <v>522</v>
      </c>
      <c r="F8" s="195">
        <v>12935438.933472279</v>
      </c>
      <c r="G8" s="196">
        <v>1.4766482944651216</v>
      </c>
    </row>
    <row r="9" spans="1:7">
      <c r="A9" s="197">
        <v>2011</v>
      </c>
      <c r="B9" s="198" t="s">
        <v>517</v>
      </c>
      <c r="C9" s="198" t="s">
        <v>518</v>
      </c>
      <c r="D9" s="198" t="s">
        <v>519</v>
      </c>
      <c r="E9" s="198" t="s">
        <v>523</v>
      </c>
      <c r="F9" s="199">
        <v>29545227.79023464</v>
      </c>
      <c r="G9" s="200">
        <v>3.3727429170685355</v>
      </c>
    </row>
    <row r="10" spans="1:7">
      <c r="A10" s="185">
        <v>2012</v>
      </c>
      <c r="B10" s="186" t="s">
        <v>517</v>
      </c>
      <c r="C10" s="186" t="s">
        <v>518</v>
      </c>
      <c r="D10" s="186" t="s">
        <v>519</v>
      </c>
      <c r="E10" s="186" t="s">
        <v>520</v>
      </c>
      <c r="F10" s="187">
        <v>13190.876400000003</v>
      </c>
      <c r="G10" s="188">
        <v>1.5058077949561266E-3</v>
      </c>
    </row>
    <row r="11" spans="1:7">
      <c r="A11" s="189">
        <v>2012</v>
      </c>
      <c r="B11" s="190" t="s">
        <v>517</v>
      </c>
      <c r="C11" s="190" t="s">
        <v>518</v>
      </c>
      <c r="D11" s="190" t="s">
        <v>519</v>
      </c>
      <c r="E11" s="190" t="s">
        <v>521</v>
      </c>
      <c r="F11" s="191">
        <v>3885482.7679999974</v>
      </c>
      <c r="G11" s="192">
        <v>0.44354826179915108</v>
      </c>
    </row>
    <row r="12" spans="1:7">
      <c r="A12" s="193">
        <v>2012</v>
      </c>
      <c r="B12" s="194" t="s">
        <v>517</v>
      </c>
      <c r="C12" s="194" t="s">
        <v>518</v>
      </c>
      <c r="D12" s="194" t="s">
        <v>519</v>
      </c>
      <c r="E12" s="194" t="s">
        <v>522</v>
      </c>
      <c r="F12" s="195">
        <v>8994375.0906644575</v>
      </c>
      <c r="G12" s="196">
        <v>1.0267551567230839</v>
      </c>
    </row>
    <row r="13" spans="1:7">
      <c r="A13" s="197">
        <v>2012</v>
      </c>
      <c r="B13" s="198" t="s">
        <v>517</v>
      </c>
      <c r="C13" s="198" t="s">
        <v>518</v>
      </c>
      <c r="D13" s="198" t="s">
        <v>519</v>
      </c>
      <c r="E13" s="198" t="s">
        <v>523</v>
      </c>
      <c r="F13" s="199">
        <v>21161408.517526563</v>
      </c>
      <c r="G13" s="200">
        <v>2.4156859116046689</v>
      </c>
    </row>
    <row r="17" spans="5:7">
      <c r="E17" s="198" t="s">
        <v>523</v>
      </c>
      <c r="G17" s="41">
        <f>SUMIF($E$2:$E$13,$E17,$G$2:$G$13)</f>
        <v>7.8560200139472727</v>
      </c>
    </row>
    <row r="18" spans="5:7">
      <c r="E18" s="190" t="s">
        <v>521</v>
      </c>
      <c r="G18" s="41">
        <f t="shared" ref="G18:G19" si="0">SUMIF($E$2:$E$13,$E18,$G$2:$G$13)</f>
        <v>1.5311203520031995</v>
      </c>
    </row>
    <row r="19" spans="5:7">
      <c r="E19" s="194" t="s">
        <v>522</v>
      </c>
      <c r="G19" s="41">
        <f t="shared" si="0"/>
        <v>4.1876338778674835</v>
      </c>
    </row>
  </sheetData>
  <autoFilter ref="A1:G13"/>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EA23"/>
  <sheetViews>
    <sheetView workbookViewId="0">
      <selection sqref="A1:EA23"/>
    </sheetView>
  </sheetViews>
  <sheetFormatPr defaultRowHeight="12.75"/>
  <cols>
    <col min="1" max="1" width="75.28515625" customWidth="1"/>
  </cols>
  <sheetData>
    <row r="1" spans="1:131" ht="13.5" thickBot="1">
      <c r="A1" s="27" t="s">
        <v>45</v>
      </c>
      <c r="B1" s="28"/>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row>
    <row r="2" spans="1:131" ht="13.5" thickBot="1">
      <c r="A2" s="36"/>
      <c r="B2" s="37"/>
      <c r="C2" s="38"/>
      <c r="D2" s="38"/>
      <c r="E2" s="38"/>
      <c r="F2" s="38"/>
      <c r="G2" s="38"/>
      <c r="H2" s="38"/>
      <c r="I2" s="38"/>
      <c r="J2" s="38"/>
      <c r="K2" s="38"/>
      <c r="L2" s="38"/>
      <c r="M2" s="38"/>
      <c r="N2" s="38"/>
      <c r="O2" s="39" t="s">
        <v>507</v>
      </c>
      <c r="P2" s="40"/>
      <c r="Q2" s="40"/>
      <c r="R2" s="40"/>
      <c r="S2" s="40"/>
      <c r="T2" s="40"/>
      <c r="U2" s="40"/>
      <c r="V2" s="40"/>
      <c r="W2" s="40"/>
      <c r="X2" s="40"/>
      <c r="Y2" s="40"/>
      <c r="Z2" s="34"/>
      <c r="AA2" s="38"/>
      <c r="AB2" s="39" t="s">
        <v>508</v>
      </c>
      <c r="AC2" s="40"/>
      <c r="AD2" s="40"/>
      <c r="AE2" s="40"/>
      <c r="AF2" s="40"/>
      <c r="AG2" s="40"/>
      <c r="AH2" s="40"/>
      <c r="AI2" s="40"/>
      <c r="AJ2" s="40"/>
      <c r="AK2" s="40"/>
      <c r="AL2" s="40"/>
      <c r="AM2" s="34"/>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row>
    <row r="3" spans="1:131" ht="204">
      <c r="A3" s="30" t="s">
        <v>21</v>
      </c>
      <c r="B3" s="31" t="s">
        <v>22</v>
      </c>
      <c r="C3" s="32" t="s">
        <v>46</v>
      </c>
      <c r="D3" s="32" t="s">
        <v>25</v>
      </c>
      <c r="E3" s="32" t="s">
        <v>26</v>
      </c>
      <c r="F3" s="32" t="s">
        <v>27</v>
      </c>
      <c r="G3" s="32" t="s">
        <v>28</v>
      </c>
      <c r="H3" s="32" t="s">
        <v>29</v>
      </c>
      <c r="I3" s="32" t="s">
        <v>30</v>
      </c>
      <c r="J3" s="32" t="s">
        <v>31</v>
      </c>
      <c r="K3" s="32" t="s">
        <v>24</v>
      </c>
      <c r="L3" s="32" t="s">
        <v>23</v>
      </c>
      <c r="M3" s="32" t="s">
        <v>32</v>
      </c>
      <c r="N3" s="32" t="s">
        <v>509</v>
      </c>
      <c r="O3" s="32" t="s">
        <v>33</v>
      </c>
      <c r="P3" s="32" t="s">
        <v>34</v>
      </c>
      <c r="Q3" s="32" t="s">
        <v>35</v>
      </c>
      <c r="R3" s="32" t="s">
        <v>36</v>
      </c>
      <c r="S3" s="32" t="s">
        <v>37</v>
      </c>
      <c r="T3" s="32" t="s">
        <v>38</v>
      </c>
      <c r="U3" s="32" t="s">
        <v>39</v>
      </c>
      <c r="V3" s="32" t="s">
        <v>40</v>
      </c>
      <c r="W3" s="32" t="s">
        <v>41</v>
      </c>
      <c r="X3" s="32" t="s">
        <v>42</v>
      </c>
      <c r="Y3" s="32" t="s">
        <v>43</v>
      </c>
      <c r="Z3" s="32" t="s">
        <v>44</v>
      </c>
      <c r="AA3" s="32"/>
      <c r="AB3" s="32" t="s">
        <v>33</v>
      </c>
      <c r="AC3" s="32" t="s">
        <v>34</v>
      </c>
      <c r="AD3" s="32" t="s">
        <v>35</v>
      </c>
      <c r="AE3" s="32" t="s">
        <v>36</v>
      </c>
      <c r="AF3" s="32" t="s">
        <v>37</v>
      </c>
      <c r="AG3" s="32" t="s">
        <v>38</v>
      </c>
      <c r="AH3" s="32" t="s">
        <v>39</v>
      </c>
      <c r="AI3" s="32" t="s">
        <v>40</v>
      </c>
      <c r="AJ3" s="32" t="s">
        <v>41</v>
      </c>
      <c r="AK3" s="32" t="s">
        <v>42</v>
      </c>
      <c r="AL3" s="32" t="s">
        <v>43</v>
      </c>
      <c r="AM3" s="32" t="s">
        <v>44</v>
      </c>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row>
    <row r="4" spans="1:131">
      <c r="A4" s="7" t="s">
        <v>802</v>
      </c>
      <c r="B4" s="7"/>
      <c r="C4" s="35">
        <v>169.0298278611364</v>
      </c>
      <c r="D4" s="35">
        <v>80.823411921055211</v>
      </c>
      <c r="E4" s="35">
        <v>16.164682384211044</v>
      </c>
      <c r="F4" s="35">
        <v>96.988094305266259</v>
      </c>
      <c r="G4" s="35">
        <v>116.61885513795443</v>
      </c>
      <c r="H4" s="35">
        <v>152.90687988840597</v>
      </c>
      <c r="I4" s="35">
        <v>5026.4247255349501</v>
      </c>
      <c r="J4" s="35">
        <v>13.790670511348194</v>
      </c>
      <c r="K4" s="35">
        <v>22.457961847090477</v>
      </c>
      <c r="L4" s="33">
        <v>1.3111677327609208</v>
      </c>
      <c r="M4" s="35">
        <v>1.6058166452190394</v>
      </c>
      <c r="N4" s="35">
        <v>4.9049505856757158E-2</v>
      </c>
      <c r="O4" s="35">
        <v>12.006471379831348</v>
      </c>
      <c r="P4" s="35">
        <v>8.7674756243627332</v>
      </c>
      <c r="Q4" s="35">
        <v>7.1024970541687775</v>
      </c>
      <c r="R4" s="35">
        <v>6.3689748539510038</v>
      </c>
      <c r="S4" s="35">
        <v>3.2948142482423166</v>
      </c>
      <c r="T4" s="35">
        <v>2.6322935400729328</v>
      </c>
      <c r="U4" s="35">
        <v>12.261637239554869</v>
      </c>
      <c r="V4" s="35">
        <v>12.279938120216404</v>
      </c>
      <c r="W4" s="35">
        <v>5.7041289355993063</v>
      </c>
      <c r="X4" s="35">
        <v>6.17316658743239</v>
      </c>
      <c r="Y4" s="35">
        <v>8.688976144078504</v>
      </c>
      <c r="Z4" s="35">
        <v>15.162141592515209</v>
      </c>
      <c r="AA4" s="35"/>
      <c r="AB4" s="35">
        <v>11.392174477335256</v>
      </c>
      <c r="AC4" s="35">
        <v>8.068916982697397</v>
      </c>
      <c r="AD4" s="35">
        <v>5.9584721345602674</v>
      </c>
      <c r="AE4" s="35">
        <v>5.6159043522117962</v>
      </c>
      <c r="AF4" s="35">
        <v>2.5124730163358895</v>
      </c>
      <c r="AG4" s="35">
        <v>0.94116177866344886</v>
      </c>
      <c r="AH4" s="35">
        <v>4.6530354811797849</v>
      </c>
      <c r="AI4" s="35">
        <v>3.2448936274537363</v>
      </c>
      <c r="AJ4" s="35">
        <v>2.6165858770467385</v>
      </c>
      <c r="AK4" s="35">
        <v>3.6213752279299483</v>
      </c>
      <c r="AL4" s="35">
        <v>6.8418386463885383</v>
      </c>
      <c r="AM4" s="29">
        <v>13.120480939307816</v>
      </c>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row>
    <row r="5" spans="1:131">
      <c r="A5" s="7" t="s">
        <v>492</v>
      </c>
      <c r="B5" s="7"/>
      <c r="C5" s="35">
        <v>124.08062075865485</v>
      </c>
      <c r="D5" s="35">
        <v>89.471516996608102</v>
      </c>
      <c r="E5" s="35">
        <v>17.894303399321622</v>
      </c>
      <c r="F5" s="35">
        <v>107.36582039592972</v>
      </c>
      <c r="G5" s="35">
        <v>129.09707263771551</v>
      </c>
      <c r="H5" s="35">
        <v>120.7781117539098</v>
      </c>
      <c r="I5" s="35">
        <v>7579.9474641388842</v>
      </c>
      <c r="J5" s="35">
        <v>25.807435735748005</v>
      </c>
      <c r="K5" s="35">
        <v>43.176739339049384</v>
      </c>
      <c r="L5" s="109">
        <v>0.93556042198453893</v>
      </c>
      <c r="M5" s="35">
        <v>1.1787802224710189</v>
      </c>
      <c r="N5" s="35">
        <v>4.3346970370706665E-2</v>
      </c>
      <c r="O5" s="35">
        <v>10.610589241779071</v>
      </c>
      <c r="P5" s="35">
        <v>7.7481617699679397</v>
      </c>
      <c r="Q5" s="35">
        <v>6.2767549639375693</v>
      </c>
      <c r="R5" s="35">
        <v>5.441811550458886</v>
      </c>
      <c r="S5" s="35">
        <v>1.9967766602870736</v>
      </c>
      <c r="T5" s="35">
        <v>1.2909862967048349</v>
      </c>
      <c r="U5" s="35">
        <v>3.7535222094406371</v>
      </c>
      <c r="V5" s="35">
        <v>3.7436397019873975</v>
      </c>
      <c r="W5" s="35">
        <v>2.1770125722317299</v>
      </c>
      <c r="X5" s="35">
        <v>4.9453330739294623</v>
      </c>
      <c r="Y5" s="35">
        <v>7.6787887031742885</v>
      </c>
      <c r="Z5" s="35">
        <v>13.399378666251623</v>
      </c>
      <c r="AA5" s="35"/>
      <c r="AB5" s="35">
        <v>10.067710997315643</v>
      </c>
      <c r="AC5" s="35">
        <v>7.1308181247353346</v>
      </c>
      <c r="AD5" s="35">
        <v>5.2657353129253561</v>
      </c>
      <c r="AE5" s="35">
        <v>4.9114066188347252</v>
      </c>
      <c r="AF5" s="35">
        <v>1.9416116454835579</v>
      </c>
      <c r="AG5" s="35">
        <v>0.59980391695016422</v>
      </c>
      <c r="AH5" s="35">
        <v>1.8476079231232834</v>
      </c>
      <c r="AI5" s="35">
        <v>1.3227375289491934</v>
      </c>
      <c r="AJ5" s="35">
        <v>1.2508177803952734</v>
      </c>
      <c r="AK5" s="35">
        <v>3.0381314420568901</v>
      </c>
      <c r="AL5" s="35">
        <v>6.0464009148688147</v>
      </c>
      <c r="AM5" s="29">
        <v>11.595083142866111</v>
      </c>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row>
    <row r="6" spans="1:131">
      <c r="A6" s="7" t="s">
        <v>487</v>
      </c>
      <c r="B6" s="7"/>
      <c r="C6" s="35">
        <v>2811.7504025708308</v>
      </c>
      <c r="D6" s="35">
        <v>2878.5049609349367</v>
      </c>
      <c r="E6" s="35">
        <v>575.70099218698738</v>
      </c>
      <c r="F6" s="35">
        <v>3454.2059531219238</v>
      </c>
      <c r="G6" s="35">
        <v>4153.3504349091309</v>
      </c>
      <c r="H6" s="35">
        <v>2783.7833114875893</v>
      </c>
      <c r="I6" s="35">
        <v>10761.568353180241</v>
      </c>
      <c r="J6" s="35">
        <v>44.965269860468389</v>
      </c>
      <c r="K6" s="35">
        <v>74.084180782573597</v>
      </c>
      <c r="L6" s="109">
        <v>0.67025004393795984</v>
      </c>
      <c r="M6" s="35">
        <v>26.711953444533744</v>
      </c>
      <c r="N6" s="35">
        <v>0.98227153967436376</v>
      </c>
      <c r="O6" s="35">
        <v>240.44309768919737</v>
      </c>
      <c r="P6" s="35">
        <v>175.57856353845051</v>
      </c>
      <c r="Q6" s="35">
        <v>142.23549442690035</v>
      </c>
      <c r="R6" s="35">
        <v>123.31511423166664</v>
      </c>
      <c r="S6" s="35">
        <v>45.248302968257285</v>
      </c>
      <c r="T6" s="35">
        <v>29.254617919927568</v>
      </c>
      <c r="U6" s="35">
        <v>85.057334494346051</v>
      </c>
      <c r="V6" s="35">
        <v>84.83339019638548</v>
      </c>
      <c r="W6" s="35">
        <v>49.332568320368289</v>
      </c>
      <c r="X6" s="35">
        <v>112.06457731407491</v>
      </c>
      <c r="Y6" s="35">
        <v>174.00652312712381</v>
      </c>
      <c r="Z6" s="35">
        <v>303.6389440973112</v>
      </c>
      <c r="AA6" s="35"/>
      <c r="AB6" s="35">
        <v>228.14111108011312</v>
      </c>
      <c r="AC6" s="35">
        <v>161.58914080083255</v>
      </c>
      <c r="AD6" s="35">
        <v>119.32510828577509</v>
      </c>
      <c r="AE6" s="35">
        <v>111.29578141539022</v>
      </c>
      <c r="AF6" s="35">
        <v>43.998227166970274</v>
      </c>
      <c r="AG6" s="35">
        <v>13.591960470147514</v>
      </c>
      <c r="AH6" s="35">
        <v>41.868037691307592</v>
      </c>
      <c r="AI6" s="35">
        <v>29.974121757092149</v>
      </c>
      <c r="AJ6" s="35">
        <v>28.344372265616705</v>
      </c>
      <c r="AK6" s="35">
        <v>68.846104291667999</v>
      </c>
      <c r="AL6" s="35">
        <v>137.01551654807955</v>
      </c>
      <c r="AM6" s="29">
        <v>262.75239247382899</v>
      </c>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row>
    <row r="7" spans="1:131">
      <c r="A7" s="7" t="s">
        <v>493</v>
      </c>
      <c r="B7" s="7"/>
      <c r="C7" s="35">
        <v>86.842458591402192</v>
      </c>
      <c r="D7" s="35">
        <v>89.471516996608102</v>
      </c>
      <c r="E7" s="35">
        <v>17.894303399321622</v>
      </c>
      <c r="F7" s="35">
        <v>107.36582039592972</v>
      </c>
      <c r="G7" s="35">
        <v>129.09707263771551</v>
      </c>
      <c r="H7" s="35">
        <v>81.460023321922563</v>
      </c>
      <c r="I7" s="35">
        <v>10830.239054994474</v>
      </c>
      <c r="J7" s="35">
        <v>45.378764342202317</v>
      </c>
      <c r="K7" s="35">
        <v>78.606411348488919</v>
      </c>
      <c r="L7" s="109">
        <v>0.63099822217133794</v>
      </c>
      <c r="M7" s="35">
        <v>0.8250133826895939</v>
      </c>
      <c r="N7" s="35">
        <v>3.0337996719571263E-2</v>
      </c>
      <c r="O7" s="35">
        <v>7.4262173078501981</v>
      </c>
      <c r="P7" s="35">
        <v>5.4228404972645539</v>
      </c>
      <c r="Q7" s="35">
        <v>4.3930214701735384</v>
      </c>
      <c r="R7" s="35">
        <v>3.8086551299283466</v>
      </c>
      <c r="S7" s="35">
        <v>1.3975187598051817</v>
      </c>
      <c r="T7" s="35">
        <v>0.90354500603081045</v>
      </c>
      <c r="U7" s="35">
        <v>2.6270428453575256</v>
      </c>
      <c r="V7" s="35">
        <v>2.6201262036228599</v>
      </c>
      <c r="W7" s="35">
        <v>1.5236636214346388</v>
      </c>
      <c r="X7" s="35">
        <v>3.4611761230861458</v>
      </c>
      <c r="Y7" s="35">
        <v>5.3742871645907053</v>
      </c>
      <c r="Z7" s="35">
        <v>9.3780557797817732</v>
      </c>
      <c r="AA7" s="35"/>
      <c r="AB7" s="35">
        <v>7.0462636857445071</v>
      </c>
      <c r="AC7" s="35">
        <v>4.9907694822952644</v>
      </c>
      <c r="AD7" s="35">
        <v>3.6854215942532926</v>
      </c>
      <c r="AE7" s="35">
        <v>3.4374314201163703</v>
      </c>
      <c r="AF7" s="35">
        <v>1.3589094550608349</v>
      </c>
      <c r="AG7" s="35">
        <v>0.41979518377011948</v>
      </c>
      <c r="AH7" s="35">
        <v>1.2931174630988536</v>
      </c>
      <c r="AI7" s="35">
        <v>0.92576729866871887</v>
      </c>
      <c r="AJ7" s="35">
        <v>0.87543156947180745</v>
      </c>
      <c r="AK7" s="35">
        <v>2.1263498007796389</v>
      </c>
      <c r="AL7" s="35">
        <v>4.2317995825716652</v>
      </c>
      <c r="AM7" s="29">
        <v>8.1152521466448526</v>
      </c>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row>
    <row r="8" spans="1:131">
      <c r="A8" s="7" t="s">
        <v>488</v>
      </c>
      <c r="B8" s="7"/>
      <c r="C8" s="35">
        <v>2761.80746743703</v>
      </c>
      <c r="D8" s="35">
        <v>2911.5329115654022</v>
      </c>
      <c r="E8" s="35">
        <v>582.30658231308041</v>
      </c>
      <c r="F8" s="35">
        <v>3493.8394938784827</v>
      </c>
      <c r="G8" s="35">
        <v>4201.0059557356944</v>
      </c>
      <c r="H8" s="35">
        <v>2587.4357700849928</v>
      </c>
      <c r="I8" s="35">
        <v>11081.885441774855</v>
      </c>
      <c r="J8" s="35">
        <v>46.894029419671732</v>
      </c>
      <c r="K8" s="35">
        <v>81.233181270377628</v>
      </c>
      <c r="L8" s="109">
        <v>0.61590861744728764</v>
      </c>
      <c r="M8" s="35">
        <v>26.237489794788154</v>
      </c>
      <c r="N8" s="35">
        <v>0.96482421441975341</v>
      </c>
      <c r="O8" s="35">
        <v>236.17229398455152</v>
      </c>
      <c r="P8" s="35">
        <v>172.45989809609415</v>
      </c>
      <c r="Q8" s="35">
        <v>139.70907598374851</v>
      </c>
      <c r="R8" s="35">
        <v>121.12476378398435</v>
      </c>
      <c r="S8" s="35">
        <v>44.444592561772609</v>
      </c>
      <c r="T8" s="35">
        <v>28.734990899631025</v>
      </c>
      <c r="U8" s="35">
        <v>83.546527232771709</v>
      </c>
      <c r="V8" s="35">
        <v>83.326560683190152</v>
      </c>
      <c r="W8" s="35">
        <v>48.456312287032375</v>
      </c>
      <c r="X8" s="35">
        <v>110.07406140216098</v>
      </c>
      <c r="Y8" s="35">
        <v>170.91578061571064</v>
      </c>
      <c r="Z8" s="35">
        <v>298.24564173268351</v>
      </c>
      <c r="AA8" s="35"/>
      <c r="AB8" s="35">
        <v>224.08881799394419</v>
      </c>
      <c r="AC8" s="35">
        <v>158.71895859225529</v>
      </c>
      <c r="AD8" s="35">
        <v>117.20562920976144</v>
      </c>
      <c r="AE8" s="35">
        <v>109.31892102663669</v>
      </c>
      <c r="AF8" s="35">
        <v>43.216720884036739</v>
      </c>
      <c r="AG8" s="35">
        <v>13.350537049615911</v>
      </c>
      <c r="AH8" s="35">
        <v>41.124368308459673</v>
      </c>
      <c r="AI8" s="35">
        <v>29.44171475021836</v>
      </c>
      <c r="AJ8" s="35">
        <v>27.840913230821457</v>
      </c>
      <c r="AK8" s="35">
        <v>67.62324449633293</v>
      </c>
      <c r="AL8" s="35">
        <v>134.58181651139182</v>
      </c>
      <c r="AM8" s="29">
        <v>258.08532612022407</v>
      </c>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row>
    <row r="9" spans="1:131">
      <c r="A9" s="7" t="s">
        <v>489</v>
      </c>
      <c r="B9" s="7"/>
      <c r="C9" s="35">
        <v>2743.9389887282687</v>
      </c>
      <c r="D9" s="35">
        <v>3231.068075449366</v>
      </c>
      <c r="E9" s="35">
        <v>646.2136150898732</v>
      </c>
      <c r="F9" s="35">
        <v>3877.2816905392392</v>
      </c>
      <c r="G9" s="35">
        <v>4662.0583179505466</v>
      </c>
      <c r="H9" s="35">
        <v>2818.4637877167406</v>
      </c>
      <c r="I9" s="35">
        <v>12378.186158164348</v>
      </c>
      <c r="J9" s="35">
        <v>54.209410052406042</v>
      </c>
      <c r="K9" s="35">
        <v>87.679832343793066</v>
      </c>
      <c r="L9" s="109">
        <v>0.60455352453757916</v>
      </c>
      <c r="M9" s="35">
        <v>26.067704574251859</v>
      </c>
      <c r="N9" s="35">
        <v>0.98227153967436376</v>
      </c>
      <c r="O9" s="35">
        <v>240.44309768919737</v>
      </c>
      <c r="P9" s="35">
        <v>175.57856353845051</v>
      </c>
      <c r="Q9" s="35">
        <v>142.23549442690035</v>
      </c>
      <c r="R9" s="35">
        <v>122.81465431525187</v>
      </c>
      <c r="S9" s="35">
        <v>42.795662297975269</v>
      </c>
      <c r="T9" s="35">
        <v>26.479521992131069</v>
      </c>
      <c r="U9" s="35">
        <v>66.072224542952384</v>
      </c>
      <c r="V9" s="35">
        <v>65.778436844169576</v>
      </c>
      <c r="W9" s="35">
        <v>41.655634383223443</v>
      </c>
      <c r="X9" s="35">
        <v>110.69713658687742</v>
      </c>
      <c r="Y9" s="35">
        <v>174.00652312712381</v>
      </c>
      <c r="Z9" s="35">
        <v>303.6389440973112</v>
      </c>
      <c r="AA9" s="35"/>
      <c r="AB9" s="35">
        <v>228.14111108011312</v>
      </c>
      <c r="AC9" s="35">
        <v>161.58914080083255</v>
      </c>
      <c r="AD9" s="35">
        <v>119.32510828577509</v>
      </c>
      <c r="AE9" s="35">
        <v>111.15749735314145</v>
      </c>
      <c r="AF9" s="35">
        <v>43.251001730071827</v>
      </c>
      <c r="AG9" s="35">
        <v>12.970242202132708</v>
      </c>
      <c r="AH9" s="35">
        <v>35.798055315652441</v>
      </c>
      <c r="AI9" s="35">
        <v>25.832948612151448</v>
      </c>
      <c r="AJ9" s="35">
        <v>25.498812857827659</v>
      </c>
      <c r="AK9" s="35">
        <v>68.411267627097899</v>
      </c>
      <c r="AL9" s="35">
        <v>137.01551654807955</v>
      </c>
      <c r="AM9" s="29">
        <v>262.75239247382899</v>
      </c>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c r="CI9" s="29"/>
      <c r="CJ9" s="29"/>
      <c r="CK9" s="29"/>
      <c r="CL9" s="29"/>
      <c r="CM9" s="29"/>
      <c r="CN9" s="29"/>
      <c r="CO9" s="29"/>
      <c r="CP9" s="29"/>
      <c r="CQ9" s="29"/>
      <c r="CR9" s="29"/>
      <c r="CS9" s="29"/>
      <c r="CT9" s="29"/>
      <c r="CU9" s="29"/>
      <c r="CV9" s="29"/>
      <c r="CW9" s="29"/>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row>
    <row r="10" spans="1:131">
      <c r="A10" s="7" t="s">
        <v>803</v>
      </c>
      <c r="B10" s="7"/>
      <c r="C10" s="35">
        <v>2940.9032029199307</v>
      </c>
      <c r="D10" s="35">
        <v>3764.9764753308682</v>
      </c>
      <c r="E10" s="35">
        <v>752.99529506617364</v>
      </c>
      <c r="F10" s="35">
        <v>4517.9717703970418</v>
      </c>
      <c r="G10" s="35">
        <v>5432.4265177431325</v>
      </c>
      <c r="H10" s="35">
        <v>3173.4569617626803</v>
      </c>
      <c r="I10" s="35">
        <v>13457.577478028823</v>
      </c>
      <c r="J10" s="35">
        <v>60.397360677173857</v>
      </c>
      <c r="K10" s="35">
        <v>94.480855798810595</v>
      </c>
      <c r="L10" s="109">
        <v>0.58416933048200215</v>
      </c>
      <c r="M10" s="35">
        <v>27.938510812723607</v>
      </c>
      <c r="N10" s="35">
        <v>1.0689158324246504</v>
      </c>
      <c r="O10" s="35">
        <v>311.30415694632273</v>
      </c>
      <c r="P10" s="35">
        <v>220.33155880048389</v>
      </c>
      <c r="Q10" s="35">
        <v>197.3308662894085</v>
      </c>
      <c r="R10" s="35">
        <v>148.54126016374602</v>
      </c>
      <c r="S10" s="35">
        <v>89.590945884301988</v>
      </c>
      <c r="T10" s="35">
        <v>31.209332330056668</v>
      </c>
      <c r="U10" s="35">
        <v>11.993468280139862</v>
      </c>
      <c r="V10" s="35">
        <v>6.8507085033245136</v>
      </c>
      <c r="W10" s="35">
        <v>14.593076957134819</v>
      </c>
      <c r="X10" s="35">
        <v>96.266331432875276</v>
      </c>
      <c r="Y10" s="35">
        <v>224.38598441382652</v>
      </c>
      <c r="Z10" s="35">
        <v>277.21798412895936</v>
      </c>
      <c r="AA10" s="35"/>
      <c r="AB10" s="35">
        <v>243.77896005560976</v>
      </c>
      <c r="AC10" s="35">
        <v>177.02303475742582</v>
      </c>
      <c r="AD10" s="35">
        <v>150.60807080719871</v>
      </c>
      <c r="AE10" s="35">
        <v>125.57655783391195</v>
      </c>
      <c r="AF10" s="35">
        <v>87.624900537373406</v>
      </c>
      <c r="AG10" s="35">
        <v>30.269213480801035</v>
      </c>
      <c r="AH10" s="35">
        <v>13.089989520142215</v>
      </c>
      <c r="AI10" s="35">
        <v>6.4411650992652651</v>
      </c>
      <c r="AJ10" s="35">
        <v>16.126172852996749</v>
      </c>
      <c r="AK10" s="35">
        <v>73.710692272623945</v>
      </c>
      <c r="AL10" s="35">
        <v>175.84298672141068</v>
      </c>
      <c r="AM10" s="29">
        <v>211.195784850591</v>
      </c>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row>
    <row r="11" spans="1:131">
      <c r="A11" s="7" t="s">
        <v>491</v>
      </c>
      <c r="B11" s="7"/>
      <c r="C11" s="35">
        <v>2721.7747534126584</v>
      </c>
      <c r="D11" s="35">
        <v>3514.1785459794187</v>
      </c>
      <c r="E11" s="35">
        <v>702.83570919588374</v>
      </c>
      <c r="F11" s="35">
        <v>4217.0142551753024</v>
      </c>
      <c r="G11" s="35">
        <v>5070.5540516252258</v>
      </c>
      <c r="H11" s="35">
        <v>2714.9628756130764</v>
      </c>
      <c r="I11" s="35">
        <v>13572.410732746215</v>
      </c>
      <c r="J11" s="35">
        <v>61.053872278282462</v>
      </c>
      <c r="K11" s="35">
        <v>101.92281262146766</v>
      </c>
      <c r="L11" s="109">
        <v>0.53543712343286631</v>
      </c>
      <c r="M11" s="35">
        <v>25.857119181105364</v>
      </c>
      <c r="N11" s="35">
        <v>0.99094554744612473</v>
      </c>
      <c r="O11" s="35">
        <v>242.56634489099841</v>
      </c>
      <c r="P11" s="35">
        <v>177.12902057927246</v>
      </c>
      <c r="Q11" s="35">
        <v>143.49151349520014</v>
      </c>
      <c r="R11" s="35">
        <v>123.55677521827523</v>
      </c>
      <c r="S11" s="35">
        <v>41.495540902626814</v>
      </c>
      <c r="T11" s="35">
        <v>24.814704689679079</v>
      </c>
      <c r="U11" s="35">
        <v>53.666575522942487</v>
      </c>
      <c r="V11" s="35">
        <v>53.32240852998271</v>
      </c>
      <c r="W11" s="35">
        <v>36.771124368470623</v>
      </c>
      <c r="X11" s="35">
        <v>110.73908797151483</v>
      </c>
      <c r="Y11" s="35">
        <v>175.54309817076413</v>
      </c>
      <c r="Z11" s="35">
        <v>306.32024601285127</v>
      </c>
      <c r="AA11" s="35"/>
      <c r="AB11" s="35">
        <v>230.15572485098863</v>
      </c>
      <c r="AC11" s="35">
        <v>163.01606340474231</v>
      </c>
      <c r="AD11" s="35">
        <v>120.37881581453048</v>
      </c>
      <c r="AE11" s="35">
        <v>112.04447005164052</v>
      </c>
      <c r="AF11" s="35">
        <v>43.121700664606372</v>
      </c>
      <c r="AG11" s="35">
        <v>12.659413716252459</v>
      </c>
      <c r="AH11" s="35">
        <v>31.961252817943805</v>
      </c>
      <c r="AI11" s="35">
        <v>23.227788259416624</v>
      </c>
      <c r="AJ11" s="35">
        <v>23.777126118682819</v>
      </c>
      <c r="AK11" s="35">
        <v>68.717873830895257</v>
      </c>
      <c r="AL11" s="35">
        <v>138.22544028849848</v>
      </c>
      <c r="AM11" s="29">
        <v>265.07264324188276</v>
      </c>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row>
    <row r="12" spans="1:131">
      <c r="A12" s="7" t="s">
        <v>501</v>
      </c>
      <c r="B12" s="7"/>
      <c r="C12" s="35">
        <v>2646.6539113541521</v>
      </c>
      <c r="D12" s="35">
        <v>3479.0632416243566</v>
      </c>
      <c r="E12" s="35">
        <v>695.81264832487136</v>
      </c>
      <c r="F12" s="35">
        <v>4174.8758899492277</v>
      </c>
      <c r="G12" s="35">
        <v>5019.8867202867759</v>
      </c>
      <c r="H12" s="35">
        <v>2443.9427350165101</v>
      </c>
      <c r="I12" s="35">
        <v>13818.169666635156</v>
      </c>
      <c r="J12" s="35">
        <v>63.818663431655771</v>
      </c>
      <c r="K12" s="35">
        <v>109.5745313120063</v>
      </c>
      <c r="L12" s="109">
        <v>0.4868521684244087</v>
      </c>
      <c r="M12" s="35">
        <v>25.14322784901783</v>
      </c>
      <c r="N12" s="35">
        <v>0.90369566752319297</v>
      </c>
      <c r="O12" s="35">
        <v>263.11949312216274</v>
      </c>
      <c r="P12" s="35">
        <v>186.3078956552292</v>
      </c>
      <c r="Q12" s="35">
        <v>167.00098048182826</v>
      </c>
      <c r="R12" s="35">
        <v>126.06058155740061</v>
      </c>
      <c r="S12" s="35">
        <v>77.545150319254844</v>
      </c>
      <c r="T12" s="35">
        <v>36.361665213038052</v>
      </c>
      <c r="U12" s="35">
        <v>58.126185156926219</v>
      </c>
      <c r="V12" s="35">
        <v>52.376995539950727</v>
      </c>
      <c r="W12" s="35">
        <v>20.969823835596209</v>
      </c>
      <c r="X12" s="35">
        <v>84.061859741981593</v>
      </c>
      <c r="Y12" s="35">
        <v>189.69572718762464</v>
      </c>
      <c r="Z12" s="35">
        <v>234.31785598323964</v>
      </c>
      <c r="AA12" s="35"/>
      <c r="AB12" s="35">
        <v>206.2298681876747</v>
      </c>
      <c r="AC12" s="35">
        <v>149.72291369531223</v>
      </c>
      <c r="AD12" s="35">
        <v>127.31231588883824</v>
      </c>
      <c r="AE12" s="35">
        <v>106.24013544215282</v>
      </c>
      <c r="AF12" s="35">
        <v>74.67609294361047</v>
      </c>
      <c r="AG12" s="35">
        <v>27.980546421847393</v>
      </c>
      <c r="AH12" s="35">
        <v>30.014288910392306</v>
      </c>
      <c r="AI12" s="35">
        <v>20.063153684584105</v>
      </c>
      <c r="AJ12" s="35">
        <v>17.687714968758304</v>
      </c>
      <c r="AK12" s="35">
        <v>63.350717394618442</v>
      </c>
      <c r="AL12" s="35">
        <v>148.73439581465328</v>
      </c>
      <c r="AM12" s="29">
        <v>178.69755420747742</v>
      </c>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row>
    <row r="13" spans="1:131">
      <c r="A13" s="7" t="s">
        <v>499</v>
      </c>
      <c r="B13" s="7"/>
      <c r="C13" s="35">
        <v>2719.2631585375898</v>
      </c>
      <c r="D13" s="35">
        <v>3612.3135270070575</v>
      </c>
      <c r="E13" s="35">
        <v>722.46270540141154</v>
      </c>
      <c r="F13" s="35">
        <v>4334.7762324084688</v>
      </c>
      <c r="G13" s="35">
        <v>5212.1515029627981</v>
      </c>
      <c r="H13" s="35">
        <v>2473.2451715167849</v>
      </c>
      <c r="I13" s="35">
        <v>13964.312235348249</v>
      </c>
      <c r="J13" s="35">
        <v>65.659682193230026</v>
      </c>
      <c r="K13" s="35">
        <v>112.06998870724475</v>
      </c>
      <c r="L13" s="109">
        <v>0.47451521125410345</v>
      </c>
      <c r="M13" s="35">
        <v>25.833078009293764</v>
      </c>
      <c r="N13" s="35">
        <v>0.88245981424829878</v>
      </c>
      <c r="O13" s="35">
        <v>256.88013210406393</v>
      </c>
      <c r="P13" s="35">
        <v>181.95722733803711</v>
      </c>
      <c r="Q13" s="35">
        <v>163.22054865109774</v>
      </c>
      <c r="R13" s="35">
        <v>123.5010936582695</v>
      </c>
      <c r="S13" s="35">
        <v>77.238188903977999</v>
      </c>
      <c r="T13" s="35">
        <v>43.895617636191197</v>
      </c>
      <c r="U13" s="35">
        <v>97.108994883472576</v>
      </c>
      <c r="V13" s="35">
        <v>90.316613746307723</v>
      </c>
      <c r="W13" s="35">
        <v>27.735447686016705</v>
      </c>
      <c r="X13" s="35">
        <v>84.335916011802496</v>
      </c>
      <c r="Y13" s="35">
        <v>185.23189112662328</v>
      </c>
      <c r="Z13" s="35">
        <v>228.76867492505812</v>
      </c>
      <c r="AA13" s="35"/>
      <c r="AB13" s="35">
        <v>201.49412046240371</v>
      </c>
      <c r="AC13" s="35">
        <v>146.25669864016137</v>
      </c>
      <c r="AD13" s="35">
        <v>124.30668476742144</v>
      </c>
      <c r="AE13" s="35">
        <v>103.80557277378671</v>
      </c>
      <c r="AF13" s="35">
        <v>73.421748645969913</v>
      </c>
      <c r="AG13" s="35">
        <v>29.332614934668179</v>
      </c>
      <c r="AH13" s="35">
        <v>45.240770621811585</v>
      </c>
      <c r="AI13" s="35">
        <v>31.882658707643639</v>
      </c>
      <c r="AJ13" s="35">
        <v>20.680926205375531</v>
      </c>
      <c r="AK13" s="35">
        <v>62.730911408012723</v>
      </c>
      <c r="AL13" s="35">
        <v>145.29908876825141</v>
      </c>
      <c r="AM13" s="29">
        <v>174.62101593116563</v>
      </c>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row>
    <row r="14" spans="1:131">
      <c r="A14" s="7" t="s">
        <v>504</v>
      </c>
      <c r="B14" s="7"/>
      <c r="C14" s="35">
        <v>2664.0365823158331</v>
      </c>
      <c r="D14" s="35">
        <v>4405.939111130092</v>
      </c>
      <c r="E14" s="35">
        <v>881.1878222260184</v>
      </c>
      <c r="F14" s="35">
        <v>5287.1269333561104</v>
      </c>
      <c r="G14" s="35">
        <v>6357.2616242605618</v>
      </c>
      <c r="H14" s="35">
        <v>2859.327905386584</v>
      </c>
      <c r="I14" s="35">
        <v>17385.358836153046</v>
      </c>
      <c r="J14" s="35">
        <v>83.750036657343799</v>
      </c>
      <c r="K14" s="35">
        <v>134.8540761670649</v>
      </c>
      <c r="L14" s="109">
        <v>0.44977351482198341</v>
      </c>
      <c r="M14" s="35">
        <v>25.308584064192448</v>
      </c>
      <c r="N14" s="35">
        <v>0.98227153967436376</v>
      </c>
      <c r="O14" s="35">
        <v>240.44309768919737</v>
      </c>
      <c r="P14" s="35">
        <v>175.57856353845051</v>
      </c>
      <c r="Q14" s="35">
        <v>142.23549442690035</v>
      </c>
      <c r="R14" s="35">
        <v>122.22496079068762</v>
      </c>
      <c r="S14" s="35">
        <v>39.905707930182125</v>
      </c>
      <c r="T14" s="35">
        <v>23.209617560244467</v>
      </c>
      <c r="U14" s="35">
        <v>43.702008599026712</v>
      </c>
      <c r="V14" s="35">
        <v>43.325924197056416</v>
      </c>
      <c r="W14" s="35">
        <v>32.609878503965305</v>
      </c>
      <c r="X14" s="35">
        <v>109.08587679242567</v>
      </c>
      <c r="Y14" s="35">
        <v>174.00652312712381</v>
      </c>
      <c r="Z14" s="35">
        <v>303.6389440973112</v>
      </c>
      <c r="AA14" s="35"/>
      <c r="AB14" s="35">
        <v>228.14111108011312</v>
      </c>
      <c r="AC14" s="35">
        <v>161.58914080083255</v>
      </c>
      <c r="AD14" s="35">
        <v>119.32510828577509</v>
      </c>
      <c r="AE14" s="35">
        <v>110.99455679909522</v>
      </c>
      <c r="AF14" s="35">
        <v>42.370543601306274</v>
      </c>
      <c r="AG14" s="35">
        <v>12.237669572983741</v>
      </c>
      <c r="AH14" s="35">
        <v>28.645775615041035</v>
      </c>
      <c r="AI14" s="35">
        <v>20.953391014081873</v>
      </c>
      <c r="AJ14" s="35">
        <v>22.145881081478514</v>
      </c>
      <c r="AK14" s="35">
        <v>67.898898190646165</v>
      </c>
      <c r="AL14" s="35">
        <v>137.01551654807955</v>
      </c>
      <c r="AM14" s="29">
        <v>262.75239247382899</v>
      </c>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row>
    <row r="15" spans="1:131">
      <c r="A15" s="7" t="s">
        <v>500</v>
      </c>
      <c r="B15" s="7"/>
      <c r="C15" s="35">
        <v>2095.6932158169034</v>
      </c>
      <c r="D15" s="35">
        <v>3618.3551360186466</v>
      </c>
      <c r="E15" s="35">
        <v>723.67102720372941</v>
      </c>
      <c r="F15" s="35">
        <v>4342.0261632223755</v>
      </c>
      <c r="G15" s="35">
        <v>5220.8688474719711</v>
      </c>
      <c r="H15" s="35">
        <v>2282.1107381306924</v>
      </c>
      <c r="I15" s="35">
        <v>18149.674247526484</v>
      </c>
      <c r="J15" s="35">
        <v>88.230312932125557</v>
      </c>
      <c r="K15" s="35">
        <v>141.14456252150947</v>
      </c>
      <c r="L15" s="109">
        <v>0.43711320946813809</v>
      </c>
      <c r="M15" s="35">
        <v>19.909015096486019</v>
      </c>
      <c r="N15" s="35">
        <v>0.77721691916961022</v>
      </c>
      <c r="O15" s="35">
        <v>226.36947607155599</v>
      </c>
      <c r="P15" s="35">
        <v>160.19611112124539</v>
      </c>
      <c r="Q15" s="35">
        <v>143.43524848250951</v>
      </c>
      <c r="R15" s="35">
        <v>107.87802171826637</v>
      </c>
      <c r="S15" s="35">
        <v>64.662739922983292</v>
      </c>
      <c r="T15" s="35">
        <v>20.037920810330881</v>
      </c>
      <c r="U15" s="35">
        <v>-4.0483445216891889</v>
      </c>
      <c r="V15" s="35">
        <v>-7.4147987498581163</v>
      </c>
      <c r="W15" s="35">
        <v>8.3137236507868799</v>
      </c>
      <c r="X15" s="35">
        <v>69.284131511728503</v>
      </c>
      <c r="Y15" s="35">
        <v>163.1547348504655</v>
      </c>
      <c r="Z15" s="35">
        <v>201.58092564853749</v>
      </c>
      <c r="AA15" s="35"/>
      <c r="AB15" s="35">
        <v>177.21860979755775</v>
      </c>
      <c r="AC15" s="35">
        <v>128.69831900192401</v>
      </c>
      <c r="AD15" s="35">
        <v>109.51269502390745</v>
      </c>
      <c r="AE15" s="35">
        <v>91.288071393601271</v>
      </c>
      <c r="AF15" s="35">
        <v>63.554361039236248</v>
      </c>
      <c r="AG15" s="35">
        <v>21.373019265633499</v>
      </c>
      <c r="AH15" s="35">
        <v>4.4760064336597045</v>
      </c>
      <c r="AI15" s="35">
        <v>0.79378028877508922</v>
      </c>
      <c r="AJ15" s="35">
        <v>10.646687257452834</v>
      </c>
      <c r="AK15" s="35">
        <v>53.320646742157784</v>
      </c>
      <c r="AL15" s="35">
        <v>127.83786690441329</v>
      </c>
      <c r="AM15" s="29">
        <v>153.52326215172215</v>
      </c>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row>
    <row r="16" spans="1:131">
      <c r="A16" s="7" t="s">
        <v>498</v>
      </c>
      <c r="B16" s="7"/>
      <c r="C16" s="35">
        <v>2379.1718416984891</v>
      </c>
      <c r="D16" s="35">
        <v>3914.8924998607772</v>
      </c>
      <c r="E16" s="35">
        <v>782.97849997215553</v>
      </c>
      <c r="F16" s="35">
        <v>4697.8709998329323</v>
      </c>
      <c r="G16" s="35">
        <v>5648.7380385260985</v>
      </c>
      <c r="H16" s="35">
        <v>2320.5966516413182</v>
      </c>
      <c r="I16" s="35">
        <v>17297.342393375478</v>
      </c>
      <c r="J16" s="35">
        <v>83.138057445731732</v>
      </c>
      <c r="K16" s="35">
        <v>140.89290532225266</v>
      </c>
      <c r="L16" s="109">
        <v>0.41081682949610138</v>
      </c>
      <c r="M16" s="35">
        <v>22.602054764727086</v>
      </c>
      <c r="N16" s="35">
        <v>0.88067350369815434</v>
      </c>
      <c r="O16" s="35">
        <v>256.49999013718872</v>
      </c>
      <c r="P16" s="35">
        <v>181.52098811065741</v>
      </c>
      <c r="Q16" s="35">
        <v>162.53296600261771</v>
      </c>
      <c r="R16" s="35">
        <v>122.25133603906411</v>
      </c>
      <c r="S16" s="35">
        <v>73.320880522138609</v>
      </c>
      <c r="T16" s="35">
        <v>22.986315935479531</v>
      </c>
      <c r="U16" s="35">
        <v>-3.2350454017071018</v>
      </c>
      <c r="V16" s="35">
        <v>-7.0891010475701979</v>
      </c>
      <c r="W16" s="35">
        <v>9.6636225415412369</v>
      </c>
      <c r="X16" s="35">
        <v>78.58203613005108</v>
      </c>
      <c r="Y16" s="35">
        <v>184.87231437744148</v>
      </c>
      <c r="Z16" s="35">
        <v>228.41224437290325</v>
      </c>
      <c r="AA16" s="35"/>
      <c r="AB16" s="35">
        <v>200.81216245826445</v>
      </c>
      <c r="AC16" s="35">
        <v>145.83130392519809</v>
      </c>
      <c r="AD16" s="35">
        <v>124.08963774833541</v>
      </c>
      <c r="AE16" s="35">
        <v>103.44164881529086</v>
      </c>
      <c r="AF16" s="35">
        <v>72.030955122357724</v>
      </c>
      <c r="AG16" s="35">
        <v>24.285361767075209</v>
      </c>
      <c r="AH16" s="35">
        <v>5.6057265643923673</v>
      </c>
      <c r="AI16" s="35">
        <v>1.3113410198207021</v>
      </c>
      <c r="AJ16" s="35">
        <v>12.178123517199731</v>
      </c>
      <c r="AK16" s="35">
        <v>60.447360886872993</v>
      </c>
      <c r="AL16" s="35">
        <v>144.85657301472563</v>
      </c>
      <c r="AM16" s="29">
        <v>173.96309913915042</v>
      </c>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row>
    <row r="17" spans="1:131">
      <c r="A17" s="7" t="s">
        <v>490</v>
      </c>
      <c r="B17" s="7"/>
      <c r="C17" s="35">
        <v>2521.5432350451379</v>
      </c>
      <c r="D17" s="35">
        <v>4476.2075916098729</v>
      </c>
      <c r="E17" s="35">
        <v>895.24151832197458</v>
      </c>
      <c r="F17" s="35">
        <v>5371.4491099318475</v>
      </c>
      <c r="G17" s="35">
        <v>6458.6509315300918</v>
      </c>
      <c r="H17" s="35">
        <v>2577.8062056968665</v>
      </c>
      <c r="I17" s="35">
        <v>18660.752490393319</v>
      </c>
      <c r="J17" s="35">
        <v>91.367552432224244</v>
      </c>
      <c r="K17" s="35">
        <v>151.48739454562457</v>
      </c>
      <c r="L17" s="109">
        <v>0.39912455914166728</v>
      </c>
      <c r="M17" s="35">
        <v>23.95488081408519</v>
      </c>
      <c r="N17" s="35">
        <v>0.93249217108520432</v>
      </c>
      <c r="O17" s="35">
        <v>228.25796852566918</v>
      </c>
      <c r="P17" s="35">
        <v>166.68062678907347</v>
      </c>
      <c r="Q17" s="35">
        <v>135.02731133540482</v>
      </c>
      <c r="R17" s="35">
        <v>115.97562109629546</v>
      </c>
      <c r="S17" s="35">
        <v>37.612623117495893</v>
      </c>
      <c r="T17" s="35">
        <v>21.727057649498658</v>
      </c>
      <c r="U17" s="35">
        <v>39.391489339278571</v>
      </c>
      <c r="V17" s="35">
        <v>39.026753943521236</v>
      </c>
      <c r="W17" s="35">
        <v>30.109812079722033</v>
      </c>
      <c r="X17" s="35">
        <v>103.4066896496533</v>
      </c>
      <c r="Y17" s="35">
        <v>165.18825394003653</v>
      </c>
      <c r="Z17" s="35">
        <v>288.25118795683085</v>
      </c>
      <c r="AA17" s="35"/>
      <c r="AB17" s="35">
        <v>216.57941963320198</v>
      </c>
      <c r="AC17" s="35">
        <v>153.40015733237448</v>
      </c>
      <c r="AD17" s="35">
        <v>113.2779733466236</v>
      </c>
      <c r="AE17" s="35">
        <v>105.35433054635955</v>
      </c>
      <c r="AF17" s="35">
        <v>40.140809888821451</v>
      </c>
      <c r="AG17" s="35">
        <v>11.548858809080393</v>
      </c>
      <c r="AH17" s="35">
        <v>26.523995240282602</v>
      </c>
      <c r="AI17" s="35">
        <v>19.434368227043592</v>
      </c>
      <c r="AJ17" s="35">
        <v>20.709450425381654</v>
      </c>
      <c r="AK17" s="35">
        <v>64.409928529307223</v>
      </c>
      <c r="AL17" s="35">
        <v>130.07187049381022</v>
      </c>
      <c r="AM17" s="29">
        <v>249.43667715037139</v>
      </c>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row>
    <row r="18" spans="1:131">
      <c r="A18" s="7" t="s">
        <v>496</v>
      </c>
      <c r="B18" s="7"/>
      <c r="C18" s="35">
        <v>826.55856987151878</v>
      </c>
      <c r="D18" s="35">
        <v>5356.8461304836164</v>
      </c>
      <c r="E18" s="35">
        <v>1071.3692260967234</v>
      </c>
      <c r="F18" s="35">
        <v>6428.2153565803401</v>
      </c>
      <c r="G18" s="35">
        <v>7729.3107039006145</v>
      </c>
      <c r="H18" s="35">
        <v>748.20352538904694</v>
      </c>
      <c r="I18" s="35">
        <v>68127.25507449139</v>
      </c>
      <c r="J18" s="35">
        <v>392.02430752478864</v>
      </c>
      <c r="K18" s="35">
        <v>659.71987190261939</v>
      </c>
      <c r="L18" s="109">
        <v>9.6800808513424652E-2</v>
      </c>
      <c r="M18" s="35">
        <v>7.8524346443248207</v>
      </c>
      <c r="N18" s="35">
        <v>0.26492414811323056</v>
      </c>
      <c r="O18" s="35">
        <v>64.848853145163943</v>
      </c>
      <c r="P18" s="35">
        <v>47.354524175452617</v>
      </c>
      <c r="Q18" s="35">
        <v>38.361711268762491</v>
      </c>
      <c r="R18" s="35">
        <v>33.762207401615235</v>
      </c>
      <c r="S18" s="35">
        <v>14.670912188671847</v>
      </c>
      <c r="T18" s="35">
        <v>10.681693765477398</v>
      </c>
      <c r="U18" s="35">
        <v>42.038179078232822</v>
      </c>
      <c r="V18" s="35">
        <v>42.048037788541343</v>
      </c>
      <c r="W18" s="35">
        <v>21.027747699427763</v>
      </c>
      <c r="X18" s="35">
        <v>31.59999858798388</v>
      </c>
      <c r="Y18" s="35">
        <v>46.93053605205818</v>
      </c>
      <c r="Z18" s="35">
        <v>81.893127663709336</v>
      </c>
      <c r="AA18" s="35"/>
      <c r="AB18" s="35">
        <v>61.530938300972842</v>
      </c>
      <c r="AC18" s="35">
        <v>43.581498335176391</v>
      </c>
      <c r="AD18" s="35">
        <v>32.182651521806072</v>
      </c>
      <c r="AE18" s="35">
        <v>30.15620142120698</v>
      </c>
      <c r="AF18" s="35">
        <v>12.61822717347115</v>
      </c>
      <c r="AG18" s="35">
        <v>4.2912346272906285</v>
      </c>
      <c r="AH18" s="35">
        <v>17.398037137545106</v>
      </c>
      <c r="AI18" s="35">
        <v>12.249929415538038</v>
      </c>
      <c r="AJ18" s="35">
        <v>10.507076905278243</v>
      </c>
      <c r="AK18" s="35">
        <v>19.0055971058895</v>
      </c>
      <c r="AL18" s="35">
        <v>36.953853933127014</v>
      </c>
      <c r="AM18" s="29">
        <v>70.865795179120056</v>
      </c>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row>
    <row r="19" spans="1:131">
      <c r="A19" s="7" t="s">
        <v>497</v>
      </c>
      <c r="B19" s="7"/>
      <c r="C19" s="35">
        <v>836.5766382149352</v>
      </c>
      <c r="D19" s="35">
        <v>5356.8461304836164</v>
      </c>
      <c r="E19" s="35">
        <v>1071.3692260967234</v>
      </c>
      <c r="F19" s="35">
        <v>6428.2153565803401</v>
      </c>
      <c r="G19" s="35">
        <v>7729.3107039006145</v>
      </c>
      <c r="H19" s="35">
        <v>716.82907383554186</v>
      </c>
      <c r="I19" s="35">
        <v>67311.426056313299</v>
      </c>
      <c r="J19" s="35">
        <v>389.37823354575096</v>
      </c>
      <c r="K19" s="35">
        <v>655.04492129634014</v>
      </c>
      <c r="L19" s="109">
        <v>9.2741655924608188E-2</v>
      </c>
      <c r="M19" s="35">
        <v>7.9476538162509875</v>
      </c>
      <c r="N19" s="35">
        <v>0.23474106182134899</v>
      </c>
      <c r="O19" s="35">
        <v>57.460555232912256</v>
      </c>
      <c r="P19" s="35">
        <v>41.959373526944042</v>
      </c>
      <c r="Q19" s="35">
        <v>33.991121234688215</v>
      </c>
      <c r="R19" s="35">
        <v>30.684574624066375</v>
      </c>
      <c r="S19" s="35">
        <v>16.767796159283208</v>
      </c>
      <c r="T19" s="35">
        <v>13.72850951712881</v>
      </c>
      <c r="U19" s="35">
        <v>66.418371374392351</v>
      </c>
      <c r="V19" s="35">
        <v>66.534417668964281</v>
      </c>
      <c r="W19" s="35">
        <v>30.427248957713843</v>
      </c>
      <c r="X19" s="35">
        <v>30.100780008885536</v>
      </c>
      <c r="Y19" s="35">
        <v>41.583690815518608</v>
      </c>
      <c r="Z19" s="35">
        <v>72.562957663769012</v>
      </c>
      <c r="AA19" s="35"/>
      <c r="AB19" s="35">
        <v>54.520653909815998</v>
      </c>
      <c r="AC19" s="35">
        <v>38.616212481287754</v>
      </c>
      <c r="AD19" s="35">
        <v>28.516048251012293</v>
      </c>
      <c r="AE19" s="35">
        <v>26.932940095522007</v>
      </c>
      <c r="AF19" s="35">
        <v>12.328692804438761</v>
      </c>
      <c r="AG19" s="35">
        <v>4.7575679424593922</v>
      </c>
      <c r="AH19" s="35">
        <v>24.742076605906828</v>
      </c>
      <c r="AI19" s="35">
        <v>17.216981901530115</v>
      </c>
      <c r="AJ19" s="35">
        <v>13.682050456380964</v>
      </c>
      <c r="AK19" s="35">
        <v>17.508373674341886</v>
      </c>
      <c r="AL19" s="35">
        <v>32.74366256316388</v>
      </c>
      <c r="AM19" s="29">
        <v>62.79198074480891</v>
      </c>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row>
    <row r="20" spans="1:131">
      <c r="A20" s="7" t="s">
        <v>495</v>
      </c>
      <c r="B20" s="7"/>
      <c r="C20" s="35">
        <v>701.41408178007782</v>
      </c>
      <c r="D20" s="35">
        <v>5356.8461304836183</v>
      </c>
      <c r="E20" s="35">
        <v>1071.3692260967237</v>
      </c>
      <c r="F20" s="35">
        <v>6428.2153565803419</v>
      </c>
      <c r="G20" s="35">
        <v>7729.3107039006172</v>
      </c>
      <c r="H20" s="35">
        <v>586.17408047102492</v>
      </c>
      <c r="I20" s="35">
        <v>80282.343891264594</v>
      </c>
      <c r="J20" s="35">
        <v>469.40807670231948</v>
      </c>
      <c r="K20" s="35">
        <v>787.61292404503399</v>
      </c>
      <c r="L20" s="109">
        <v>7.5837820851891821E-2</v>
      </c>
      <c r="M20" s="35">
        <v>6.663613899013578</v>
      </c>
      <c r="N20" s="35">
        <v>0.17301276658821213</v>
      </c>
      <c r="O20" s="35">
        <v>42.350535323499919</v>
      </c>
      <c r="P20" s="35">
        <v>30.925596237311332</v>
      </c>
      <c r="Q20" s="35">
        <v>25.052702235471795</v>
      </c>
      <c r="R20" s="35">
        <v>23.241689900054592</v>
      </c>
      <c r="S20" s="35">
        <v>15.426529758952544</v>
      </c>
      <c r="T20" s="35">
        <v>13.589828799669277</v>
      </c>
      <c r="U20" s="35">
        <v>72.701566957546049</v>
      </c>
      <c r="V20" s="35">
        <v>72.874465612903663</v>
      </c>
      <c r="W20" s="35">
        <v>32.029203300072915</v>
      </c>
      <c r="X20" s="35">
        <v>23.895932723796474</v>
      </c>
      <c r="Y20" s="35">
        <v>30.648704308993558</v>
      </c>
      <c r="Z20" s="35">
        <v>53.481559467369713</v>
      </c>
      <c r="AA20" s="35"/>
      <c r="AB20" s="35">
        <v>40.183720291401563</v>
      </c>
      <c r="AC20" s="35">
        <v>28.461564008901558</v>
      </c>
      <c r="AD20" s="35">
        <v>21.017372767212578</v>
      </c>
      <c r="AE20" s="35">
        <v>20.023545885839592</v>
      </c>
      <c r="AF20" s="35">
        <v>10.021415328874129</v>
      </c>
      <c r="AG20" s="35">
        <v>4.2842197743003441</v>
      </c>
      <c r="AH20" s="35">
        <v>25.828860207148651</v>
      </c>
      <c r="AI20" s="35">
        <v>17.869809738690783</v>
      </c>
      <c r="AJ20" s="35">
        <v>13.64373071925016</v>
      </c>
      <c r="AK20" s="35">
        <v>13.448257621779817</v>
      </c>
      <c r="AL20" s="35">
        <v>24.13327947112758</v>
      </c>
      <c r="AM20" s="29">
        <v>46.279991339909259</v>
      </c>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row>
    <row r="21" spans="1:131">
      <c r="A21" s="7" t="s">
        <v>804</v>
      </c>
      <c r="B21" s="7"/>
      <c r="C21" s="35">
        <v>604.08127008718748</v>
      </c>
      <c r="D21" s="35">
        <v>5447.8150000000014</v>
      </c>
      <c r="E21" s="35">
        <v>1089.5630000000003</v>
      </c>
      <c r="F21" s="35">
        <v>6537.3780000000015</v>
      </c>
      <c r="G21" s="35">
        <v>7860.5682834068703</v>
      </c>
      <c r="H21" s="35">
        <v>531.2091213780202</v>
      </c>
      <c r="I21" s="35">
        <v>94800.872193462594</v>
      </c>
      <c r="J21" s="35">
        <v>555.28260783855706</v>
      </c>
      <c r="K21" s="35">
        <v>931.03029713947728</v>
      </c>
      <c r="L21" s="109">
        <v>6.7578971675542443E-2</v>
      </c>
      <c r="M21" s="35">
        <v>5.7389045291973249</v>
      </c>
      <c r="N21" s="35">
        <v>0.16546861636563115</v>
      </c>
      <c r="O21" s="35">
        <v>40.503857723992795</v>
      </c>
      <c r="P21" s="35">
        <v>29.577098387482376</v>
      </c>
      <c r="Q21" s="35">
        <v>23.960289502740732</v>
      </c>
      <c r="R21" s="35">
        <v>21.735634313086543</v>
      </c>
      <c r="S21" s="35">
        <v>12.33968592609981</v>
      </c>
      <c r="T21" s="35">
        <v>10.26567530022256</v>
      </c>
      <c r="U21" s="35">
        <v>50.844075064718389</v>
      </c>
      <c r="V21" s="35">
        <v>50.940686485528438</v>
      </c>
      <c r="W21" s="35">
        <v>23.076045072632748</v>
      </c>
      <c r="X21" s="35">
        <v>21.507965032533452</v>
      </c>
      <c r="Y21" s="35">
        <v>29.312280217326169</v>
      </c>
      <c r="Z21" s="35">
        <v>51.149518157839978</v>
      </c>
      <c r="AA21" s="35"/>
      <c r="AB21" s="35">
        <v>38.431525766346411</v>
      </c>
      <c r="AC21" s="35">
        <v>27.220509266601471</v>
      </c>
      <c r="AD21" s="35">
        <v>20.100918909115393</v>
      </c>
      <c r="AE21" s="35">
        <v>19.014312058700813</v>
      </c>
      <c r="AF21" s="35">
        <v>8.8489288099019294</v>
      </c>
      <c r="AG21" s="35">
        <v>3.4854401615939077</v>
      </c>
      <c r="AH21" s="35">
        <v>18.727815426034788</v>
      </c>
      <c r="AI21" s="35">
        <v>13.014376149394106</v>
      </c>
      <c r="AJ21" s="35">
        <v>10.247868434179708</v>
      </c>
      <c r="AK21" s="35">
        <v>12.43383469895099</v>
      </c>
      <c r="AL21" s="35">
        <v>23.080957788259806</v>
      </c>
      <c r="AM21" s="29">
        <v>44.261971433904172</v>
      </c>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row>
    <row r="22" spans="1:131">
      <c r="A22" s="7" t="s">
        <v>494</v>
      </c>
      <c r="B22" s="7"/>
      <c r="C22" s="35">
        <v>563.46241624481468</v>
      </c>
      <c r="D22" s="35">
        <v>5356.8461304836173</v>
      </c>
      <c r="E22" s="35">
        <v>1071.3692260967234</v>
      </c>
      <c r="F22" s="35">
        <v>6428.215356580341</v>
      </c>
      <c r="G22" s="35">
        <v>7729.3107039006154</v>
      </c>
      <c r="H22" s="35">
        <v>514.34947011890438</v>
      </c>
      <c r="I22" s="35">
        <v>99937.750771255625</v>
      </c>
      <c r="J22" s="35">
        <v>584.33255814041115</v>
      </c>
      <c r="K22" s="35">
        <v>980.44302510700686</v>
      </c>
      <c r="L22" s="109">
        <v>6.6545322063368037E-2</v>
      </c>
      <c r="M22" s="35">
        <v>5.3529908100902377</v>
      </c>
      <c r="N22" s="35">
        <v>0.17301276658821213</v>
      </c>
      <c r="O22" s="35">
        <v>42.350535323499919</v>
      </c>
      <c r="P22" s="35">
        <v>30.925596237311328</v>
      </c>
      <c r="Q22" s="35">
        <v>25.052702235471791</v>
      </c>
      <c r="R22" s="35">
        <v>22.223582842688948</v>
      </c>
      <c r="S22" s="35">
        <v>10.437017724732678</v>
      </c>
      <c r="T22" s="35">
        <v>7.9443322148543931</v>
      </c>
      <c r="U22" s="35">
        <v>34.079344093332494</v>
      </c>
      <c r="V22" s="35">
        <v>34.110157324952382</v>
      </c>
      <c r="W22" s="35">
        <v>16.411687563089423</v>
      </c>
      <c r="X22" s="35">
        <v>21.114089444793141</v>
      </c>
      <c r="Y22" s="35">
        <v>30.648704308993551</v>
      </c>
      <c r="Z22" s="35">
        <v>53.481559467369706</v>
      </c>
      <c r="AA22" s="35"/>
      <c r="AB22" s="35">
        <v>40.183720291401556</v>
      </c>
      <c r="AC22" s="35">
        <v>28.461564008901554</v>
      </c>
      <c r="AD22" s="35">
        <v>21.017372767212578</v>
      </c>
      <c r="AE22" s="35">
        <v>19.742228691237344</v>
      </c>
      <c r="AF22" s="35">
        <v>8.5013025969706444</v>
      </c>
      <c r="AG22" s="35">
        <v>3.0194316552166294</v>
      </c>
      <c r="AH22" s="35">
        <v>13.480434904655633</v>
      </c>
      <c r="AI22" s="35">
        <v>9.445243721813176</v>
      </c>
      <c r="AJ22" s="35">
        <v>7.8548872570651866</v>
      </c>
      <c r="AK22" s="35">
        <v>12.563650758213813</v>
      </c>
      <c r="AL22" s="35">
        <v>24.133279471127576</v>
      </c>
      <c r="AM22" s="29">
        <v>46.279991339909252</v>
      </c>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row>
    <row r="23" spans="1:131">
      <c r="A23" s="7"/>
      <c r="B23" s="7"/>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sheetPr codeName="Sheet6"/>
  <dimension ref="A1:EA190"/>
  <sheetViews>
    <sheetView topLeftCell="A7" workbookViewId="0">
      <selection activeCell="A48" sqref="A48:EA190"/>
    </sheetView>
  </sheetViews>
  <sheetFormatPr defaultRowHeight="12.75"/>
  <cols>
    <col min="1" max="1" width="108.85546875" customWidth="1"/>
    <col min="2" max="2" width="18.7109375" customWidth="1"/>
    <col min="3" max="3" width="18" customWidth="1"/>
    <col min="7" max="7" width="27" customWidth="1"/>
    <col min="15" max="15" width="11.140625" customWidth="1"/>
    <col min="16" max="16" width="18.5703125" customWidth="1"/>
  </cols>
  <sheetData>
    <row r="1" spans="1:20">
      <c r="A1" s="1" t="s">
        <v>0</v>
      </c>
      <c r="B1" s="2"/>
      <c r="C1" s="2"/>
      <c r="D1" s="2"/>
      <c r="E1" s="2"/>
      <c r="F1" s="2"/>
      <c r="G1" s="2"/>
      <c r="H1" s="3"/>
      <c r="I1" s="4"/>
      <c r="J1" s="4"/>
      <c r="K1" s="4"/>
      <c r="L1" s="4"/>
      <c r="M1" s="4"/>
      <c r="N1" s="5"/>
      <c r="O1" s="6"/>
      <c r="P1" s="5"/>
    </row>
    <row r="2" spans="1:20">
      <c r="A2" s="8" t="s">
        <v>1</v>
      </c>
      <c r="B2" s="3"/>
      <c r="C2" s="3"/>
      <c r="D2" s="3"/>
      <c r="E2" s="3"/>
      <c r="F2" s="3"/>
      <c r="G2" s="3"/>
      <c r="H2" s="3"/>
      <c r="I2" s="4"/>
      <c r="J2" s="4"/>
      <c r="K2" s="4"/>
      <c r="L2" s="4"/>
      <c r="M2" s="4"/>
      <c r="N2" s="5"/>
      <c r="O2" s="5"/>
      <c r="P2" s="5"/>
    </row>
    <row r="3" spans="1:20">
      <c r="A3" s="8" t="s">
        <v>2</v>
      </c>
      <c r="B3" s="7">
        <v>2012</v>
      </c>
      <c r="C3" s="8"/>
      <c r="D3" s="7"/>
      <c r="E3" s="7"/>
      <c r="F3" s="7"/>
      <c r="G3" s="7"/>
      <c r="H3" s="7"/>
      <c r="I3" s="7"/>
      <c r="J3" s="9"/>
      <c r="K3" s="10"/>
      <c r="L3" s="7"/>
      <c r="M3" s="7"/>
      <c r="N3" s="7"/>
      <c r="O3" s="7"/>
      <c r="P3" s="7"/>
    </row>
    <row r="4" spans="1:20">
      <c r="A4" s="7"/>
      <c r="B4" s="7"/>
      <c r="C4" s="7"/>
      <c r="D4" s="7"/>
      <c r="E4" s="7"/>
      <c r="F4" s="7"/>
      <c r="G4" s="7"/>
      <c r="H4" s="7"/>
      <c r="I4" s="7"/>
      <c r="J4" s="7"/>
      <c r="K4" s="7"/>
      <c r="L4" s="7"/>
      <c r="M4" s="7"/>
      <c r="N4" s="7"/>
      <c r="O4" s="7"/>
      <c r="P4" s="7"/>
    </row>
    <row r="5" spans="1:20">
      <c r="A5" s="11">
        <v>1</v>
      </c>
      <c r="B5" s="11">
        <v>2</v>
      </c>
      <c r="C5" s="11">
        <v>3</v>
      </c>
      <c r="D5" s="11">
        <v>4</v>
      </c>
      <c r="E5" s="11">
        <v>5</v>
      </c>
      <c r="F5" s="11">
        <v>6</v>
      </c>
      <c r="G5" s="11">
        <v>7</v>
      </c>
      <c r="H5" s="11">
        <v>8</v>
      </c>
      <c r="I5" s="11">
        <v>9</v>
      </c>
      <c r="J5" s="11">
        <v>10</v>
      </c>
      <c r="K5" s="11">
        <v>11</v>
      </c>
      <c r="L5" s="11">
        <v>12</v>
      </c>
      <c r="M5" s="11">
        <v>13</v>
      </c>
      <c r="N5" s="11">
        <v>14</v>
      </c>
      <c r="O5" s="11">
        <v>15</v>
      </c>
      <c r="P5" s="11">
        <v>16</v>
      </c>
    </row>
    <row r="6" spans="1:20">
      <c r="A6" s="12" t="s">
        <v>3</v>
      </c>
      <c r="B6" s="13"/>
      <c r="C6" s="13"/>
      <c r="D6" s="13"/>
      <c r="E6" s="13"/>
      <c r="F6" s="13"/>
      <c r="G6" s="14"/>
      <c r="H6" s="15"/>
      <c r="I6" s="445" t="s">
        <v>4</v>
      </c>
      <c r="J6" s="446"/>
      <c r="K6" s="446"/>
      <c r="L6" s="446"/>
      <c r="M6" s="446"/>
      <c r="N6" s="447"/>
      <c r="O6" s="448" t="s">
        <v>5</v>
      </c>
      <c r="P6" s="449"/>
      <c r="Q6" s="83" t="s">
        <v>151</v>
      </c>
      <c r="R6" s="450" t="s">
        <v>152</v>
      </c>
      <c r="S6" s="450"/>
      <c r="T6" s="450"/>
    </row>
    <row r="7" spans="1:20" ht="38.25">
      <c r="A7" s="21" t="s">
        <v>6</v>
      </c>
      <c r="B7" s="21" t="s">
        <v>7</v>
      </c>
      <c r="C7" s="21" t="s">
        <v>8</v>
      </c>
      <c r="D7" s="21" t="s">
        <v>9</v>
      </c>
      <c r="E7" s="21" t="s">
        <v>10</v>
      </c>
      <c r="F7" s="21" t="s">
        <v>11</v>
      </c>
      <c r="G7" s="21" t="s">
        <v>12</v>
      </c>
      <c r="H7" s="21" t="s">
        <v>13</v>
      </c>
      <c r="I7" s="21" t="s">
        <v>14</v>
      </c>
      <c r="J7" s="21" t="s">
        <v>15</v>
      </c>
      <c r="K7" s="21" t="s">
        <v>16</v>
      </c>
      <c r="L7" s="21" t="s">
        <v>17</v>
      </c>
      <c r="M7" s="21" t="s">
        <v>18</v>
      </c>
      <c r="N7" s="21" t="s">
        <v>19</v>
      </c>
      <c r="O7" s="22" t="s">
        <v>20</v>
      </c>
      <c r="P7" s="21" t="s">
        <v>12</v>
      </c>
      <c r="Q7" s="84" t="s">
        <v>153</v>
      </c>
      <c r="R7" s="85" t="s">
        <v>154</v>
      </c>
      <c r="S7" s="85" t="s">
        <v>155</v>
      </c>
      <c r="T7" s="85" t="s">
        <v>156</v>
      </c>
    </row>
    <row r="8" spans="1:20">
      <c r="A8" t="str">
        <f>CONCATENATE(Segmented!C147," + ",Segmented!A147)</f>
        <v>Existing Single Family Home HVAC Conversion - Convert FAF w/CAC to Heat Pump - House with "Good Insulation" + HZ1</v>
      </c>
      <c r="B8" t="str">
        <f>Segmented!D147</f>
        <v>Heating Savings</v>
      </c>
      <c r="C8">
        <f>Segmented!E147</f>
        <v>2610.3529019871903</v>
      </c>
      <c r="D8">
        <f>Segmented!F147</f>
        <v>15</v>
      </c>
      <c r="E8">
        <f>Segmented!G147</f>
        <v>2878.5049609349367</v>
      </c>
      <c r="F8">
        <f>Segmented!H147</f>
        <v>0</v>
      </c>
      <c r="G8" t="s">
        <v>385</v>
      </c>
      <c r="H8">
        <f>Segmented!J147</f>
        <v>41.534869287695713</v>
      </c>
      <c r="I8">
        <f>Segmented!K147</f>
        <v>0</v>
      </c>
      <c r="J8">
        <f>Segmented!L147</f>
        <v>0</v>
      </c>
      <c r="K8">
        <f>Segmented!M147</f>
        <v>0</v>
      </c>
      <c r="L8">
        <f>Segmented!N147</f>
        <v>0</v>
      </c>
      <c r="M8">
        <f>Segmented!O147</f>
        <v>0</v>
      </c>
      <c r="N8">
        <f>Segmented!P147</f>
        <v>0</v>
      </c>
      <c r="O8">
        <f>Segmented!Q147</f>
        <v>0</v>
      </c>
      <c r="Q8" t="s">
        <v>486</v>
      </c>
    </row>
    <row r="9" spans="1:20">
      <c r="A9" t="str">
        <f>CONCATENATE(Segmented!C148," + ",Segmented!A148)</f>
        <v>Existing Single Family Home HVAC Conversion - Convert FAF w/CAC to Heat Pump - House with "Good Insulation" + HZ23</v>
      </c>
      <c r="B9" t="str">
        <f>Segmented!D148</f>
        <v>Heating Savings</v>
      </c>
      <c r="C9">
        <f>Segmented!E148</f>
        <v>2563.9872339710073</v>
      </c>
      <c r="D9">
        <f>Segmented!F148</f>
        <v>15</v>
      </c>
      <c r="E9">
        <f>Segmented!G148</f>
        <v>2911.5329115654022</v>
      </c>
      <c r="F9">
        <f>Segmented!H148</f>
        <v>0</v>
      </c>
      <c r="G9" t="s">
        <v>385</v>
      </c>
      <c r="H9">
        <f>Segmented!J148</f>
        <v>29.987858229730204</v>
      </c>
      <c r="I9">
        <f>Segmented!K148</f>
        <v>0</v>
      </c>
      <c r="J9">
        <f>Segmented!L148</f>
        <v>0</v>
      </c>
      <c r="K9">
        <f>Segmented!M148</f>
        <v>0</v>
      </c>
      <c r="L9">
        <f>Segmented!N148</f>
        <v>0</v>
      </c>
      <c r="M9">
        <f>Segmented!O148</f>
        <v>0</v>
      </c>
      <c r="N9">
        <f>Segmented!P148</f>
        <v>0</v>
      </c>
      <c r="O9">
        <f>Segmented!Q148</f>
        <v>0</v>
      </c>
      <c r="Q9" t="s">
        <v>486</v>
      </c>
    </row>
    <row r="10" spans="1:20">
      <c r="A10" t="str">
        <f>CONCATENATE(Segmented!C149," + ",Segmented!A149)</f>
        <v>Existing Single Family Home HVAC Conversion - Convert FAF w/o CAC to Heat Pump - House with "Good Insulation" + HZ1CZ1</v>
      </c>
      <c r="B10" t="str">
        <f>Segmented!D149</f>
        <v>Heating Savings</v>
      </c>
      <c r="C10">
        <f>Segmented!E149</f>
        <v>2610.3529019871903</v>
      </c>
      <c r="D10">
        <f>Segmented!F149</f>
        <v>15</v>
      </c>
      <c r="E10">
        <f>Segmented!G149</f>
        <v>4405.939111130092</v>
      </c>
      <c r="F10">
        <f>Segmented!H149</f>
        <v>0</v>
      </c>
      <c r="G10" t="s">
        <v>385</v>
      </c>
      <c r="H10">
        <f>Segmented!J149</f>
        <v>41.534869287695713</v>
      </c>
      <c r="I10">
        <f>Segmented!K149</f>
        <v>0</v>
      </c>
      <c r="J10">
        <f>Segmented!L149</f>
        <v>0</v>
      </c>
      <c r="K10">
        <f>Segmented!M149</f>
        <v>0</v>
      </c>
      <c r="L10">
        <f>Segmented!N149</f>
        <v>0</v>
      </c>
      <c r="M10">
        <f>Segmented!O149</f>
        <v>0</v>
      </c>
      <c r="N10">
        <f>Segmented!P149</f>
        <v>0</v>
      </c>
      <c r="O10">
        <f>Segmented!Q149</f>
        <v>0</v>
      </c>
      <c r="Q10" t="s">
        <v>486</v>
      </c>
    </row>
    <row r="11" spans="1:20">
      <c r="A11" t="str">
        <f>CONCATENATE(Segmented!C150," + ",Segmented!A150)</f>
        <v>Existing Single Family Home HVAC Conversion - Convert FAF w/o CAC to Heat Pump - House with "Good Insulation" + HZ1CZ23</v>
      </c>
      <c r="B11" t="str">
        <f>Segmented!D150</f>
        <v>Heating Savings</v>
      </c>
      <c r="C11">
        <f>Segmented!E150</f>
        <v>2610.3529019871903</v>
      </c>
      <c r="D11">
        <f>Segmented!F150</f>
        <v>15</v>
      </c>
      <c r="E11">
        <f>Segmented!G150</f>
        <v>3231.068075449366</v>
      </c>
      <c r="F11">
        <f>Segmented!H150</f>
        <v>0</v>
      </c>
      <c r="G11" t="s">
        <v>385</v>
      </c>
      <c r="H11">
        <f>Segmented!J150</f>
        <v>41.534869287695713</v>
      </c>
      <c r="I11">
        <f>Segmented!K150</f>
        <v>0</v>
      </c>
      <c r="J11">
        <f>Segmented!L150</f>
        <v>0</v>
      </c>
      <c r="K11">
        <f>Segmented!M150</f>
        <v>0</v>
      </c>
      <c r="L11">
        <f>Segmented!N150</f>
        <v>0</v>
      </c>
      <c r="M11">
        <f>Segmented!O150</f>
        <v>0</v>
      </c>
      <c r="N11">
        <f>Segmented!P150</f>
        <v>0</v>
      </c>
      <c r="O11">
        <f>Segmented!Q150</f>
        <v>0</v>
      </c>
      <c r="Q11" t="s">
        <v>486</v>
      </c>
    </row>
    <row r="12" spans="1:20">
      <c r="A12" t="str">
        <f>CONCATENATE(Segmented!C151," + ",Segmented!A151)</f>
        <v>Existing Single Family Home HVAC Conversion - Convert FAF w/o CAC to Heat Pump - House with "Good Insulation" + HZ23CZ1</v>
      </c>
      <c r="B12" t="str">
        <f>Segmented!D151</f>
        <v>Heating Savings</v>
      </c>
      <c r="C12">
        <f>Segmented!E151</f>
        <v>2478.0659385484655</v>
      </c>
      <c r="D12">
        <f>Segmented!F151</f>
        <v>15</v>
      </c>
      <c r="E12">
        <f>Segmented!G151</f>
        <v>4476.2075916098729</v>
      </c>
      <c r="F12">
        <f>Segmented!H151</f>
        <v>0</v>
      </c>
      <c r="G12" t="s">
        <v>385</v>
      </c>
      <c r="H12">
        <f>Segmented!J151</f>
        <v>29.095735423173785</v>
      </c>
      <c r="I12">
        <f>Segmented!K151</f>
        <v>0</v>
      </c>
      <c r="J12">
        <f>Segmented!L151</f>
        <v>0</v>
      </c>
      <c r="K12">
        <f>Segmented!M151</f>
        <v>0</v>
      </c>
      <c r="L12">
        <f>Segmented!N151</f>
        <v>0</v>
      </c>
      <c r="M12">
        <f>Segmented!O151</f>
        <v>0</v>
      </c>
      <c r="N12">
        <f>Segmented!P151</f>
        <v>0</v>
      </c>
      <c r="O12">
        <f>Segmented!Q151</f>
        <v>0</v>
      </c>
      <c r="Q12" t="s">
        <v>486</v>
      </c>
    </row>
    <row r="13" spans="1:20">
      <c r="A13" t="str">
        <f>CONCATENATE(Segmented!C152," + ",Segmented!A152)</f>
        <v>Existing Single Family Home HVAC Conversion - Convert FAF w/o CAC to Heat Pump - House with "Good Insulation" + HZ23CZ23</v>
      </c>
      <c r="B13" t="str">
        <f>Segmented!D152</f>
        <v>Heating Savings</v>
      </c>
      <c r="C13">
        <f>Segmented!E152</f>
        <v>2633.4037799209864</v>
      </c>
      <c r="D13">
        <f>Segmented!F152</f>
        <v>15</v>
      </c>
      <c r="E13">
        <f>Segmented!G152</f>
        <v>3514.1785459794187</v>
      </c>
      <c r="F13">
        <f>Segmented!H152</f>
        <v>0</v>
      </c>
      <c r="G13" t="s">
        <v>385</v>
      </c>
      <c r="H13">
        <f>Segmented!J152</f>
        <v>30.708611839063021</v>
      </c>
      <c r="I13">
        <f>Segmented!K152</f>
        <v>0</v>
      </c>
      <c r="J13">
        <f>Segmented!L152</f>
        <v>0</v>
      </c>
      <c r="K13">
        <f>Segmented!M152</f>
        <v>0</v>
      </c>
      <c r="L13">
        <f>Segmented!N152</f>
        <v>0</v>
      </c>
      <c r="M13">
        <f>Segmented!O152</f>
        <v>0</v>
      </c>
      <c r="N13">
        <f>Segmented!P152</f>
        <v>0</v>
      </c>
      <c r="O13">
        <f>Segmented!Q152</f>
        <v>0</v>
      </c>
      <c r="Q13" t="s">
        <v>486</v>
      </c>
    </row>
    <row r="14" spans="1:20">
      <c r="A14" t="str">
        <f>CONCATENATE(Segmented!C153," + ",Segmented!A153)</f>
        <v>Existing Single Family Home HVAC Upgrade + HZ1</v>
      </c>
      <c r="B14" t="str">
        <f>Segmented!D153</f>
        <v>Heating Savings</v>
      </c>
      <c r="C14">
        <f>Segmented!E153</f>
        <v>115.19308595364367</v>
      </c>
      <c r="D14">
        <f>Segmented!F153</f>
        <v>15</v>
      </c>
      <c r="E14">
        <f>Segmented!G153</f>
        <v>89.471516996608102</v>
      </c>
      <c r="F14">
        <f>Segmented!H153</f>
        <v>0</v>
      </c>
      <c r="G14" t="s">
        <v>385</v>
      </c>
      <c r="H14">
        <f>Segmented!J153</f>
        <v>1.6807132651285106</v>
      </c>
      <c r="I14">
        <f>Segmented!K153</f>
        <v>0</v>
      </c>
      <c r="J14">
        <f>Segmented!L153</f>
        <v>0</v>
      </c>
      <c r="K14">
        <f>Segmented!M153</f>
        <v>0</v>
      </c>
      <c r="L14">
        <f>Segmented!N153</f>
        <v>0</v>
      </c>
      <c r="M14">
        <f>Segmented!O153</f>
        <v>0</v>
      </c>
      <c r="N14">
        <f>Segmented!P153</f>
        <v>0</v>
      </c>
      <c r="O14">
        <f>Segmented!Q153</f>
        <v>0</v>
      </c>
      <c r="Q14" t="s">
        <v>486</v>
      </c>
    </row>
    <row r="15" spans="1:20">
      <c r="A15" t="str">
        <f>CONCATENATE(Segmented!C154," + ",Segmented!A154)</f>
        <v>Existing Single Family Home HVAC Upgrade + HZ23</v>
      </c>
      <c r="B15" t="str">
        <f>Segmented!D154</f>
        <v>Heating Savings</v>
      </c>
      <c r="C15">
        <f>Segmented!E154</f>
        <v>80.622184985288499</v>
      </c>
      <c r="D15">
        <f>Segmented!F154</f>
        <v>15</v>
      </c>
      <c r="E15">
        <f>Segmented!G154</f>
        <v>89.471516996608102</v>
      </c>
      <c r="F15">
        <f>Segmented!H154</f>
        <v>0</v>
      </c>
      <c r="G15" t="s">
        <v>385</v>
      </c>
      <c r="H15">
        <f>Segmented!J154</f>
        <v>0.95033667913851261</v>
      </c>
      <c r="I15">
        <f>Segmented!K154</f>
        <v>0</v>
      </c>
      <c r="J15">
        <f>Segmented!L154</f>
        <v>0</v>
      </c>
      <c r="K15">
        <f>Segmented!M154</f>
        <v>0</v>
      </c>
      <c r="L15">
        <f>Segmented!N154</f>
        <v>0</v>
      </c>
      <c r="M15">
        <f>Segmented!O154</f>
        <v>0</v>
      </c>
      <c r="N15">
        <f>Segmented!P154</f>
        <v>0</v>
      </c>
      <c r="O15">
        <f>Segmented!Q154</f>
        <v>0</v>
      </c>
      <c r="Q15" t="s">
        <v>486</v>
      </c>
    </row>
    <row r="16" spans="1:20">
      <c r="A16" t="str">
        <f>CONCATENATE(Segmented!C155," + ",Segmented!A155)</f>
        <v>Existing Single Family Home HVAC Upgrade - Central Heat Pump Upgrade to Variable Capacity Central Heat Pump + HZ1CZ1</v>
      </c>
      <c r="B16" t="str">
        <f>Segmented!D155</f>
        <v>Heating Savings</v>
      </c>
      <c r="C16">
        <f>Segmented!E155</f>
        <v>459.77548885727816</v>
      </c>
      <c r="D16">
        <f>Segmented!F155</f>
        <v>15</v>
      </c>
      <c r="E16">
        <f>Segmented!G155</f>
        <v>5356.8461304836173</v>
      </c>
      <c r="F16">
        <f>Segmented!H155</f>
        <v>0</v>
      </c>
      <c r="G16" t="s">
        <v>385</v>
      </c>
      <c r="H16">
        <f>Segmented!J155</f>
        <v>6.4703973995617137</v>
      </c>
      <c r="I16">
        <f>Segmented!K155</f>
        <v>0</v>
      </c>
      <c r="J16">
        <f>Segmented!L155</f>
        <v>0</v>
      </c>
      <c r="K16">
        <f>Segmented!M155</f>
        <v>0</v>
      </c>
      <c r="L16">
        <f>Segmented!N155</f>
        <v>0</v>
      </c>
      <c r="M16">
        <f>Segmented!O155</f>
        <v>0</v>
      </c>
      <c r="N16">
        <f>Segmented!P155</f>
        <v>0</v>
      </c>
      <c r="O16">
        <f>Segmented!Q155</f>
        <v>0</v>
      </c>
      <c r="Q16" t="s">
        <v>486</v>
      </c>
    </row>
    <row r="17" spans="1:38">
      <c r="A17" t="str">
        <f>CONCATENATE(Segmented!C156," + ",Segmented!A156)</f>
        <v>Existing Single Family Home HVAC Upgrade - Central Heat Pump Upgrade to Variable Capacity Central Heat Pump + HZ1CZ23</v>
      </c>
      <c r="B17" t="str">
        <f>Segmented!D156</f>
        <v>Heating Savings</v>
      </c>
      <c r="C17">
        <f>Segmented!E156</f>
        <v>459.77548885727822</v>
      </c>
      <c r="D17">
        <f>Segmented!F156</f>
        <v>15</v>
      </c>
      <c r="E17">
        <f>Segmented!G156</f>
        <v>5356.8461304836183</v>
      </c>
      <c r="F17">
        <f>Segmented!H156</f>
        <v>0</v>
      </c>
      <c r="G17" t="s">
        <v>385</v>
      </c>
      <c r="H17">
        <f>Segmented!J156</f>
        <v>6.4703973995617137</v>
      </c>
      <c r="I17">
        <f>Segmented!K156</f>
        <v>0</v>
      </c>
      <c r="J17">
        <f>Segmented!L156</f>
        <v>0</v>
      </c>
      <c r="K17">
        <f>Segmented!M156</f>
        <v>0</v>
      </c>
      <c r="L17">
        <f>Segmented!N156</f>
        <v>0</v>
      </c>
      <c r="M17">
        <f>Segmented!O156</f>
        <v>0</v>
      </c>
      <c r="N17">
        <f>Segmented!P156</f>
        <v>0</v>
      </c>
      <c r="O17">
        <f>Segmented!Q156</f>
        <v>0</v>
      </c>
      <c r="Q17" t="s">
        <v>486</v>
      </c>
    </row>
    <row r="18" spans="1:38">
      <c r="A18" t="str">
        <f>CONCATENATE(Segmented!C157," + ",Segmented!A157)</f>
        <v>Existing Single Family Home HVAC Upgrade - Central Heat Pump Upgrade to Variable Capacity Central Heat Pump + HZ23CZ1</v>
      </c>
      <c r="B18" t="str">
        <f>Segmented!D157</f>
        <v>Heating Savings</v>
      </c>
      <c r="C18">
        <f>Segmented!E157</f>
        <v>704.02683056775959</v>
      </c>
      <c r="D18">
        <f>Segmented!F157</f>
        <v>15</v>
      </c>
      <c r="E18">
        <f>Segmented!G157</f>
        <v>5356.8461304836164</v>
      </c>
      <c r="F18">
        <f>Segmented!H157</f>
        <v>0</v>
      </c>
      <c r="G18" t="s">
        <v>385</v>
      </c>
      <c r="H18">
        <f>Segmented!J157</f>
        <v>8.3976953633326694</v>
      </c>
      <c r="I18">
        <f>Segmented!K157</f>
        <v>0</v>
      </c>
      <c r="J18">
        <f>Segmented!L157</f>
        <v>0</v>
      </c>
      <c r="K18">
        <f>Segmented!M157</f>
        <v>0</v>
      </c>
      <c r="L18">
        <f>Segmented!N157</f>
        <v>0</v>
      </c>
      <c r="M18">
        <f>Segmented!O157</f>
        <v>0</v>
      </c>
      <c r="N18">
        <f>Segmented!P157</f>
        <v>0</v>
      </c>
      <c r="O18">
        <f>Segmented!Q157</f>
        <v>0</v>
      </c>
      <c r="Q18" t="s">
        <v>486</v>
      </c>
    </row>
    <row r="19" spans="1:38">
      <c r="A19" t="str">
        <f>CONCATENATE(Segmented!C158," + ",Segmented!A158)</f>
        <v>Existing Single Family Home HVAC Upgrade - Central Heat Pump Upgrade to Variable Capacity Central Heat Pump + HZ23CZ23</v>
      </c>
      <c r="B19" t="str">
        <f>Segmented!D158</f>
        <v>Heating Savings</v>
      </c>
      <c r="C19">
        <f>Segmented!E158</f>
        <v>623.81631472703566</v>
      </c>
      <c r="D19">
        <f>Segmented!F158</f>
        <v>15</v>
      </c>
      <c r="E19">
        <f>Segmented!G158</f>
        <v>5356.8461304836164</v>
      </c>
      <c r="F19">
        <f>Segmented!H158</f>
        <v>0</v>
      </c>
      <c r="G19" t="s">
        <v>385</v>
      </c>
      <c r="H19">
        <f>Segmented!J158</f>
        <v>7.4132136923368712</v>
      </c>
      <c r="I19">
        <f>Segmented!K158</f>
        <v>0</v>
      </c>
      <c r="J19">
        <f>Segmented!L158</f>
        <v>0</v>
      </c>
      <c r="K19">
        <f>Segmented!M158</f>
        <v>0</v>
      </c>
      <c r="L19">
        <f>Segmented!N158</f>
        <v>0</v>
      </c>
      <c r="M19">
        <f>Segmented!O158</f>
        <v>0</v>
      </c>
      <c r="N19">
        <f>Segmented!P158</f>
        <v>0</v>
      </c>
      <c r="O19">
        <f>Segmented!Q158</f>
        <v>0</v>
      </c>
      <c r="Q19" t="s">
        <v>486</v>
      </c>
    </row>
    <row r="20" spans="1:38" ht="15">
      <c r="A20" t="str">
        <f>CONCATENATE(Segmented!C159," + ",Segmented!A159)</f>
        <v>Zonal to DHP No Screen + HZ1CZ1</v>
      </c>
      <c r="B20" t="str">
        <f>Segmented!D159</f>
        <v>Heating Savings</v>
      </c>
      <c r="C20">
        <f>Segmented!E159</f>
        <v>2240.0588630952484</v>
      </c>
      <c r="D20">
        <f>Segmented!F159</f>
        <v>15</v>
      </c>
      <c r="E20">
        <f>Segmented!G159</f>
        <v>3914.8924998607772</v>
      </c>
      <c r="F20">
        <f>Segmented!H159</f>
        <v>0</v>
      </c>
      <c r="G20" s="481" t="s">
        <v>917</v>
      </c>
      <c r="H20">
        <f>Segmented!J159</f>
        <v>26.167052040603416</v>
      </c>
      <c r="I20">
        <f>Segmented!K159</f>
        <v>0</v>
      </c>
      <c r="J20">
        <f>Segmented!L159</f>
        <v>0</v>
      </c>
      <c r="K20">
        <f>Segmented!M159</f>
        <v>0</v>
      </c>
      <c r="L20">
        <f>Segmented!N159</f>
        <v>0</v>
      </c>
      <c r="M20">
        <f>Segmented!O159</f>
        <v>0</v>
      </c>
      <c r="N20">
        <f>Segmented!P159</f>
        <v>0</v>
      </c>
      <c r="O20">
        <f>Segmented!Q159</f>
        <v>0</v>
      </c>
      <c r="Q20" t="s">
        <v>486</v>
      </c>
    </row>
    <row r="21" spans="1:38" ht="15">
      <c r="A21" t="str">
        <f>CONCATENATE(Segmented!C160," + ",Segmented!A160)</f>
        <v>Zonal to DHP No Screen + HZ1CZ23</v>
      </c>
      <c r="B21" t="str">
        <f>Segmented!D160</f>
        <v>Heating Savings</v>
      </c>
      <c r="C21">
        <f>Segmented!E160</f>
        <v>2240.0588630952479</v>
      </c>
      <c r="D21">
        <f>Segmented!F160</f>
        <v>15</v>
      </c>
      <c r="E21">
        <f>Segmented!G160</f>
        <v>3612.3135270070575</v>
      </c>
      <c r="F21">
        <f>Segmented!H160</f>
        <v>0</v>
      </c>
      <c r="G21" s="481" t="s">
        <v>917</v>
      </c>
      <c r="H21">
        <f>Segmented!J160</f>
        <v>26.167052040603416</v>
      </c>
      <c r="I21">
        <f>Segmented!K160</f>
        <v>0</v>
      </c>
      <c r="J21">
        <f>Segmented!L160</f>
        <v>0</v>
      </c>
      <c r="K21">
        <f>Segmented!M160</f>
        <v>0</v>
      </c>
      <c r="L21">
        <f>Segmented!N160</f>
        <v>0</v>
      </c>
      <c r="M21">
        <f>Segmented!O160</f>
        <v>0</v>
      </c>
      <c r="N21">
        <f>Segmented!P160</f>
        <v>0</v>
      </c>
      <c r="O21">
        <f>Segmented!Q160</f>
        <v>0</v>
      </c>
      <c r="Q21" t="s">
        <v>486</v>
      </c>
    </row>
    <row r="22" spans="1:38" ht="15">
      <c r="A22" t="str">
        <f>CONCATENATE(Segmented!C161," + ",Segmented!A161)</f>
        <v>Zonal to DHP No Screen + HZ23CZ1</v>
      </c>
      <c r="B22" t="str">
        <f>Segmented!D161</f>
        <v>Heating Savings</v>
      </c>
      <c r="C22">
        <f>Segmented!E161</f>
        <v>1976.963340841548</v>
      </c>
      <c r="D22">
        <f>Segmented!F161</f>
        <v>15</v>
      </c>
      <c r="E22">
        <f>Segmented!G161</f>
        <v>3618.3551360186466</v>
      </c>
      <c r="F22">
        <f>Segmented!H161</f>
        <v>0</v>
      </c>
      <c r="G22" s="481" t="s">
        <v>917</v>
      </c>
      <c r="H22">
        <f>Segmented!J161</f>
        <v>39.970296481082457</v>
      </c>
      <c r="I22">
        <f>Segmented!K161</f>
        <v>0</v>
      </c>
      <c r="J22">
        <f>Segmented!L161</f>
        <v>0</v>
      </c>
      <c r="K22">
        <f>Segmented!M161</f>
        <v>0</v>
      </c>
      <c r="L22">
        <f>Segmented!N161</f>
        <v>0</v>
      </c>
      <c r="M22">
        <f>Segmented!O161</f>
        <v>0</v>
      </c>
      <c r="N22">
        <f>Segmented!P161</f>
        <v>0</v>
      </c>
      <c r="O22">
        <f>Segmented!Q161</f>
        <v>0</v>
      </c>
      <c r="Q22" t="s">
        <v>486</v>
      </c>
    </row>
    <row r="23" spans="1:38" ht="15">
      <c r="A23" t="str">
        <f>CONCATENATE(Segmented!C162," + ",Segmented!A162)</f>
        <v>Zonal to DHP No Screen + HZ23CZ23</v>
      </c>
      <c r="B23" t="str">
        <f>Segmented!D162</f>
        <v>Heating Savings</v>
      </c>
      <c r="C23">
        <f>Segmented!E162</f>
        <v>2295.8353510102552</v>
      </c>
      <c r="D23">
        <f>Segmented!F162</f>
        <v>15</v>
      </c>
      <c r="E23">
        <f>Segmented!G162</f>
        <v>3479.0632416243566</v>
      </c>
      <c r="F23">
        <f>Segmented!H162</f>
        <v>0</v>
      </c>
      <c r="G23" s="481" t="s">
        <v>917</v>
      </c>
      <c r="H23">
        <f>Segmented!J162</f>
        <v>23.114326469845214</v>
      </c>
      <c r="I23">
        <f>Segmented!K162</f>
        <v>0</v>
      </c>
      <c r="J23">
        <f>Segmented!L162</f>
        <v>0</v>
      </c>
      <c r="K23">
        <f>Segmented!M162</f>
        <v>0</v>
      </c>
      <c r="L23">
        <f>Segmented!N162</f>
        <v>0</v>
      </c>
      <c r="M23">
        <f>Segmented!O162</f>
        <v>0</v>
      </c>
      <c r="N23">
        <f>Segmented!P162</f>
        <v>0</v>
      </c>
      <c r="O23">
        <f>Segmented!Q162</f>
        <v>0</v>
      </c>
      <c r="Q23" t="s">
        <v>486</v>
      </c>
    </row>
    <row r="24" spans="1:38">
      <c r="A24" t="str">
        <f>CONCATENATE(Segmented!C163," + ",Segmented!A163)</f>
        <v>Existing Single Family Home HVAC Conversion - Convert FAF w/CAC to Heat Pump - House with "Good Insulation" + HZ1</v>
      </c>
      <c r="B24" t="str">
        <f>Segmented!D163</f>
        <v>Cooling Savings</v>
      </c>
      <c r="C24">
        <v>9.9999999999999995E-7</v>
      </c>
      <c r="D24">
        <f>Segmented!F163</f>
        <v>15</v>
      </c>
      <c r="E24">
        <f>Segmented!G163</f>
        <v>0</v>
      </c>
      <c r="F24">
        <f>Segmented!H163</f>
        <v>0</v>
      </c>
      <c r="G24" t="s">
        <v>384</v>
      </c>
      <c r="H24">
        <f>Segmented!J163</f>
        <v>0</v>
      </c>
      <c r="I24">
        <f>Segmented!K163</f>
        <v>0</v>
      </c>
      <c r="J24">
        <f>Segmented!L163</f>
        <v>0</v>
      </c>
      <c r="K24">
        <f>Segmented!M163</f>
        <v>0</v>
      </c>
      <c r="L24">
        <f>Segmented!N163</f>
        <v>0</v>
      </c>
      <c r="M24">
        <f>Segmented!O163</f>
        <v>0</v>
      </c>
      <c r="N24">
        <f>Segmented!P163</f>
        <v>0</v>
      </c>
      <c r="O24">
        <f>Segmented!Q163</f>
        <v>0</v>
      </c>
      <c r="Q24" t="s">
        <v>486</v>
      </c>
    </row>
    <row r="25" spans="1:38">
      <c r="A25" t="str">
        <f>CONCATENATE(Segmented!C164," + ",Segmented!A164)</f>
        <v>Existing Single Family Home HVAC Conversion - Convert FAF w/CAC to Heat Pump - House with "Good Insulation" + HZ23</v>
      </c>
      <c r="B25" t="str">
        <f>Segmented!D164</f>
        <v>Cooling Savings</v>
      </c>
      <c r="C25">
        <v>9.9999999999999995E-7</v>
      </c>
      <c r="D25">
        <f>Segmented!F164</f>
        <v>15</v>
      </c>
      <c r="E25">
        <f>Segmented!G164</f>
        <v>0</v>
      </c>
      <c r="F25">
        <f>Segmented!H164</f>
        <v>0</v>
      </c>
      <c r="G25" t="s">
        <v>384</v>
      </c>
      <c r="H25">
        <f>Segmented!J164</f>
        <v>0</v>
      </c>
      <c r="I25">
        <f>Segmented!K164</f>
        <v>0</v>
      </c>
      <c r="J25">
        <f>Segmented!L164</f>
        <v>0</v>
      </c>
      <c r="K25">
        <f>Segmented!M164</f>
        <v>0</v>
      </c>
      <c r="L25">
        <f>Segmented!N164</f>
        <v>0</v>
      </c>
      <c r="M25">
        <f>Segmented!O164</f>
        <v>0</v>
      </c>
      <c r="N25">
        <f>Segmented!P164</f>
        <v>0</v>
      </c>
      <c r="O25">
        <f>Segmented!Q164</f>
        <v>0</v>
      </c>
      <c r="Q25" t="s">
        <v>486</v>
      </c>
    </row>
    <row r="26" spans="1:38">
      <c r="A26" t="str">
        <f>CONCATENATE(Segmented!C165," + ",Segmented!A165)</f>
        <v>Existing Single Family Home HVAC Conversion - Convert FAF w/o CAC to Heat Pump - House with "Good Insulation" + HZ1CZ1</v>
      </c>
      <c r="B26" t="str">
        <f>Segmented!D165</f>
        <v>Cooling Savings</v>
      </c>
      <c r="C26">
        <f>Segmented!E165</f>
        <v>-137.82461431953399</v>
      </c>
      <c r="D26">
        <f>Segmented!F165</f>
        <v>15</v>
      </c>
      <c r="E26">
        <f>Segmented!G165</f>
        <v>0</v>
      </c>
      <c r="F26">
        <f>Segmented!H165</f>
        <v>0</v>
      </c>
      <c r="G26" t="s">
        <v>384</v>
      </c>
      <c r="H26">
        <f>Segmented!J165</f>
        <v>11.217675837393347</v>
      </c>
      <c r="I26">
        <f>Segmented!K165</f>
        <v>0</v>
      </c>
      <c r="J26">
        <f>Segmented!L165</f>
        <v>0</v>
      </c>
      <c r="K26">
        <f>Segmented!M165</f>
        <v>0</v>
      </c>
      <c r="L26">
        <f>Segmented!N165</f>
        <v>0</v>
      </c>
      <c r="M26">
        <f>Segmented!O165</f>
        <v>0</v>
      </c>
      <c r="N26">
        <f>Segmented!P165</f>
        <v>0</v>
      </c>
      <c r="O26">
        <f>Segmented!Q165</f>
        <v>0</v>
      </c>
      <c r="Q26" t="s">
        <v>486</v>
      </c>
    </row>
    <row r="27" spans="1:38">
      <c r="A27" t="str">
        <f>CONCATENATE(Segmented!C166," + ",Segmented!A166)</f>
        <v>Existing Single Family Home HVAC Conversion - Convert FAF w/o CAC to Heat Pump - House with "Good Insulation" + HZ1CZ23</v>
      </c>
      <c r="B27" t="str">
        <f>Segmented!D166</f>
        <v>Cooling Savings</v>
      </c>
      <c r="C27">
        <f>Segmented!E166</f>
        <v>-63.271546719710798</v>
      </c>
      <c r="D27">
        <f>Segmented!F166</f>
        <v>15</v>
      </c>
      <c r="E27">
        <f>Segmented!G166</f>
        <v>0</v>
      </c>
      <c r="F27">
        <f>Segmented!H166</f>
        <v>0</v>
      </c>
      <c r="G27" t="s">
        <v>384</v>
      </c>
      <c r="H27">
        <f>Segmented!J166</f>
        <v>5.1497310863986172</v>
      </c>
      <c r="I27">
        <f>Segmented!K166</f>
        <v>0</v>
      </c>
      <c r="J27">
        <f>Segmented!L166</f>
        <v>0</v>
      </c>
      <c r="K27">
        <f>Segmented!M166</f>
        <v>0</v>
      </c>
      <c r="L27">
        <f>Segmented!N166</f>
        <v>0</v>
      </c>
      <c r="M27">
        <f>Segmented!O166</f>
        <v>0</v>
      </c>
      <c r="N27">
        <f>Segmented!P166</f>
        <v>0</v>
      </c>
      <c r="O27">
        <f>Segmented!Q166</f>
        <v>0</v>
      </c>
      <c r="Q27" t="s">
        <v>486</v>
      </c>
    </row>
    <row r="28" spans="1:38">
      <c r="A28" t="str">
        <f>CONCATENATE(Segmented!C167," + ",Segmented!A167)</f>
        <v>Existing Single Family Home HVAC Conversion - Convert FAF w/o CAC to Heat Pump - House with "Good Insulation" + HZ23CZ1</v>
      </c>
      <c r="B28" t="str">
        <f>Segmented!D167</f>
        <v>Cooling Savings</v>
      </c>
      <c r="C28">
        <f>Segmented!E167</f>
        <v>-137.82461431953396</v>
      </c>
      <c r="D28">
        <f>Segmented!F167</f>
        <v>15</v>
      </c>
      <c r="E28">
        <f>Segmented!G167</f>
        <v>0</v>
      </c>
      <c r="F28">
        <f>Segmented!H167</f>
        <v>0</v>
      </c>
      <c r="G28" t="s">
        <v>384</v>
      </c>
      <c r="H28">
        <f>Segmented!J167</f>
        <v>11.217675837393347</v>
      </c>
      <c r="I28">
        <f>Segmented!K167</f>
        <v>0</v>
      </c>
      <c r="J28">
        <f>Segmented!L167</f>
        <v>0</v>
      </c>
      <c r="K28">
        <f>Segmented!M167</f>
        <v>0</v>
      </c>
      <c r="L28">
        <f>Segmented!N167</f>
        <v>0</v>
      </c>
      <c r="M28">
        <f>Segmented!O167</f>
        <v>0</v>
      </c>
      <c r="N28">
        <f>Segmented!P167</f>
        <v>0</v>
      </c>
      <c r="O28">
        <f>Segmented!Q167</f>
        <v>0</v>
      </c>
      <c r="Q28" t="s">
        <v>486</v>
      </c>
      <c r="R28" s="35"/>
      <c r="S28" s="35"/>
      <c r="T28" s="35"/>
      <c r="U28" s="35"/>
      <c r="V28" s="35"/>
      <c r="W28" s="35"/>
      <c r="X28" s="35"/>
      <c r="Y28" s="35"/>
      <c r="Z28" s="35"/>
      <c r="AA28" s="35"/>
      <c r="AB28" s="35"/>
      <c r="AC28" s="35"/>
      <c r="AD28" s="35"/>
      <c r="AE28" s="35"/>
      <c r="AF28" s="35"/>
      <c r="AG28" s="35"/>
      <c r="AH28" s="35"/>
      <c r="AI28" s="35"/>
      <c r="AJ28" s="35"/>
      <c r="AK28" s="35"/>
      <c r="AL28" s="35"/>
    </row>
    <row r="29" spans="1:38">
      <c r="A29" t="str">
        <f>CONCATENATE(Segmented!C168," + ",Segmented!A168)</f>
        <v>Existing Single Family Home HVAC Conversion - Convert FAF w/o CAC to Heat Pump - House with "Good Insulation" + HZ23CZ23</v>
      </c>
      <c r="B29" t="str">
        <f>Segmented!D168</f>
        <v>Cooling Savings</v>
      </c>
      <c r="C29">
        <f>Segmented!E168</f>
        <v>-107.11896830061704</v>
      </c>
      <c r="D29">
        <f>Segmented!F168</f>
        <v>15</v>
      </c>
      <c r="E29">
        <f>Segmented!G168</f>
        <v>0</v>
      </c>
      <c r="F29">
        <f>Segmented!H168</f>
        <v>0</v>
      </c>
      <c r="G29" t="s">
        <v>384</v>
      </c>
      <c r="H29">
        <f>Segmented!J168</f>
        <v>8.7185142390202817</v>
      </c>
      <c r="I29">
        <f>Segmented!K168</f>
        <v>0</v>
      </c>
      <c r="J29">
        <f>Segmented!L168</f>
        <v>0</v>
      </c>
      <c r="K29">
        <f>Segmented!M168</f>
        <v>0</v>
      </c>
      <c r="L29">
        <f>Segmented!N168</f>
        <v>0</v>
      </c>
      <c r="M29">
        <f>Segmented!O168</f>
        <v>0</v>
      </c>
      <c r="N29">
        <f>Segmented!P168</f>
        <v>0</v>
      </c>
      <c r="O29">
        <f>Segmented!Q168</f>
        <v>0</v>
      </c>
      <c r="Q29" t="s">
        <v>486</v>
      </c>
      <c r="R29" s="35"/>
      <c r="S29" s="35"/>
      <c r="T29" s="35"/>
      <c r="U29" s="35"/>
      <c r="V29" s="35"/>
      <c r="W29" s="35"/>
      <c r="X29" s="35"/>
      <c r="Y29" s="35"/>
      <c r="Z29" s="35"/>
      <c r="AA29" s="35"/>
      <c r="AB29" s="35"/>
      <c r="AC29" s="35"/>
      <c r="AD29" s="35"/>
      <c r="AE29" s="35"/>
      <c r="AF29" s="35"/>
      <c r="AG29" s="35"/>
      <c r="AH29" s="35"/>
      <c r="AI29" s="35"/>
      <c r="AJ29" s="35"/>
      <c r="AK29" s="35"/>
      <c r="AL29" s="35"/>
    </row>
    <row r="30" spans="1:38">
      <c r="A30" t="str">
        <f>CONCATENATE(Segmented!C169," + ",Segmented!A169)</f>
        <v>Existing Single Family Home HVAC Upgrade + HZ1</v>
      </c>
      <c r="B30" t="str">
        <f>Segmented!D169</f>
        <v>Cooling Savings</v>
      </c>
      <c r="C30">
        <v>9.9999999999999995E-7</v>
      </c>
      <c r="D30">
        <f>Segmented!F169</f>
        <v>15</v>
      </c>
      <c r="E30">
        <f>Segmented!G169</f>
        <v>0</v>
      </c>
      <c r="F30">
        <f>Segmented!H169</f>
        <v>0</v>
      </c>
      <c r="G30" t="s">
        <v>384</v>
      </c>
      <c r="H30">
        <f>Segmented!J169</f>
        <v>0</v>
      </c>
      <c r="I30">
        <f>Segmented!K169</f>
        <v>0</v>
      </c>
      <c r="J30">
        <f>Segmented!L169</f>
        <v>0</v>
      </c>
      <c r="K30">
        <f>Segmented!M169</f>
        <v>0</v>
      </c>
      <c r="L30">
        <f>Segmented!N169</f>
        <v>0</v>
      </c>
      <c r="M30">
        <f>Segmented!O169</f>
        <v>0</v>
      </c>
      <c r="N30">
        <f>Segmented!P169</f>
        <v>0</v>
      </c>
      <c r="O30">
        <f>Segmented!Q169</f>
        <v>0</v>
      </c>
      <c r="Q30" t="s">
        <v>486</v>
      </c>
      <c r="R30" s="35"/>
      <c r="S30" s="35"/>
      <c r="T30" s="35"/>
      <c r="U30" s="35"/>
      <c r="V30" s="35"/>
      <c r="W30" s="35"/>
      <c r="X30" s="35"/>
      <c r="Y30" s="35"/>
      <c r="Z30" s="35"/>
      <c r="AA30" s="35"/>
      <c r="AB30" s="35"/>
      <c r="AC30" s="35"/>
      <c r="AD30" s="35"/>
      <c r="AE30" s="35"/>
      <c r="AF30" s="35"/>
      <c r="AG30" s="35"/>
      <c r="AH30" s="35"/>
      <c r="AI30" s="35"/>
      <c r="AJ30" s="35"/>
      <c r="AK30" s="35"/>
      <c r="AL30" s="35"/>
    </row>
    <row r="31" spans="1:38">
      <c r="A31" t="str">
        <f>CONCATENATE(Segmented!C170," + ",Segmented!A170)</f>
        <v>Existing Single Family Home HVAC Upgrade + HZ23</v>
      </c>
      <c r="B31" t="str">
        <f>Segmented!D170</f>
        <v>Cooling Savings</v>
      </c>
      <c r="C31">
        <v>9.9999999999999995E-7</v>
      </c>
      <c r="D31">
        <f>Segmented!F170</f>
        <v>15</v>
      </c>
      <c r="E31">
        <f>Segmented!G170</f>
        <v>0</v>
      </c>
      <c r="F31">
        <f>Segmented!H170</f>
        <v>0</v>
      </c>
      <c r="G31" t="s">
        <v>384</v>
      </c>
      <c r="H31">
        <f>Segmented!J170</f>
        <v>0</v>
      </c>
      <c r="I31">
        <f>Segmented!K170</f>
        <v>0</v>
      </c>
      <c r="J31">
        <f>Segmented!L170</f>
        <v>0</v>
      </c>
      <c r="K31">
        <f>Segmented!M170</f>
        <v>0</v>
      </c>
      <c r="L31">
        <f>Segmented!N170</f>
        <v>0</v>
      </c>
      <c r="M31">
        <f>Segmented!O170</f>
        <v>0</v>
      </c>
      <c r="N31">
        <f>Segmented!P170</f>
        <v>0</v>
      </c>
      <c r="O31">
        <f>Segmented!Q170</f>
        <v>0</v>
      </c>
      <c r="Q31" t="s">
        <v>486</v>
      </c>
      <c r="R31" s="35"/>
      <c r="S31" s="35"/>
      <c r="T31" s="35"/>
      <c r="U31" s="35"/>
      <c r="V31" s="35"/>
      <c r="W31" s="35"/>
      <c r="X31" s="35"/>
      <c r="Y31" s="35"/>
      <c r="Z31" s="35"/>
      <c r="AA31" s="35"/>
      <c r="AB31" s="35"/>
      <c r="AC31" s="35"/>
      <c r="AD31" s="35"/>
      <c r="AE31" s="35"/>
      <c r="AF31" s="35"/>
      <c r="AG31" s="35"/>
      <c r="AH31" s="35"/>
      <c r="AI31" s="35"/>
      <c r="AJ31" s="35"/>
      <c r="AK31" s="35"/>
      <c r="AL31" s="35"/>
    </row>
    <row r="32" spans="1:38">
      <c r="A32" t="str">
        <f>CONCATENATE(Segmented!C171," + ",Segmented!A171)</f>
        <v>Existing Single Family Home HVAC Upgrade - Central Heat Pump Upgrade to Variable Capacity Central Heat Pump + HZ1CZ1</v>
      </c>
      <c r="B32" t="str">
        <f>Segmented!D171</f>
        <v>Cooling Savings</v>
      </c>
      <c r="C32">
        <f>Segmented!E171</f>
        <v>63.646904412715216</v>
      </c>
      <c r="D32">
        <f>Segmented!F171</f>
        <v>15</v>
      </c>
      <c r="E32">
        <f>Segmented!G171</f>
        <v>0</v>
      </c>
      <c r="F32">
        <f>Segmented!H171</f>
        <v>0</v>
      </c>
      <c r="G32" t="s">
        <v>384</v>
      </c>
      <c r="H32">
        <f>Segmented!J171</f>
        <v>0</v>
      </c>
      <c r="I32">
        <f>Segmented!K171</f>
        <v>0</v>
      </c>
      <c r="J32">
        <f>Segmented!L171</f>
        <v>0</v>
      </c>
      <c r="K32">
        <f>Segmented!M171</f>
        <v>0</v>
      </c>
      <c r="L32">
        <f>Segmented!N171</f>
        <v>0</v>
      </c>
      <c r="M32">
        <f>Segmented!O171</f>
        <v>0</v>
      </c>
      <c r="N32">
        <f>Segmented!P171</f>
        <v>0</v>
      </c>
      <c r="O32">
        <f>Segmented!Q171</f>
        <v>0</v>
      </c>
      <c r="Q32" t="s">
        <v>486</v>
      </c>
    </row>
    <row r="33" spans="1:131">
      <c r="A33" t="str">
        <f>CONCATENATE(Segmented!C172," + ",Segmented!A172)</f>
        <v>Existing Single Family Home HVAC Upgrade - Central Heat Pump Upgrade to Variable Capacity Central Heat Pump + HZ1CZ23</v>
      </c>
      <c r="B33" t="str">
        <f>Segmented!D172</f>
        <v>Cooling Savings</v>
      </c>
      <c r="C33">
        <f>Segmented!E172</f>
        <v>192.36292571840198</v>
      </c>
      <c r="D33">
        <f>Segmented!F172</f>
        <v>15</v>
      </c>
      <c r="E33">
        <f>Segmented!G172</f>
        <v>0</v>
      </c>
      <c r="F33">
        <f>Segmented!H172</f>
        <v>0</v>
      </c>
      <c r="G33" t="s">
        <v>384</v>
      </c>
      <c r="H33">
        <f>Segmented!J172</f>
        <v>0</v>
      </c>
      <c r="I33">
        <f>Segmented!K172</f>
        <v>0</v>
      </c>
      <c r="J33">
        <f>Segmented!L172</f>
        <v>0</v>
      </c>
      <c r="K33">
        <f>Segmented!M172</f>
        <v>0</v>
      </c>
      <c r="L33">
        <f>Segmented!N172</f>
        <v>0</v>
      </c>
      <c r="M33">
        <f>Segmented!O172</f>
        <v>0</v>
      </c>
      <c r="N33">
        <f>Segmented!P172</f>
        <v>0</v>
      </c>
      <c r="O33">
        <f>Segmented!Q172</f>
        <v>0</v>
      </c>
      <c r="Q33" t="s">
        <v>486</v>
      </c>
    </row>
    <row r="34" spans="1:131">
      <c r="A34" t="str">
        <f>CONCATENATE(Segmented!C173," + ",Segmented!A173)</f>
        <v>Existing Single Family Home HVAC Upgrade - Central Heat Pump Upgrade to Variable Capacity Central Heat Pump + HZ23CZ1</v>
      </c>
      <c r="B34" t="str">
        <f>Segmented!D173</f>
        <v>Cooling Savings</v>
      </c>
      <c r="C34">
        <f>Segmented!E173</f>
        <v>63.646904412715216</v>
      </c>
      <c r="D34">
        <f>Segmented!F173</f>
        <v>15</v>
      </c>
      <c r="E34">
        <f>Segmented!G173</f>
        <v>0</v>
      </c>
      <c r="F34">
        <f>Segmented!H173</f>
        <v>0</v>
      </c>
      <c r="G34" t="s">
        <v>384</v>
      </c>
      <c r="H34">
        <f>Segmented!J173</f>
        <v>0</v>
      </c>
      <c r="I34">
        <f>Segmented!K173</f>
        <v>0</v>
      </c>
      <c r="J34">
        <f>Segmented!L173</f>
        <v>0</v>
      </c>
      <c r="K34">
        <f>Segmented!M173</f>
        <v>0</v>
      </c>
      <c r="L34">
        <f>Segmented!N173</f>
        <v>0</v>
      </c>
      <c r="M34">
        <f>Segmented!O173</f>
        <v>0</v>
      </c>
      <c r="N34">
        <f>Segmented!P173</f>
        <v>0</v>
      </c>
      <c r="O34">
        <f>Segmented!Q173</f>
        <v>0</v>
      </c>
      <c r="Q34" t="s">
        <v>486</v>
      </c>
    </row>
    <row r="35" spans="1:131">
      <c r="A35" t="str">
        <f>CONCATENATE(Segmented!C174," + ",Segmented!A174)</f>
        <v>Existing Single Family Home HVAC Upgrade - Central Heat Pump Upgrade to Variable Capacity Central Heat Pump + HZ23CZ23</v>
      </c>
      <c r="B35" t="str">
        <f>Segmented!D174</f>
        <v>Cooling Savings</v>
      </c>
      <c r="C35">
        <f>Segmented!E174</f>
        <v>153.60902856595595</v>
      </c>
      <c r="D35">
        <f>Segmented!F174</f>
        <v>15</v>
      </c>
      <c r="E35">
        <f>Segmented!G174</f>
        <v>0</v>
      </c>
      <c r="F35">
        <f>Segmented!H174</f>
        <v>0</v>
      </c>
      <c r="G35" t="s">
        <v>384</v>
      </c>
      <c r="H35">
        <f>Segmented!J174</f>
        <v>0</v>
      </c>
      <c r="I35">
        <f>Segmented!K174</f>
        <v>0</v>
      </c>
      <c r="J35">
        <f>Segmented!L174</f>
        <v>0</v>
      </c>
      <c r="K35">
        <f>Segmented!M174</f>
        <v>0</v>
      </c>
      <c r="L35">
        <f>Segmented!N174</f>
        <v>0</v>
      </c>
      <c r="M35">
        <f>Segmented!O174</f>
        <v>0</v>
      </c>
      <c r="N35">
        <f>Segmented!P174</f>
        <v>0</v>
      </c>
      <c r="O35">
        <f>Segmented!Q174</f>
        <v>0</v>
      </c>
      <c r="Q35" t="s">
        <v>486</v>
      </c>
    </row>
    <row r="36" spans="1:131">
      <c r="A36" t="str">
        <f>CONCATENATE(Segmented!C175," + ",Segmented!A175)</f>
        <v>Zonal to DHP No Screen + HZ1CZ1</v>
      </c>
      <c r="B36" t="str">
        <f>Segmented!D175</f>
        <v>Cooling Savings</v>
      </c>
      <c r="C36">
        <f>Segmented!E175</f>
        <v>-32.124417637256897</v>
      </c>
      <c r="D36">
        <f>Segmented!F175</f>
        <v>15</v>
      </c>
      <c r="E36">
        <f>Segmented!G175</f>
        <v>0</v>
      </c>
      <c r="F36">
        <f>Segmented!H175</f>
        <v>0</v>
      </c>
      <c r="G36" t="s">
        <v>916</v>
      </c>
      <c r="H36">
        <f>Segmented!J175</f>
        <v>4.2672027323999426</v>
      </c>
      <c r="I36">
        <f>Segmented!K175</f>
        <v>0</v>
      </c>
      <c r="J36">
        <f>Segmented!L175</f>
        <v>0</v>
      </c>
      <c r="K36">
        <f>Segmented!M175</f>
        <v>0</v>
      </c>
      <c r="L36">
        <f>Segmented!N175</f>
        <v>0</v>
      </c>
      <c r="M36">
        <f>Segmented!O175</f>
        <v>0</v>
      </c>
      <c r="N36">
        <f>Segmented!P175</f>
        <v>0</v>
      </c>
      <c r="O36">
        <f>Segmented!Q175</f>
        <v>0</v>
      </c>
      <c r="Q36" t="s">
        <v>486</v>
      </c>
    </row>
    <row r="37" spans="1:131">
      <c r="A37" t="str">
        <f>CONCATENATE(Segmented!C176," + ",Segmented!A176)</f>
        <v>Zonal to DHP No Screen + HZ1CZ23</v>
      </c>
      <c r="B37" t="str">
        <f>Segmented!D176</f>
        <v>Cooling Savings</v>
      </c>
      <c r="C37">
        <f>Segmented!E176</f>
        <v>285.15888429262986</v>
      </c>
      <c r="D37">
        <f>Segmented!F176</f>
        <v>15</v>
      </c>
      <c r="E37">
        <f>Segmented!G176</f>
        <v>0</v>
      </c>
      <c r="F37">
        <f>Segmented!H176</f>
        <v>0</v>
      </c>
      <c r="G37" t="s">
        <v>916</v>
      </c>
      <c r="H37">
        <f>Segmented!J176</f>
        <v>2.5016228192855006</v>
      </c>
      <c r="I37">
        <f>Segmented!K176</f>
        <v>0</v>
      </c>
      <c r="J37">
        <f>Segmented!L176</f>
        <v>0</v>
      </c>
      <c r="K37">
        <f>Segmented!M176</f>
        <v>0</v>
      </c>
      <c r="L37">
        <f>Segmented!N176</f>
        <v>0</v>
      </c>
      <c r="M37">
        <f>Segmented!O176</f>
        <v>0</v>
      </c>
      <c r="N37">
        <f>Segmented!P176</f>
        <v>0</v>
      </c>
      <c r="O37">
        <f>Segmented!Q176</f>
        <v>0</v>
      </c>
      <c r="Q37" t="s">
        <v>486</v>
      </c>
    </row>
    <row r="38" spans="1:131">
      <c r="A38" t="str">
        <f>CONCATENATE(Segmented!C177," + ",Segmented!A177)</f>
        <v>Zonal to DHP No Screen + HZ23CZ1</v>
      </c>
      <c r="B38" t="str">
        <f>Segmented!D177</f>
        <v>Cooling Savings</v>
      </c>
      <c r="C38">
        <f>Segmented!E177</f>
        <v>-32.124417637256897</v>
      </c>
      <c r="D38">
        <f>Segmented!F177</f>
        <v>15</v>
      </c>
      <c r="E38">
        <f>Segmented!G177</f>
        <v>0</v>
      </c>
      <c r="F38">
        <f>Segmented!H177</f>
        <v>0</v>
      </c>
      <c r="G38" t="s">
        <v>916</v>
      </c>
      <c r="H38">
        <f>Segmented!J177</f>
        <v>4.2672027323999426</v>
      </c>
      <c r="I38">
        <f>Segmented!K177</f>
        <v>0</v>
      </c>
      <c r="J38">
        <f>Segmented!L177</f>
        <v>0</v>
      </c>
      <c r="K38">
        <f>Segmented!M177</f>
        <v>0</v>
      </c>
      <c r="L38">
        <f>Segmented!N177</f>
        <v>0</v>
      </c>
      <c r="M38">
        <f>Segmented!O177</f>
        <v>0</v>
      </c>
      <c r="N38">
        <f>Segmented!P177</f>
        <v>0</v>
      </c>
      <c r="O38">
        <f>Segmented!Q177</f>
        <v>0</v>
      </c>
      <c r="Q38" t="s">
        <v>486</v>
      </c>
    </row>
    <row r="39" spans="1:131">
      <c r="A39" t="str">
        <f>CONCATENATE(Segmented!C178," + ",Segmented!A178)</f>
        <v>Zonal to DHP No Screen + HZ23CZ23</v>
      </c>
      <c r="B39" t="str">
        <f>Segmented!D178</f>
        <v>Cooling Savings</v>
      </c>
      <c r="C39">
        <f>Segmented!E178</f>
        <v>161.35182423512475</v>
      </c>
      <c r="D39">
        <f>Segmented!F178</f>
        <v>15</v>
      </c>
      <c r="E39">
        <f>Segmented!G178</f>
        <v>0</v>
      </c>
      <c r="F39">
        <f>Segmented!H178</f>
        <v>0</v>
      </c>
      <c r="G39" t="s">
        <v>916</v>
      </c>
      <c r="H39">
        <f>Segmented!J178</f>
        <v>4.9434065019759288</v>
      </c>
      <c r="I39">
        <f>Segmented!K178</f>
        <v>0</v>
      </c>
      <c r="J39">
        <f>Segmented!L178</f>
        <v>0</v>
      </c>
      <c r="K39">
        <f>Segmented!M178</f>
        <v>0</v>
      </c>
      <c r="L39">
        <f>Segmented!N178</f>
        <v>0</v>
      </c>
      <c r="M39">
        <f>Segmented!O178</f>
        <v>0</v>
      </c>
      <c r="N39">
        <f>Segmented!P178</f>
        <v>0</v>
      </c>
      <c r="O39">
        <f>Segmented!Q178</f>
        <v>0</v>
      </c>
      <c r="Q39" t="s">
        <v>486</v>
      </c>
    </row>
    <row r="40" spans="1:131">
      <c r="A40" t="str">
        <f>Segmented!C179</f>
        <v>New SF HVAC Upgrade - Heat Pump Upgrade to 9.0 HSPF/14 SEER</v>
      </c>
      <c r="B40" t="str">
        <f>Segmented!D179</f>
        <v>Heating Savings</v>
      </c>
      <c r="C40">
        <f>Segmented!E179</f>
        <v>130.34737827858635</v>
      </c>
      <c r="D40">
        <f>Segmented!F179</f>
        <v>15</v>
      </c>
      <c r="E40">
        <f>Segmented!G179</f>
        <v>80.823411921055211</v>
      </c>
      <c r="F40">
        <f>Segmented!H179</f>
        <v>0</v>
      </c>
      <c r="G40" t="s">
        <v>385</v>
      </c>
      <c r="H40">
        <f>Segmented!J179</f>
        <v>2.0001067608681535</v>
      </c>
      <c r="I40">
        <f>Segmented!K179</f>
        <v>0</v>
      </c>
      <c r="J40">
        <f>Segmented!L179</f>
        <v>0</v>
      </c>
      <c r="K40">
        <f>Segmented!M179</f>
        <v>0</v>
      </c>
      <c r="L40">
        <f>Segmented!N179</f>
        <v>0</v>
      </c>
      <c r="M40">
        <f>Segmented!O179</f>
        <v>0</v>
      </c>
      <c r="N40">
        <f>Segmented!P179</f>
        <v>0</v>
      </c>
      <c r="O40">
        <f>Segmented!Q179</f>
        <v>0</v>
      </c>
      <c r="Q40" t="s">
        <v>486</v>
      </c>
    </row>
    <row r="41" spans="1:131">
      <c r="A41" t="str">
        <f>Segmented!C180</f>
        <v>New SF HVAC Upgrade - Central Heat Pump Upgrade to Variable Capacity Central Heat Pump</v>
      </c>
      <c r="B41" t="str">
        <f>Segmented!D180</f>
        <v>Heating Savings</v>
      </c>
      <c r="C41">
        <f>Segmented!E180</f>
        <v>439.7271685801071</v>
      </c>
      <c r="D41">
        <f>Segmented!F180</f>
        <v>15</v>
      </c>
      <c r="E41">
        <f>Segmented!G180</f>
        <v>5447.8150000000014</v>
      </c>
      <c r="F41">
        <f>Segmented!H180</f>
        <v>0</v>
      </c>
      <c r="G41" t="s">
        <v>385</v>
      </c>
      <c r="H41">
        <f>Segmented!J180</f>
        <v>6.5817199786322611</v>
      </c>
      <c r="I41">
        <f>Segmented!K180</f>
        <v>0</v>
      </c>
      <c r="J41">
        <f>Segmented!L180</f>
        <v>0</v>
      </c>
      <c r="K41">
        <f>Segmented!M180</f>
        <v>0</v>
      </c>
      <c r="L41">
        <f>Segmented!N180</f>
        <v>0</v>
      </c>
      <c r="M41">
        <f>Segmented!O180</f>
        <v>0</v>
      </c>
      <c r="N41">
        <f>Segmented!P180</f>
        <v>0</v>
      </c>
      <c r="O41">
        <f>Segmented!Q180</f>
        <v>0</v>
      </c>
      <c r="Q41" t="s">
        <v>486</v>
      </c>
    </row>
    <row r="42" spans="1:131" ht="15">
      <c r="A42" t="str">
        <f>Segmented!C181</f>
        <v>New SF Zonal to DHP</v>
      </c>
      <c r="B42" t="str">
        <f>Segmented!D181</f>
        <v>Heating Savings</v>
      </c>
      <c r="C42">
        <f>Segmented!E181</f>
        <v>2718.146476067137</v>
      </c>
      <c r="D42">
        <f>Segmented!F181</f>
        <v>15</v>
      </c>
      <c r="E42">
        <f>Segmented!G181</f>
        <v>3764.9764753308682</v>
      </c>
      <c r="F42">
        <f>Segmented!H181</f>
        <v>0</v>
      </c>
      <c r="G42" s="481" t="s">
        <v>917</v>
      </c>
      <c r="H42">
        <f>Segmented!J181</f>
        <v>56.902330570845969</v>
      </c>
      <c r="I42">
        <f>Segmented!K181</f>
        <v>0</v>
      </c>
      <c r="J42">
        <f>Segmented!L181</f>
        <v>0</v>
      </c>
      <c r="K42">
        <f>Segmented!M181</f>
        <v>0</v>
      </c>
      <c r="L42">
        <f>Segmented!N181</f>
        <v>0</v>
      </c>
      <c r="M42">
        <f>Segmented!O181</f>
        <v>0</v>
      </c>
      <c r="N42">
        <f>Segmented!P181</f>
        <v>0</v>
      </c>
      <c r="O42">
        <f>Segmented!Q181</f>
        <v>0</v>
      </c>
      <c r="Q42" t="s">
        <v>486</v>
      </c>
    </row>
    <row r="43" spans="1:131">
      <c r="A43" t="str">
        <f>Segmented!C182</f>
        <v>New SF HVAC Upgrade - Heat Pump Upgrade to 9.0 HSPF/14 SEER</v>
      </c>
      <c r="B43" t="str">
        <f>Segmented!D182</f>
        <v>Cooling Savings</v>
      </c>
      <c r="C43">
        <f>Segmented!E182</f>
        <v>26.709265500390853</v>
      </c>
      <c r="D43">
        <f>Segmented!F182</f>
        <v>15</v>
      </c>
      <c r="E43">
        <f>Segmented!G182</f>
        <v>0</v>
      </c>
      <c r="F43">
        <f>Segmented!H182</f>
        <v>0</v>
      </c>
      <c r="G43" t="s">
        <v>384</v>
      </c>
      <c r="H43">
        <f>Segmented!J182</f>
        <v>0</v>
      </c>
      <c r="I43">
        <f>Segmented!K182</f>
        <v>0</v>
      </c>
      <c r="J43">
        <f>Segmented!L182</f>
        <v>0</v>
      </c>
      <c r="K43">
        <f>Segmented!M182</f>
        <v>0</v>
      </c>
      <c r="L43">
        <f>Segmented!N182</f>
        <v>0</v>
      </c>
      <c r="M43">
        <f>Segmented!O182</f>
        <v>0</v>
      </c>
      <c r="N43">
        <f>Segmented!P182</f>
        <v>0</v>
      </c>
      <c r="O43">
        <f>Segmented!Q182</f>
        <v>0</v>
      </c>
      <c r="Q43" t="s">
        <v>486</v>
      </c>
    </row>
    <row r="44" spans="1:131">
      <c r="A44" t="str">
        <f>Segmented!C183</f>
        <v>New SF HVAC Upgrade - Central Heat Pump Upgrade to Variable Capacity Central Heat Pump</v>
      </c>
      <c r="B44" t="str">
        <f>Segmented!D183</f>
        <v>Cooling Savings</v>
      </c>
      <c r="C44">
        <f>Segmented!E183</f>
        <v>121.69574768633242</v>
      </c>
      <c r="D44">
        <f>Segmented!F183</f>
        <v>15</v>
      </c>
      <c r="E44">
        <f>Segmented!G183</f>
        <v>0</v>
      </c>
      <c r="F44">
        <f>Segmented!H183</f>
        <v>0</v>
      </c>
      <c r="G44" t="s">
        <v>384</v>
      </c>
      <c r="H44">
        <f>Segmented!J183</f>
        <v>0</v>
      </c>
      <c r="I44">
        <f>Segmented!K183</f>
        <v>0</v>
      </c>
      <c r="J44">
        <f>Segmented!L183</f>
        <v>0</v>
      </c>
      <c r="K44">
        <f>Segmented!M183</f>
        <v>0</v>
      </c>
      <c r="L44">
        <f>Segmented!N183</f>
        <v>0</v>
      </c>
      <c r="M44">
        <f>Segmented!O183</f>
        <v>0</v>
      </c>
      <c r="N44">
        <f>Segmented!P183</f>
        <v>0</v>
      </c>
      <c r="O44">
        <f>Segmented!Q183</f>
        <v>0</v>
      </c>
      <c r="Q44" t="s">
        <v>486</v>
      </c>
    </row>
    <row r="45" spans="1:131">
      <c r="A45" t="str">
        <f>Segmented!C184</f>
        <v>New SF Zonal to DHP</v>
      </c>
      <c r="B45" t="str">
        <f>Segmented!D184</f>
        <v>Cooling Savings</v>
      </c>
      <c r="C45">
        <f>Segmented!E184</f>
        <v>11.354406504777598</v>
      </c>
      <c r="D45">
        <f>Segmented!F184</f>
        <v>15</v>
      </c>
      <c r="E45">
        <f>Segmented!G184</f>
        <v>0</v>
      </c>
      <c r="F45">
        <f>Segmented!H184</f>
        <v>0</v>
      </c>
      <c r="G45" t="s">
        <v>916</v>
      </c>
      <c r="H45">
        <f>Segmented!J184</f>
        <v>4.277030863838716</v>
      </c>
      <c r="I45">
        <f>Segmented!K184</f>
        <v>0</v>
      </c>
      <c r="J45">
        <f>Segmented!L184</f>
        <v>0</v>
      </c>
      <c r="K45">
        <f>Segmented!M184</f>
        <v>0</v>
      </c>
      <c r="L45">
        <f>Segmented!N184</f>
        <v>0</v>
      </c>
      <c r="M45">
        <f>Segmented!O184</f>
        <v>0</v>
      </c>
      <c r="N45">
        <f>Segmented!P184</f>
        <v>0</v>
      </c>
      <c r="O45">
        <f>Segmented!Q184</f>
        <v>0</v>
      </c>
      <c r="Q45" t="s">
        <v>486</v>
      </c>
    </row>
    <row r="48" spans="1:13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row>
    <row r="49" spans="1:131">
      <c r="A49" s="90" t="s">
        <v>159</v>
      </c>
      <c r="B49" s="91"/>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row>
    <row r="50" spans="1:131">
      <c r="A50" s="7" t="s">
        <v>160</v>
      </c>
      <c r="B50" s="7" t="s">
        <v>161</v>
      </c>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row>
    <row r="51" spans="1:131">
      <c r="A51" s="7" t="s">
        <v>162</v>
      </c>
      <c r="B51" s="7" t="s">
        <v>921</v>
      </c>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row>
    <row r="52" spans="1:13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row>
    <row r="53" spans="1:131" ht="13.5" thickBot="1">
      <c r="A53" s="27" t="s">
        <v>163</v>
      </c>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28"/>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row>
    <row r="54" spans="1:131">
      <c r="A54" s="7"/>
      <c r="B54" s="93" t="s">
        <v>164</v>
      </c>
      <c r="C54" s="94"/>
      <c r="D54" s="94" t="s">
        <v>164</v>
      </c>
      <c r="E54" s="95"/>
      <c r="F54" s="7"/>
      <c r="G54" s="93" t="s">
        <v>165</v>
      </c>
      <c r="H54" s="94"/>
      <c r="I54" s="94"/>
      <c r="J54" s="94"/>
      <c r="K54" s="94"/>
      <c r="L54" s="94"/>
      <c r="M54" s="94"/>
      <c r="N54" s="94"/>
      <c r="O54" s="95"/>
      <c r="P54" s="7"/>
      <c r="Q54" s="93" t="s">
        <v>166</v>
      </c>
      <c r="R54" s="94"/>
      <c r="S54" s="94"/>
      <c r="T54" s="94"/>
      <c r="U54" s="95"/>
      <c r="V54" s="7"/>
      <c r="W54" s="93" t="s">
        <v>167</v>
      </c>
      <c r="X54" s="95"/>
      <c r="Y54" s="7"/>
      <c r="Z54" s="93" t="s">
        <v>168</v>
      </c>
      <c r="AA54" s="94"/>
      <c r="AB54" s="95"/>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row>
    <row r="55" spans="1:131">
      <c r="A55" s="7"/>
      <c r="B55" s="96" t="s">
        <v>169</v>
      </c>
      <c r="C55" s="97" t="s">
        <v>170</v>
      </c>
      <c r="D55" s="97" t="s">
        <v>169</v>
      </c>
      <c r="E55" s="98" t="s">
        <v>170</v>
      </c>
      <c r="F55" s="7"/>
      <c r="G55" s="96" t="s">
        <v>171</v>
      </c>
      <c r="H55" s="97" t="s">
        <v>920</v>
      </c>
      <c r="I55" s="97"/>
      <c r="J55" s="97"/>
      <c r="K55" s="97" t="s">
        <v>172</v>
      </c>
      <c r="L55" s="97"/>
      <c r="M55" s="97"/>
      <c r="N55" s="97"/>
      <c r="O55" s="98"/>
      <c r="P55" s="7"/>
      <c r="Q55" s="96"/>
      <c r="R55" s="97" t="s">
        <v>173</v>
      </c>
      <c r="S55" s="97" t="s">
        <v>174</v>
      </c>
      <c r="T55" s="97" t="s">
        <v>175</v>
      </c>
      <c r="U55" s="98" t="s">
        <v>176</v>
      </c>
      <c r="V55" s="7"/>
      <c r="W55" s="96" t="s">
        <v>177</v>
      </c>
      <c r="X55" s="98">
        <v>20</v>
      </c>
      <c r="Y55" s="7"/>
      <c r="Z55" s="96"/>
      <c r="AA55" s="97" t="s">
        <v>170</v>
      </c>
      <c r="AB55" s="98" t="s">
        <v>178</v>
      </c>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row>
    <row r="56" spans="1:131">
      <c r="A56" s="7"/>
      <c r="B56" s="96" t="s">
        <v>179</v>
      </c>
      <c r="C56" s="97" t="s">
        <v>180</v>
      </c>
      <c r="D56" s="97" t="s">
        <v>179</v>
      </c>
      <c r="E56" s="98" t="s">
        <v>180</v>
      </c>
      <c r="F56" s="7"/>
      <c r="G56" s="96" t="s">
        <v>181</v>
      </c>
      <c r="H56" s="97" t="s">
        <v>182</v>
      </c>
      <c r="I56" s="97"/>
      <c r="J56" s="97"/>
      <c r="K56" s="97" t="s">
        <v>183</v>
      </c>
      <c r="L56" s="97"/>
      <c r="M56" s="97"/>
      <c r="N56" s="97"/>
      <c r="O56" s="98"/>
      <c r="P56" s="7"/>
      <c r="Q56" s="96" t="s">
        <v>184</v>
      </c>
      <c r="R56" s="97">
        <v>4.3096045197740109E-2</v>
      </c>
      <c r="S56" s="97">
        <v>4.387844424080023E-2</v>
      </c>
      <c r="T56" s="97">
        <v>5.3289007766645871E-2</v>
      </c>
      <c r="U56" s="98">
        <v>5.447903102274565E-2</v>
      </c>
      <c r="V56" s="7"/>
      <c r="W56" s="96" t="s">
        <v>185</v>
      </c>
      <c r="X56" s="98">
        <v>2016</v>
      </c>
      <c r="Y56" s="7"/>
      <c r="Z56" s="96" t="s">
        <v>186</v>
      </c>
      <c r="AA56" s="97">
        <v>4.03890184699085E-3</v>
      </c>
      <c r="AB56" s="98">
        <v>0.01</v>
      </c>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row>
    <row r="57" spans="1:131">
      <c r="A57" s="7"/>
      <c r="B57" s="96" t="s">
        <v>187</v>
      </c>
      <c r="C57" s="97" t="s">
        <v>188</v>
      </c>
      <c r="D57" s="97" t="s">
        <v>187</v>
      </c>
      <c r="E57" s="98" t="s">
        <v>188</v>
      </c>
      <c r="F57" s="7"/>
      <c r="G57" s="96" t="s">
        <v>189</v>
      </c>
      <c r="H57" s="97" t="s">
        <v>190</v>
      </c>
      <c r="I57" s="97"/>
      <c r="J57" s="97"/>
      <c r="K57" s="97" t="s">
        <v>191</v>
      </c>
      <c r="L57" s="97"/>
      <c r="M57" s="97"/>
      <c r="N57" s="97"/>
      <c r="O57" s="98"/>
      <c r="P57" s="7"/>
      <c r="Q57" s="96" t="s">
        <v>192</v>
      </c>
      <c r="R57" s="97">
        <v>12</v>
      </c>
      <c r="S57" s="97">
        <v>12</v>
      </c>
      <c r="T57" s="97">
        <v>1</v>
      </c>
      <c r="U57" s="98">
        <v>1</v>
      </c>
      <c r="V57" s="7"/>
      <c r="W57" s="96" t="s">
        <v>193</v>
      </c>
      <c r="X57" s="98">
        <v>2016</v>
      </c>
      <c r="Y57" s="7"/>
      <c r="Z57" s="96" t="s">
        <v>194</v>
      </c>
      <c r="AA57" s="97">
        <v>26</v>
      </c>
      <c r="AB57" s="98">
        <v>0</v>
      </c>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row>
    <row r="58" spans="1:131" ht="13.5" thickBot="1">
      <c r="A58" s="7"/>
      <c r="B58" s="99" t="s">
        <v>195</v>
      </c>
      <c r="C58" s="100" t="s">
        <v>188</v>
      </c>
      <c r="D58" s="100" t="s">
        <v>195</v>
      </c>
      <c r="E58" s="101" t="s">
        <v>188</v>
      </c>
      <c r="F58" s="7"/>
      <c r="G58" s="96" t="s">
        <v>196</v>
      </c>
      <c r="H58" s="97" t="s">
        <v>197</v>
      </c>
      <c r="I58" s="97"/>
      <c r="J58" s="97"/>
      <c r="K58" s="97" t="s">
        <v>183</v>
      </c>
      <c r="L58" s="97"/>
      <c r="M58" s="97"/>
      <c r="N58" s="97"/>
      <c r="O58" s="98"/>
      <c r="P58" s="7"/>
      <c r="Q58" s="96"/>
      <c r="R58" s="97" t="s">
        <v>173</v>
      </c>
      <c r="S58" s="97" t="s">
        <v>174</v>
      </c>
      <c r="T58" s="97" t="s">
        <v>175</v>
      </c>
      <c r="U58" s="98" t="s">
        <v>176</v>
      </c>
      <c r="V58" s="7"/>
      <c r="W58" s="96" t="s">
        <v>198</v>
      </c>
      <c r="X58" s="98">
        <v>2012</v>
      </c>
      <c r="Y58" s="7"/>
      <c r="Z58" s="96" t="s">
        <v>199</v>
      </c>
      <c r="AA58" s="97">
        <v>0.9</v>
      </c>
      <c r="AB58" s="98" t="s">
        <v>200</v>
      </c>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row>
    <row r="59" spans="1:131">
      <c r="A59" s="7"/>
      <c r="B59" s="7"/>
      <c r="C59" s="7"/>
      <c r="D59" s="7"/>
      <c r="E59" s="7"/>
      <c r="F59" s="7"/>
      <c r="G59" s="96" t="s">
        <v>201</v>
      </c>
      <c r="H59" s="97" t="s">
        <v>190</v>
      </c>
      <c r="I59" s="97"/>
      <c r="J59" s="97"/>
      <c r="K59" s="97"/>
      <c r="L59" s="97"/>
      <c r="M59" s="97"/>
      <c r="N59" s="97"/>
      <c r="O59" s="98"/>
      <c r="P59" s="7"/>
      <c r="Q59" s="96" t="s">
        <v>202</v>
      </c>
      <c r="R59" s="97">
        <v>0.35</v>
      </c>
      <c r="S59" s="97">
        <v>0.19500000000000001</v>
      </c>
      <c r="T59" s="97">
        <v>0.45499999999999996</v>
      </c>
      <c r="U59" s="98">
        <v>0</v>
      </c>
      <c r="V59" s="7"/>
      <c r="W59" s="96" t="s">
        <v>203</v>
      </c>
      <c r="X59" s="98">
        <v>0.04</v>
      </c>
      <c r="Y59" s="7"/>
      <c r="Z59" s="96" t="s">
        <v>204</v>
      </c>
      <c r="AA59" s="97">
        <v>4.7399348199455904E-2</v>
      </c>
      <c r="AB59" s="98">
        <v>0</v>
      </c>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row>
    <row r="60" spans="1:131">
      <c r="A60" s="7"/>
      <c r="B60" s="7" t="s">
        <v>205</v>
      </c>
      <c r="C60" s="7" t="s">
        <v>170</v>
      </c>
      <c r="D60" s="7"/>
      <c r="E60" s="7"/>
      <c r="F60" s="7"/>
      <c r="G60" s="96" t="s">
        <v>206</v>
      </c>
      <c r="H60" s="97" t="s">
        <v>207</v>
      </c>
      <c r="I60" s="97"/>
      <c r="J60" s="97"/>
      <c r="K60" s="97" t="s">
        <v>208</v>
      </c>
      <c r="L60" s="97"/>
      <c r="M60" s="97"/>
      <c r="N60" s="97"/>
      <c r="O60" s="98"/>
      <c r="P60" s="7"/>
      <c r="Q60" s="96" t="s">
        <v>209</v>
      </c>
      <c r="R60" s="97">
        <v>1</v>
      </c>
      <c r="S60" s="97">
        <v>0</v>
      </c>
      <c r="T60" s="97">
        <v>0</v>
      </c>
      <c r="U60" s="98">
        <v>0</v>
      </c>
      <c r="V60" s="7"/>
      <c r="W60" s="96" t="s">
        <v>210</v>
      </c>
      <c r="X60" s="98">
        <v>0</v>
      </c>
      <c r="Y60" s="7"/>
      <c r="Z60" s="96" t="s">
        <v>211</v>
      </c>
      <c r="AA60" s="97">
        <v>31</v>
      </c>
      <c r="AB60" s="98">
        <v>0</v>
      </c>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row>
    <row r="61" spans="1:131">
      <c r="A61" s="7"/>
      <c r="B61" s="7" t="s">
        <v>212</v>
      </c>
      <c r="C61" s="7" t="s">
        <v>213</v>
      </c>
      <c r="D61" s="7"/>
      <c r="E61" s="7"/>
      <c r="F61" s="7"/>
      <c r="G61" s="96" t="s">
        <v>214</v>
      </c>
      <c r="H61" s="97" t="s">
        <v>208</v>
      </c>
      <c r="I61" s="97"/>
      <c r="J61" s="97"/>
      <c r="K61" s="97" t="s">
        <v>215</v>
      </c>
      <c r="L61" s="97"/>
      <c r="M61" s="97"/>
      <c r="N61" s="97"/>
      <c r="O61" s="98"/>
      <c r="P61" s="7"/>
      <c r="Q61" s="96" t="s">
        <v>216</v>
      </c>
      <c r="R61" s="97">
        <v>1</v>
      </c>
      <c r="S61" s="97">
        <v>0</v>
      </c>
      <c r="T61" s="97">
        <v>0</v>
      </c>
      <c r="U61" s="98">
        <v>0</v>
      </c>
      <c r="V61" s="7"/>
      <c r="W61" s="96" t="s">
        <v>217</v>
      </c>
      <c r="X61" s="98">
        <v>0.2</v>
      </c>
      <c r="Y61" s="7"/>
      <c r="Z61" s="96" t="s">
        <v>218</v>
      </c>
      <c r="AA61" s="97">
        <v>0.7</v>
      </c>
      <c r="AB61" s="98" t="s">
        <v>200</v>
      </c>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row>
    <row r="62" spans="1:131">
      <c r="A62" s="7"/>
      <c r="B62" s="7" t="s">
        <v>219</v>
      </c>
      <c r="C62" s="7" t="s">
        <v>220</v>
      </c>
      <c r="D62" s="7"/>
      <c r="E62" s="7"/>
      <c r="F62" s="7"/>
      <c r="G62" s="96" t="s">
        <v>221</v>
      </c>
      <c r="H62" s="97" t="s">
        <v>215</v>
      </c>
      <c r="I62" s="97"/>
      <c r="J62" s="97"/>
      <c r="K62" s="97" t="s">
        <v>222</v>
      </c>
      <c r="L62" s="97"/>
      <c r="M62" s="97"/>
      <c r="N62" s="97"/>
      <c r="O62" s="98"/>
      <c r="P62" s="7"/>
      <c r="Q62" s="96" t="s">
        <v>223</v>
      </c>
      <c r="R62" s="97"/>
      <c r="S62" s="97">
        <v>0.3</v>
      </c>
      <c r="T62" s="97">
        <v>0.7</v>
      </c>
      <c r="U62" s="98">
        <v>0</v>
      </c>
      <c r="V62" s="7"/>
      <c r="W62" s="96" t="s">
        <v>224</v>
      </c>
      <c r="X62" s="98">
        <v>0</v>
      </c>
      <c r="Y62" s="7"/>
      <c r="Z62" s="96" t="s">
        <v>225</v>
      </c>
      <c r="AA62" s="97">
        <v>0</v>
      </c>
      <c r="AB62" s="98">
        <v>0</v>
      </c>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row>
    <row r="63" spans="1:131" ht="13.5" thickBot="1">
      <c r="A63" s="7"/>
      <c r="B63" s="7" t="s">
        <v>226</v>
      </c>
      <c r="C63" s="7" t="s">
        <v>227</v>
      </c>
      <c r="D63" s="7"/>
      <c r="E63" s="7"/>
      <c r="F63" s="7"/>
      <c r="G63" s="99" t="s">
        <v>228</v>
      </c>
      <c r="H63" s="100" t="s">
        <v>222</v>
      </c>
      <c r="I63" s="100"/>
      <c r="J63" s="100"/>
      <c r="K63" s="100"/>
      <c r="L63" s="100"/>
      <c r="M63" s="100"/>
      <c r="N63" s="100"/>
      <c r="O63" s="101"/>
      <c r="P63" s="7"/>
      <c r="Q63" s="99" t="s">
        <v>229</v>
      </c>
      <c r="R63" s="100"/>
      <c r="S63" s="100">
        <v>20</v>
      </c>
      <c r="T63" s="100"/>
      <c r="U63" s="101"/>
      <c r="V63" s="7"/>
      <c r="W63" s="99" t="s">
        <v>230</v>
      </c>
      <c r="X63" s="101">
        <v>2018</v>
      </c>
      <c r="Y63" s="7"/>
      <c r="Z63" s="99" t="s">
        <v>231</v>
      </c>
      <c r="AA63" s="100">
        <v>0</v>
      </c>
      <c r="AB63" s="101">
        <v>0</v>
      </c>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row>
    <row r="64" spans="1:13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row>
    <row r="65" spans="1:13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row>
    <row r="66" spans="1:13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row>
    <row r="67" spans="1:13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row>
    <row r="68" spans="1:13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row>
    <row r="69" spans="1:131">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row>
    <row r="70" spans="1:131">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row>
    <row r="71" spans="1:131" ht="13.5" thickBot="1">
      <c r="A71" s="27" t="s">
        <v>232</v>
      </c>
      <c r="B71" s="28"/>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c r="CH71" s="29"/>
      <c r="CI71" s="29"/>
      <c r="CJ71" s="29"/>
      <c r="CK71" s="29"/>
      <c r="CL71" s="29"/>
      <c r="CM71" s="29"/>
      <c r="CN71" s="29"/>
      <c r="CO71" s="29"/>
      <c r="CP71" s="29"/>
      <c r="CQ71" s="29"/>
      <c r="CR71" s="29"/>
      <c r="CS71" s="29"/>
      <c r="CT71" s="29"/>
      <c r="CU71" s="29"/>
      <c r="CV71" s="29"/>
      <c r="CW71" s="29"/>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row>
    <row r="72" spans="1:131" ht="26.25" thickBot="1">
      <c r="A72" s="102" t="s">
        <v>233</v>
      </c>
      <c r="B72" s="103"/>
      <c r="C72" s="104" t="s">
        <v>234</v>
      </c>
      <c r="D72" s="105"/>
      <c r="E72" s="105"/>
      <c r="F72" s="105"/>
      <c r="G72" s="105"/>
      <c r="H72" s="105"/>
      <c r="I72" s="105"/>
      <c r="J72" s="105"/>
      <c r="K72" s="106"/>
      <c r="L72" s="104" t="s">
        <v>235</v>
      </c>
      <c r="M72" s="105"/>
      <c r="N72" s="105"/>
      <c r="O72" s="105"/>
      <c r="P72" s="105"/>
      <c r="Q72" s="106"/>
      <c r="R72" s="104" t="s">
        <v>236</v>
      </c>
      <c r="S72" s="105"/>
      <c r="T72" s="105"/>
      <c r="U72" s="106"/>
      <c r="V72" s="104" t="s">
        <v>237</v>
      </c>
      <c r="W72" s="105"/>
      <c r="X72" s="105"/>
      <c r="Y72" s="106"/>
      <c r="Z72" s="104" t="s">
        <v>238</v>
      </c>
      <c r="AA72" s="105"/>
      <c r="AB72" s="105"/>
      <c r="AC72" s="106"/>
      <c r="AD72" s="104" t="s">
        <v>239</v>
      </c>
      <c r="AE72" s="105"/>
      <c r="AF72" s="105"/>
      <c r="AG72" s="106"/>
      <c r="AH72" s="104" t="s">
        <v>240</v>
      </c>
      <c r="AI72" s="105"/>
      <c r="AJ72" s="105"/>
      <c r="AK72" s="105"/>
      <c r="AL72" s="106"/>
      <c r="AM72" s="104" t="s">
        <v>241</v>
      </c>
      <c r="AN72" s="105"/>
      <c r="AO72" s="105"/>
      <c r="AP72" s="105"/>
      <c r="AQ72" s="105"/>
      <c r="AR72" s="105"/>
      <c r="AS72" s="106"/>
      <c r="AT72" s="104" t="s">
        <v>242</v>
      </c>
      <c r="AU72" s="105"/>
      <c r="AV72" s="105"/>
      <c r="AW72" s="105"/>
      <c r="AX72" s="105"/>
      <c r="AY72" s="105"/>
      <c r="AZ72" s="106"/>
      <c r="BA72" s="104" t="s">
        <v>243</v>
      </c>
      <c r="BB72" s="105"/>
      <c r="BC72" s="105"/>
      <c r="BD72" s="105"/>
      <c r="BE72" s="105"/>
      <c r="BF72" s="106"/>
      <c r="BG72" s="104" t="s">
        <v>244</v>
      </c>
      <c r="BH72" s="106"/>
      <c r="BI72" s="104" t="s">
        <v>245</v>
      </c>
      <c r="BJ72" s="105"/>
      <c r="BK72" s="105"/>
      <c r="BL72" s="105"/>
      <c r="BM72" s="106"/>
      <c r="BN72" s="104" t="s">
        <v>246</v>
      </c>
      <c r="BO72" s="105"/>
      <c r="BP72" s="105"/>
      <c r="BQ72" s="105"/>
      <c r="BR72" s="105"/>
      <c r="BS72" s="105"/>
      <c r="BT72" s="105"/>
      <c r="BU72" s="105"/>
      <c r="BV72" s="105"/>
      <c r="BW72" s="105"/>
      <c r="BX72" s="105"/>
      <c r="BY72" s="105"/>
      <c r="BZ72" s="105"/>
      <c r="CA72" s="105"/>
      <c r="CB72" s="105"/>
      <c r="CC72" s="106"/>
      <c r="CD72" s="104" t="s">
        <v>247</v>
      </c>
      <c r="CE72" s="106"/>
      <c r="CF72" s="104" t="s">
        <v>248</v>
      </c>
      <c r="CG72" s="105"/>
      <c r="CH72" s="105"/>
      <c r="CI72" s="105"/>
      <c r="CJ72" s="105"/>
      <c r="CK72" s="106"/>
      <c r="CL72" s="107"/>
      <c r="CM72" s="104" t="s">
        <v>5</v>
      </c>
      <c r="CN72" s="105"/>
      <c r="CO72" s="105"/>
      <c r="CP72" s="106"/>
      <c r="CQ72" s="104" t="s">
        <v>249</v>
      </c>
      <c r="CR72" s="105"/>
      <c r="CS72" s="105"/>
      <c r="CT72" s="105"/>
      <c r="CU72" s="106"/>
      <c r="CV72" s="104" t="s">
        <v>250</v>
      </c>
      <c r="CW72" s="106"/>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row>
    <row r="73" spans="1:131" ht="216.75">
      <c r="A73" s="30" t="s">
        <v>21</v>
      </c>
      <c r="B73" s="31" t="s">
        <v>22</v>
      </c>
      <c r="C73" s="32" t="s">
        <v>138</v>
      </c>
      <c r="D73" s="32" t="s">
        <v>251</v>
      </c>
      <c r="E73" s="32" t="s">
        <v>252</v>
      </c>
      <c r="F73" s="32" t="s">
        <v>253</v>
      </c>
      <c r="G73" s="32" t="s">
        <v>254</v>
      </c>
      <c r="H73" s="32" t="s">
        <v>255</v>
      </c>
      <c r="I73" s="32" t="s">
        <v>256</v>
      </c>
      <c r="J73" s="32" t="s">
        <v>257</v>
      </c>
      <c r="K73" s="32" t="s">
        <v>258</v>
      </c>
      <c r="L73" s="32" t="s">
        <v>259</v>
      </c>
      <c r="M73" s="32" t="s">
        <v>260</v>
      </c>
      <c r="N73" s="32" t="s">
        <v>261</v>
      </c>
      <c r="O73" s="32" t="s">
        <v>262</v>
      </c>
      <c r="P73" s="32" t="s">
        <v>263</v>
      </c>
      <c r="Q73" s="32" t="s">
        <v>264</v>
      </c>
      <c r="R73" s="32" t="s">
        <v>265</v>
      </c>
      <c r="S73" s="32" t="s">
        <v>266</v>
      </c>
      <c r="T73" s="32" t="s">
        <v>267</v>
      </c>
      <c r="U73" s="32" t="s">
        <v>173</v>
      </c>
      <c r="V73" s="32" t="s">
        <v>265</v>
      </c>
      <c r="W73" s="32" t="s">
        <v>266</v>
      </c>
      <c r="X73" s="32" t="s">
        <v>267</v>
      </c>
      <c r="Y73" s="32" t="s">
        <v>173</v>
      </c>
      <c r="Z73" s="32" t="s">
        <v>265</v>
      </c>
      <c r="AA73" s="32" t="s">
        <v>266</v>
      </c>
      <c r="AB73" s="32" t="s">
        <v>267</v>
      </c>
      <c r="AC73" s="32" t="s">
        <v>173</v>
      </c>
      <c r="AD73" s="32" t="s">
        <v>265</v>
      </c>
      <c r="AE73" s="32" t="s">
        <v>266</v>
      </c>
      <c r="AF73" s="32" t="s">
        <v>267</v>
      </c>
      <c r="AG73" s="32" t="s">
        <v>173</v>
      </c>
      <c r="AH73" s="32" t="s">
        <v>265</v>
      </c>
      <c r="AI73" s="32" t="s">
        <v>266</v>
      </c>
      <c r="AJ73" s="32" t="s">
        <v>267</v>
      </c>
      <c r="AK73" s="32" t="s">
        <v>173</v>
      </c>
      <c r="AL73" s="32" t="s">
        <v>268</v>
      </c>
      <c r="AM73" s="32" t="s">
        <v>269</v>
      </c>
      <c r="AN73" s="32" t="s">
        <v>270</v>
      </c>
      <c r="AO73" s="32" t="s">
        <v>271</v>
      </c>
      <c r="AP73" s="32" t="s">
        <v>272</v>
      </c>
      <c r="AQ73" s="32" t="s">
        <v>273</v>
      </c>
      <c r="AR73" s="32" t="s">
        <v>274</v>
      </c>
      <c r="AS73" s="32" t="s">
        <v>275</v>
      </c>
      <c r="AT73" s="32" t="s">
        <v>276</v>
      </c>
      <c r="AU73" s="32" t="s">
        <v>277</v>
      </c>
      <c r="AV73" s="32" t="s">
        <v>278</v>
      </c>
      <c r="AW73" s="32" t="s">
        <v>279</v>
      </c>
      <c r="AX73" s="32" t="s">
        <v>280</v>
      </c>
      <c r="AY73" s="32" t="s">
        <v>281</v>
      </c>
      <c r="AZ73" s="32" t="s">
        <v>282</v>
      </c>
      <c r="BA73" s="32" t="s">
        <v>283</v>
      </c>
      <c r="BB73" s="32" t="s">
        <v>284</v>
      </c>
      <c r="BC73" s="32" t="s">
        <v>285</v>
      </c>
      <c r="BD73" s="32" t="s">
        <v>286</v>
      </c>
      <c r="BE73" s="32" t="s">
        <v>287</v>
      </c>
      <c r="BF73" s="32" t="s">
        <v>288</v>
      </c>
      <c r="BG73" s="32" t="s">
        <v>289</v>
      </c>
      <c r="BH73" s="32" t="s">
        <v>290</v>
      </c>
      <c r="BI73" s="32" t="s">
        <v>291</v>
      </c>
      <c r="BJ73" s="32" t="s">
        <v>292</v>
      </c>
      <c r="BK73" s="32" t="s">
        <v>293</v>
      </c>
      <c r="BL73" s="32" t="s">
        <v>294</v>
      </c>
      <c r="BM73" s="32" t="s">
        <v>295</v>
      </c>
      <c r="BN73" s="32" t="s">
        <v>296</v>
      </c>
      <c r="BO73" s="32" t="s">
        <v>297</v>
      </c>
      <c r="BP73" s="32" t="s">
        <v>298</v>
      </c>
      <c r="BQ73" s="32" t="s">
        <v>299</v>
      </c>
      <c r="BR73" s="32" t="s">
        <v>300</v>
      </c>
      <c r="BS73" s="32" t="s">
        <v>301</v>
      </c>
      <c r="BT73" s="32" t="s">
        <v>302</v>
      </c>
      <c r="BU73" s="32" t="s">
        <v>303</v>
      </c>
      <c r="BV73" s="32" t="s">
        <v>304</v>
      </c>
      <c r="BW73" s="32" t="s">
        <v>305</v>
      </c>
      <c r="BX73" s="32" t="s">
        <v>306</v>
      </c>
      <c r="BY73" s="32" t="s">
        <v>307</v>
      </c>
      <c r="BZ73" s="32" t="s">
        <v>308</v>
      </c>
      <c r="CA73" s="32" t="s">
        <v>309</v>
      </c>
      <c r="CB73" s="32" t="s">
        <v>310</v>
      </c>
      <c r="CC73" s="32" t="s">
        <v>311</v>
      </c>
      <c r="CD73" s="32" t="s">
        <v>23</v>
      </c>
      <c r="CE73" s="32" t="s">
        <v>24</v>
      </c>
      <c r="CF73" s="32" t="s">
        <v>312</v>
      </c>
      <c r="CG73" s="32" t="s">
        <v>313</v>
      </c>
      <c r="CH73" s="32" t="s">
        <v>314</v>
      </c>
      <c r="CI73" s="32" t="s">
        <v>315</v>
      </c>
      <c r="CJ73" s="32" t="s">
        <v>316</v>
      </c>
      <c r="CK73" s="32" t="s">
        <v>317</v>
      </c>
      <c r="CL73" s="32"/>
      <c r="CM73" s="32" t="s">
        <v>318</v>
      </c>
      <c r="CN73" s="32" t="s">
        <v>319</v>
      </c>
      <c r="CO73" s="32" t="s">
        <v>320</v>
      </c>
      <c r="CP73" s="32" t="s">
        <v>321</v>
      </c>
      <c r="CQ73" s="32" t="s">
        <v>322</v>
      </c>
      <c r="CR73" s="32" t="s">
        <v>323</v>
      </c>
      <c r="CS73" s="32" t="s">
        <v>324</v>
      </c>
      <c r="CT73" s="32" t="s">
        <v>325</v>
      </c>
      <c r="CU73" s="32" t="s">
        <v>326</v>
      </c>
      <c r="CV73" s="32" t="s">
        <v>327</v>
      </c>
      <c r="CW73" s="108" t="s">
        <v>328</v>
      </c>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row>
    <row r="74" spans="1:131">
      <c r="A74" s="7" t="s">
        <v>487</v>
      </c>
      <c r="B74" s="7" t="s">
        <v>386</v>
      </c>
      <c r="C74" s="29">
        <v>15</v>
      </c>
      <c r="D74" s="29">
        <v>2610.3529019871903</v>
      </c>
      <c r="E74" s="29">
        <v>0</v>
      </c>
      <c r="F74" s="29">
        <v>2878.5049609349367</v>
      </c>
      <c r="G74" s="29">
        <v>0</v>
      </c>
      <c r="H74" s="29">
        <v>0</v>
      </c>
      <c r="I74" s="29" t="s">
        <v>385</v>
      </c>
      <c r="J74" s="29"/>
      <c r="K74" s="29"/>
      <c r="L74" s="29">
        <v>2811.7504014990786</v>
      </c>
      <c r="M74" s="29">
        <v>0.98227153967436376</v>
      </c>
      <c r="N74" s="29">
        <v>0.97518194419435811</v>
      </c>
      <c r="O74" s="29">
        <v>0</v>
      </c>
      <c r="P74" s="29">
        <v>0</v>
      </c>
      <c r="Q74" s="29">
        <v>0</v>
      </c>
      <c r="R74" s="29">
        <v>574.0123417251998</v>
      </c>
      <c r="S74" s="29">
        <v>1326.4552149426056</v>
      </c>
      <c r="T74" s="29">
        <v>0</v>
      </c>
      <c r="U74" s="29">
        <v>1677.1818860543383</v>
      </c>
      <c r="V74" s="29" t="s">
        <v>329</v>
      </c>
      <c r="W74" s="29" t="s">
        <v>329</v>
      </c>
      <c r="X74" s="29" t="s">
        <v>329</v>
      </c>
      <c r="Y74" s="29" t="s">
        <v>329</v>
      </c>
      <c r="Z74" s="29">
        <v>0</v>
      </c>
      <c r="AA74" s="29">
        <v>0</v>
      </c>
      <c r="AB74" s="29">
        <v>0</v>
      </c>
      <c r="AC74" s="29">
        <v>0</v>
      </c>
      <c r="AD74" s="29">
        <v>0</v>
      </c>
      <c r="AE74" s="29">
        <v>0</v>
      </c>
      <c r="AF74" s="29">
        <v>0</v>
      </c>
      <c r="AG74" s="29">
        <v>0</v>
      </c>
      <c r="AH74" s="29">
        <v>574.0123417251998</v>
      </c>
      <c r="AI74" s="29">
        <v>1326.4552149426056</v>
      </c>
      <c r="AJ74" s="29">
        <v>0</v>
      </c>
      <c r="AK74" s="29">
        <v>1677.1818860543383</v>
      </c>
      <c r="AL74" s="29">
        <v>3577.6494427221437</v>
      </c>
      <c r="AM74" s="29">
        <v>1461.3824553549973</v>
      </c>
      <c r="AN74" s="29">
        <v>347.08416037226038</v>
      </c>
      <c r="AO74" s="29">
        <v>0</v>
      </c>
      <c r="AP74" s="29">
        <v>0</v>
      </c>
      <c r="AQ74" s="29">
        <v>1808.4666157272577</v>
      </c>
      <c r="AR74" s="29">
        <v>574.0123417251998</v>
      </c>
      <c r="AS74" s="33">
        <v>3.1505709621014302</v>
      </c>
      <c r="AT74" s="29">
        <v>1461.3824553549973</v>
      </c>
      <c r="AU74" s="29">
        <v>410.84426688696317</v>
      </c>
      <c r="AV74" s="29">
        <v>0</v>
      </c>
      <c r="AW74" s="29">
        <v>0</v>
      </c>
      <c r="AX74" s="29">
        <v>1872.2267222419605</v>
      </c>
      <c r="AY74" s="29">
        <v>1326.4552149426056</v>
      </c>
      <c r="AZ74" s="33">
        <v>1.4114511377023535</v>
      </c>
      <c r="BA74" s="29">
        <v>1461.3824553549973</v>
      </c>
      <c r="BB74" s="29">
        <v>757.92842725922355</v>
      </c>
      <c r="BC74" s="29">
        <v>0</v>
      </c>
      <c r="BD74" s="29">
        <v>0</v>
      </c>
      <c r="BE74" s="29">
        <v>2219.3108826142206</v>
      </c>
      <c r="BF74" s="29">
        <v>1900.4675566678054</v>
      </c>
      <c r="BG74" s="29">
        <v>29.899534793703417</v>
      </c>
      <c r="BH74" s="33">
        <v>1.16777099131619</v>
      </c>
      <c r="BI74" s="29">
        <v>15.02154415692686</v>
      </c>
      <c r="BJ74" s="29">
        <v>34.712503782689154</v>
      </c>
      <c r="BK74" s="29">
        <v>0</v>
      </c>
      <c r="BL74" s="29">
        <v>43.890801519776929</v>
      </c>
      <c r="BM74" s="29">
        <v>93.624849459392948</v>
      </c>
      <c r="BN74" s="29">
        <v>1461.3824553549973</v>
      </c>
      <c r="BO74" s="29">
        <v>0</v>
      </c>
      <c r="BP74" s="29">
        <v>757.92842725922355</v>
      </c>
      <c r="BQ74" s="29">
        <v>0</v>
      </c>
      <c r="BR74" s="29">
        <v>0</v>
      </c>
      <c r="BS74" s="29">
        <v>0</v>
      </c>
      <c r="BT74" s="29">
        <v>0</v>
      </c>
      <c r="BU74" s="29">
        <v>0</v>
      </c>
      <c r="BV74" s="29">
        <v>564.47242831536028</v>
      </c>
      <c r="BW74" s="29">
        <v>0</v>
      </c>
      <c r="BX74" s="29">
        <v>3577.6494427221437</v>
      </c>
      <c r="BY74" s="29"/>
      <c r="BZ74" s="29">
        <v>0</v>
      </c>
      <c r="CA74" s="29">
        <v>0</v>
      </c>
      <c r="CB74" s="29">
        <v>2783.7833109295807</v>
      </c>
      <c r="CC74" s="29">
        <v>3577.6494427221437</v>
      </c>
      <c r="CD74" s="109">
        <v>0.77810399132103614</v>
      </c>
      <c r="CE74" s="29">
        <v>59.018445726907842</v>
      </c>
      <c r="CF74" s="29">
        <v>26.711953434351461</v>
      </c>
      <c r="CG74" s="29">
        <v>0</v>
      </c>
      <c r="CH74" s="29">
        <v>26.711953434351461</v>
      </c>
      <c r="CI74" s="29">
        <v>1.3355814407120625</v>
      </c>
      <c r="CJ74" s="29">
        <v>0</v>
      </c>
      <c r="CK74" s="29">
        <v>1.3355814407120625</v>
      </c>
      <c r="CL74" s="29"/>
      <c r="CM74" s="29">
        <v>0</v>
      </c>
      <c r="CN74" s="29"/>
      <c r="CO74" s="29">
        <v>0</v>
      </c>
      <c r="CP74" s="29">
        <v>0</v>
      </c>
      <c r="CQ74" s="29">
        <v>0</v>
      </c>
      <c r="CR74" s="29">
        <v>0</v>
      </c>
      <c r="CS74" s="29">
        <v>0</v>
      </c>
      <c r="CT74" s="29">
        <v>0</v>
      </c>
      <c r="CU74" s="29">
        <v>0</v>
      </c>
      <c r="CV74" s="29">
        <v>9999</v>
      </c>
      <c r="CW74" s="33">
        <v>9999</v>
      </c>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row>
    <row r="75" spans="1:131">
      <c r="A75" s="7" t="s">
        <v>488</v>
      </c>
      <c r="B75" s="7" t="s">
        <v>386</v>
      </c>
      <c r="C75" s="29">
        <v>15</v>
      </c>
      <c r="D75" s="29">
        <v>2563.9872339710073</v>
      </c>
      <c r="E75" s="29">
        <v>0</v>
      </c>
      <c r="F75" s="29">
        <v>2911.5329115654022</v>
      </c>
      <c r="G75" s="29">
        <v>0</v>
      </c>
      <c r="H75" s="29">
        <v>0</v>
      </c>
      <c r="I75" s="29" t="s">
        <v>385</v>
      </c>
      <c r="J75" s="29"/>
      <c r="K75" s="29"/>
      <c r="L75" s="29">
        <v>2761.8074663652778</v>
      </c>
      <c r="M75" s="29">
        <v>0.96482421441975341</v>
      </c>
      <c r="N75" s="29">
        <v>0.95786054590929459</v>
      </c>
      <c r="O75" s="29">
        <v>0</v>
      </c>
      <c r="P75" s="29">
        <v>0</v>
      </c>
      <c r="Q75" s="29">
        <v>0</v>
      </c>
      <c r="R75" s="29">
        <v>580.59855628486491</v>
      </c>
      <c r="S75" s="29">
        <v>1341.6749550324121</v>
      </c>
      <c r="T75" s="29">
        <v>0</v>
      </c>
      <c r="U75" s="29">
        <v>1696.4258621053375</v>
      </c>
      <c r="V75" s="29" t="s">
        <v>329</v>
      </c>
      <c r="W75" s="29" t="s">
        <v>329</v>
      </c>
      <c r="X75" s="29" t="s">
        <v>329</v>
      </c>
      <c r="Y75" s="29" t="s">
        <v>329</v>
      </c>
      <c r="Z75" s="29">
        <v>0</v>
      </c>
      <c r="AA75" s="29">
        <v>0</v>
      </c>
      <c r="AB75" s="29">
        <v>0</v>
      </c>
      <c r="AC75" s="29">
        <v>0</v>
      </c>
      <c r="AD75" s="29">
        <v>0</v>
      </c>
      <c r="AE75" s="29">
        <v>0</v>
      </c>
      <c r="AF75" s="29">
        <v>0</v>
      </c>
      <c r="AG75" s="29">
        <v>0</v>
      </c>
      <c r="AH75" s="29">
        <v>580.59855628486491</v>
      </c>
      <c r="AI75" s="29">
        <v>1341.6749550324121</v>
      </c>
      <c r="AJ75" s="29">
        <v>0</v>
      </c>
      <c r="AK75" s="29">
        <v>1696.4258621053375</v>
      </c>
      <c r="AL75" s="29">
        <v>3618.6993734226144</v>
      </c>
      <c r="AM75" s="29">
        <v>1435.4250556033837</v>
      </c>
      <c r="AN75" s="29">
        <v>340.91917442677959</v>
      </c>
      <c r="AO75" s="29">
        <v>0</v>
      </c>
      <c r="AP75" s="29">
        <v>0</v>
      </c>
      <c r="AQ75" s="29">
        <v>1776.3442300301633</v>
      </c>
      <c r="AR75" s="29">
        <v>580.59855628486491</v>
      </c>
      <c r="AS75" s="33">
        <v>3.0595050759282594</v>
      </c>
      <c r="AT75" s="29">
        <v>1435.4250556033837</v>
      </c>
      <c r="AU75" s="29">
        <v>403.5467597681627</v>
      </c>
      <c r="AV75" s="29">
        <v>0</v>
      </c>
      <c r="AW75" s="29">
        <v>0</v>
      </c>
      <c r="AX75" s="29">
        <v>1838.9718153715464</v>
      </c>
      <c r="AY75" s="29">
        <v>1341.6749550324121</v>
      </c>
      <c r="AZ75" s="33">
        <v>1.3706537551989413</v>
      </c>
      <c r="BA75" s="29">
        <v>1435.4250556033837</v>
      </c>
      <c r="BB75" s="29">
        <v>744.46593419494229</v>
      </c>
      <c r="BC75" s="29">
        <v>0</v>
      </c>
      <c r="BD75" s="29">
        <v>0</v>
      </c>
      <c r="BE75" s="29">
        <v>2179.8909897983258</v>
      </c>
      <c r="BF75" s="29">
        <v>1922.2735113172771</v>
      </c>
      <c r="BG75" s="29">
        <v>31.379864139856213</v>
      </c>
      <c r="BH75" s="33">
        <v>1.1340170776761684</v>
      </c>
      <c r="BI75" s="29">
        <v>15.468659032173438</v>
      </c>
      <c r="BJ75" s="29">
        <v>35.745718253595363</v>
      </c>
      <c r="BK75" s="29">
        <v>0</v>
      </c>
      <c r="BL75" s="29">
        <v>45.197207175612128</v>
      </c>
      <c r="BM75" s="29">
        <v>96.411584461380926</v>
      </c>
      <c r="BN75" s="29">
        <v>1435.4250556033837</v>
      </c>
      <c r="BO75" s="29">
        <v>0</v>
      </c>
      <c r="BP75" s="29">
        <v>744.46593419494229</v>
      </c>
      <c r="BQ75" s="29">
        <v>0</v>
      </c>
      <c r="BR75" s="29">
        <v>0</v>
      </c>
      <c r="BS75" s="29">
        <v>0</v>
      </c>
      <c r="BT75" s="29">
        <v>0</v>
      </c>
      <c r="BU75" s="29">
        <v>0</v>
      </c>
      <c r="BV75" s="29">
        <v>407.54477972865828</v>
      </c>
      <c r="BW75" s="29">
        <v>0</v>
      </c>
      <c r="BX75" s="29">
        <v>3618.6993734226144</v>
      </c>
      <c r="BY75" s="29"/>
      <c r="BZ75" s="29">
        <v>0</v>
      </c>
      <c r="CA75" s="29">
        <v>0</v>
      </c>
      <c r="CB75" s="29">
        <v>2587.4357695269841</v>
      </c>
      <c r="CC75" s="29">
        <v>3618.6993734226144</v>
      </c>
      <c r="CD75" s="109">
        <v>0.71501816053864475</v>
      </c>
      <c r="CE75" s="29">
        <v>65.71901600388783</v>
      </c>
      <c r="CF75" s="29">
        <v>26.23748978460587</v>
      </c>
      <c r="CG75" s="29">
        <v>0</v>
      </c>
      <c r="CH75" s="29">
        <v>26.23748978460587</v>
      </c>
      <c r="CI75" s="29">
        <v>1.3118585465235069</v>
      </c>
      <c r="CJ75" s="29">
        <v>0</v>
      </c>
      <c r="CK75" s="29">
        <v>1.3118585465235069</v>
      </c>
      <c r="CL75" s="29"/>
      <c r="CM75" s="29">
        <v>0</v>
      </c>
      <c r="CN75" s="29"/>
      <c r="CO75" s="29">
        <v>0</v>
      </c>
      <c r="CP75" s="29">
        <v>0</v>
      </c>
      <c r="CQ75" s="29">
        <v>0</v>
      </c>
      <c r="CR75" s="29">
        <v>0</v>
      </c>
      <c r="CS75" s="29">
        <v>0</v>
      </c>
      <c r="CT75" s="29">
        <v>0</v>
      </c>
      <c r="CU75" s="29">
        <v>0</v>
      </c>
      <c r="CV75" s="29">
        <v>9999</v>
      </c>
      <c r="CW75" s="33">
        <v>9999</v>
      </c>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row>
    <row r="76" spans="1:131">
      <c r="A76" s="7" t="s">
        <v>504</v>
      </c>
      <c r="B76" s="7" t="s">
        <v>386</v>
      </c>
      <c r="C76" s="29">
        <v>15</v>
      </c>
      <c r="D76" s="29">
        <v>2610.3529019871903</v>
      </c>
      <c r="E76" s="29">
        <v>0</v>
      </c>
      <c r="F76" s="29">
        <v>4405.939111130092</v>
      </c>
      <c r="G76" s="29">
        <v>0</v>
      </c>
      <c r="H76" s="29">
        <v>0</v>
      </c>
      <c r="I76" s="29" t="s">
        <v>385</v>
      </c>
      <c r="J76" s="29"/>
      <c r="K76" s="29"/>
      <c r="L76" s="29">
        <v>2811.7504014990786</v>
      </c>
      <c r="M76" s="29">
        <v>0.98227153967436376</v>
      </c>
      <c r="N76" s="29">
        <v>0.97518194419435811</v>
      </c>
      <c r="O76" s="29">
        <v>0</v>
      </c>
      <c r="P76" s="29">
        <v>0</v>
      </c>
      <c r="Q76" s="29">
        <v>0</v>
      </c>
      <c r="R76" s="29">
        <v>878.60311550652716</v>
      </c>
      <c r="S76" s="29">
        <v>2030.3181651560817</v>
      </c>
      <c r="T76" s="29">
        <v>0</v>
      </c>
      <c r="U76" s="29">
        <v>2567.1525213719342</v>
      </c>
      <c r="V76" s="29" t="s">
        <v>329</v>
      </c>
      <c r="W76" s="29" t="s">
        <v>329</v>
      </c>
      <c r="X76" s="29" t="s">
        <v>329</v>
      </c>
      <c r="Y76" s="29" t="s">
        <v>329</v>
      </c>
      <c r="Z76" s="29">
        <v>0</v>
      </c>
      <c r="AA76" s="29">
        <v>0</v>
      </c>
      <c r="AB76" s="29">
        <v>0</v>
      </c>
      <c r="AC76" s="29">
        <v>0</v>
      </c>
      <c r="AD76" s="29">
        <v>0</v>
      </c>
      <c r="AE76" s="29">
        <v>0</v>
      </c>
      <c r="AF76" s="29">
        <v>0</v>
      </c>
      <c r="AG76" s="29">
        <v>0</v>
      </c>
      <c r="AH76" s="29">
        <v>878.60311550652716</v>
      </c>
      <c r="AI76" s="29">
        <v>2030.3181651560817</v>
      </c>
      <c r="AJ76" s="29">
        <v>0</v>
      </c>
      <c r="AK76" s="29">
        <v>2567.1525213719342</v>
      </c>
      <c r="AL76" s="29">
        <v>5476.0738020345434</v>
      </c>
      <c r="AM76" s="29">
        <v>1461.3824553549973</v>
      </c>
      <c r="AN76" s="29">
        <v>347.08416037226038</v>
      </c>
      <c r="AO76" s="29">
        <v>0</v>
      </c>
      <c r="AP76" s="29">
        <v>0</v>
      </c>
      <c r="AQ76" s="29">
        <v>1808.4666157272577</v>
      </c>
      <c r="AR76" s="29">
        <v>878.60311550652716</v>
      </c>
      <c r="AS76" s="33">
        <v>2.0583430491077319</v>
      </c>
      <c r="AT76" s="29">
        <v>1461.3824553549973</v>
      </c>
      <c r="AU76" s="29">
        <v>410.84426688696317</v>
      </c>
      <c r="AV76" s="29">
        <v>0</v>
      </c>
      <c r="AW76" s="29">
        <v>0</v>
      </c>
      <c r="AX76" s="29">
        <v>1872.2267222419605</v>
      </c>
      <c r="AY76" s="29">
        <v>2030.3181651560817</v>
      </c>
      <c r="AZ76" s="109">
        <v>0.92213464587607241</v>
      </c>
      <c r="BA76" s="29">
        <v>1461.3824553549973</v>
      </c>
      <c r="BB76" s="29">
        <v>757.92842725922355</v>
      </c>
      <c r="BC76" s="29">
        <v>0</v>
      </c>
      <c r="BD76" s="29">
        <v>0</v>
      </c>
      <c r="BE76" s="29">
        <v>2219.3108826142206</v>
      </c>
      <c r="BF76" s="29">
        <v>2908.9212806626088</v>
      </c>
      <c r="BG76" s="29">
        <v>56.290138347062921</v>
      </c>
      <c r="BH76" s="109">
        <v>0.76293260232490545</v>
      </c>
      <c r="BI76" s="29">
        <v>22.992494301303974</v>
      </c>
      <c r="BJ76" s="29">
        <v>53.132157191671546</v>
      </c>
      <c r="BK76" s="29">
        <v>0</v>
      </c>
      <c r="BL76" s="29">
        <v>67.180776708483947</v>
      </c>
      <c r="BM76" s="29">
        <v>143.30542820145948</v>
      </c>
      <c r="BN76" s="29">
        <v>1461.3824553549973</v>
      </c>
      <c r="BO76" s="29">
        <v>0</v>
      </c>
      <c r="BP76" s="29">
        <v>757.92842725922355</v>
      </c>
      <c r="BQ76" s="29">
        <v>0</v>
      </c>
      <c r="BR76" s="29">
        <v>0</v>
      </c>
      <c r="BS76" s="29">
        <v>0</v>
      </c>
      <c r="BT76" s="29">
        <v>0</v>
      </c>
      <c r="BU76" s="29">
        <v>0</v>
      </c>
      <c r="BV76" s="29">
        <v>564.47242831536028</v>
      </c>
      <c r="BW76" s="29">
        <v>0</v>
      </c>
      <c r="BX76" s="29">
        <v>5476.0738020345434</v>
      </c>
      <c r="BY76" s="29"/>
      <c r="BZ76" s="29">
        <v>0</v>
      </c>
      <c r="CA76" s="29">
        <v>0</v>
      </c>
      <c r="CB76" s="29">
        <v>2783.7833109295807</v>
      </c>
      <c r="CC76" s="29">
        <v>5476.0738020345434</v>
      </c>
      <c r="CD76" s="109">
        <v>0.50835387023003831</v>
      </c>
      <c r="CE76" s="29">
        <v>108.69902446897439</v>
      </c>
      <c r="CF76" s="29">
        <v>26.711953434351461</v>
      </c>
      <c r="CG76" s="29">
        <v>0</v>
      </c>
      <c r="CH76" s="29">
        <v>26.711953434351461</v>
      </c>
      <c r="CI76" s="29">
        <v>1.3355814407120625</v>
      </c>
      <c r="CJ76" s="29">
        <v>0</v>
      </c>
      <c r="CK76" s="29">
        <v>1.3355814407120625</v>
      </c>
      <c r="CL76" s="29"/>
      <c r="CM76" s="29">
        <v>0</v>
      </c>
      <c r="CN76" s="29"/>
      <c r="CO76" s="29">
        <v>0</v>
      </c>
      <c r="CP76" s="29">
        <v>0</v>
      </c>
      <c r="CQ76" s="29">
        <v>0</v>
      </c>
      <c r="CR76" s="29">
        <v>0</v>
      </c>
      <c r="CS76" s="29">
        <v>0</v>
      </c>
      <c r="CT76" s="29">
        <v>0</v>
      </c>
      <c r="CU76" s="29">
        <v>0</v>
      </c>
      <c r="CV76" s="29">
        <v>9999</v>
      </c>
      <c r="CW76" s="33">
        <v>9999</v>
      </c>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row>
    <row r="77" spans="1:131">
      <c r="A77" s="7" t="s">
        <v>489</v>
      </c>
      <c r="B77" s="7" t="s">
        <v>386</v>
      </c>
      <c r="C77" s="29">
        <v>15</v>
      </c>
      <c r="D77" s="29">
        <v>2610.3529019871903</v>
      </c>
      <c r="E77" s="29">
        <v>0</v>
      </c>
      <c r="F77" s="29">
        <v>3231.068075449366</v>
      </c>
      <c r="G77" s="29">
        <v>0</v>
      </c>
      <c r="H77" s="29">
        <v>0</v>
      </c>
      <c r="I77" s="29" t="s">
        <v>385</v>
      </c>
      <c r="J77" s="29"/>
      <c r="K77" s="29"/>
      <c r="L77" s="29">
        <v>2811.7504014990786</v>
      </c>
      <c r="M77" s="29">
        <v>0.98227153967436376</v>
      </c>
      <c r="N77" s="29">
        <v>0.97518194419435811</v>
      </c>
      <c r="O77" s="29">
        <v>0</v>
      </c>
      <c r="P77" s="29">
        <v>0</v>
      </c>
      <c r="Q77" s="29">
        <v>0</v>
      </c>
      <c r="R77" s="29">
        <v>644.31813647450815</v>
      </c>
      <c r="S77" s="29">
        <v>1488.9212131572401</v>
      </c>
      <c r="T77" s="29">
        <v>0</v>
      </c>
      <c r="U77" s="29">
        <v>1882.6053532289247</v>
      </c>
      <c r="V77" s="29" t="s">
        <v>329</v>
      </c>
      <c r="W77" s="29" t="s">
        <v>329</v>
      </c>
      <c r="X77" s="29" t="s">
        <v>329</v>
      </c>
      <c r="Y77" s="29" t="s">
        <v>329</v>
      </c>
      <c r="Z77" s="29">
        <v>0</v>
      </c>
      <c r="AA77" s="29">
        <v>0</v>
      </c>
      <c r="AB77" s="29">
        <v>0</v>
      </c>
      <c r="AC77" s="29">
        <v>0</v>
      </c>
      <c r="AD77" s="29">
        <v>0</v>
      </c>
      <c r="AE77" s="29">
        <v>0</v>
      </c>
      <c r="AF77" s="29">
        <v>0</v>
      </c>
      <c r="AG77" s="29">
        <v>0</v>
      </c>
      <c r="AH77" s="29">
        <v>644.31813647450815</v>
      </c>
      <c r="AI77" s="29">
        <v>1488.9212131572401</v>
      </c>
      <c r="AJ77" s="29">
        <v>0</v>
      </c>
      <c r="AK77" s="29">
        <v>1882.6053532289247</v>
      </c>
      <c r="AL77" s="29">
        <v>4015.8447028606729</v>
      </c>
      <c r="AM77" s="29">
        <v>1461.3824553549973</v>
      </c>
      <c r="AN77" s="29">
        <v>347.08416037226038</v>
      </c>
      <c r="AO77" s="29">
        <v>0</v>
      </c>
      <c r="AP77" s="29">
        <v>0</v>
      </c>
      <c r="AQ77" s="29">
        <v>1808.4666157272577</v>
      </c>
      <c r="AR77" s="29">
        <v>644.31813647450815</v>
      </c>
      <c r="AS77" s="33">
        <v>2.8067914177033382</v>
      </c>
      <c r="AT77" s="29">
        <v>1461.3824553549973</v>
      </c>
      <c r="AU77" s="29">
        <v>410.84426688696317</v>
      </c>
      <c r="AV77" s="29">
        <v>0</v>
      </c>
      <c r="AW77" s="29">
        <v>0</v>
      </c>
      <c r="AX77" s="29">
        <v>1872.2267222419605</v>
      </c>
      <c r="AY77" s="29">
        <v>1488.9212131572401</v>
      </c>
      <c r="AZ77" s="33">
        <v>1.2574384095662963</v>
      </c>
      <c r="BA77" s="29">
        <v>1461.3824553549973</v>
      </c>
      <c r="BB77" s="29">
        <v>757.92842725922355</v>
      </c>
      <c r="BC77" s="29">
        <v>0</v>
      </c>
      <c r="BD77" s="29">
        <v>0</v>
      </c>
      <c r="BE77" s="29">
        <v>2219.3108826142206</v>
      </c>
      <c r="BF77" s="29">
        <v>2133.2393496317482</v>
      </c>
      <c r="BG77" s="29">
        <v>35.991027105499121</v>
      </c>
      <c r="BH77" s="33">
        <v>1.0403478086025981</v>
      </c>
      <c r="BI77" s="29">
        <v>16.861402856028079</v>
      </c>
      <c r="BJ77" s="29">
        <v>38.964137395383638</v>
      </c>
      <c r="BK77" s="29">
        <v>0</v>
      </c>
      <c r="BL77" s="29">
        <v>49.266605241623274</v>
      </c>
      <c r="BM77" s="29">
        <v>105.09214549303499</v>
      </c>
      <c r="BN77" s="29">
        <v>1461.3824553549973</v>
      </c>
      <c r="BO77" s="29">
        <v>0</v>
      </c>
      <c r="BP77" s="29">
        <v>757.92842725922355</v>
      </c>
      <c r="BQ77" s="29">
        <v>0</v>
      </c>
      <c r="BR77" s="29">
        <v>0</v>
      </c>
      <c r="BS77" s="29">
        <v>0</v>
      </c>
      <c r="BT77" s="29">
        <v>0</v>
      </c>
      <c r="BU77" s="29">
        <v>0</v>
      </c>
      <c r="BV77" s="29">
        <v>564.47242831536028</v>
      </c>
      <c r="BW77" s="29">
        <v>0</v>
      </c>
      <c r="BX77" s="29">
        <v>4015.8447028606729</v>
      </c>
      <c r="BY77" s="29"/>
      <c r="BZ77" s="29">
        <v>0</v>
      </c>
      <c r="CA77" s="29">
        <v>0</v>
      </c>
      <c r="CB77" s="29">
        <v>2783.7833109295807</v>
      </c>
      <c r="CC77" s="29">
        <v>4015.8447028606729</v>
      </c>
      <c r="CD77" s="109">
        <v>0.69319994096050641</v>
      </c>
      <c r="CE77" s="29">
        <v>70.485741760549899</v>
      </c>
      <c r="CF77" s="29">
        <v>26.711953434351461</v>
      </c>
      <c r="CG77" s="29">
        <v>0</v>
      </c>
      <c r="CH77" s="29">
        <v>26.711953434351461</v>
      </c>
      <c r="CI77" s="29">
        <v>1.3355814407120625</v>
      </c>
      <c r="CJ77" s="29">
        <v>0</v>
      </c>
      <c r="CK77" s="29">
        <v>1.3355814407120625</v>
      </c>
      <c r="CL77" s="29"/>
      <c r="CM77" s="29">
        <v>0</v>
      </c>
      <c r="CN77" s="29"/>
      <c r="CO77" s="29">
        <v>0</v>
      </c>
      <c r="CP77" s="29">
        <v>0</v>
      </c>
      <c r="CQ77" s="29">
        <v>0</v>
      </c>
      <c r="CR77" s="29">
        <v>0</v>
      </c>
      <c r="CS77" s="29">
        <v>0</v>
      </c>
      <c r="CT77" s="29">
        <v>0</v>
      </c>
      <c r="CU77" s="29">
        <v>0</v>
      </c>
      <c r="CV77" s="29">
        <v>9999</v>
      </c>
      <c r="CW77" s="33">
        <v>9999</v>
      </c>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row>
    <row r="78" spans="1:131">
      <c r="A78" s="7" t="s">
        <v>490</v>
      </c>
      <c r="B78" s="7" t="s">
        <v>386</v>
      </c>
      <c r="C78" s="29">
        <v>15</v>
      </c>
      <c r="D78" s="29">
        <v>2478.0659385484655</v>
      </c>
      <c r="E78" s="29">
        <v>0</v>
      </c>
      <c r="F78" s="29">
        <v>4476.2075916098729</v>
      </c>
      <c r="G78" s="29">
        <v>0</v>
      </c>
      <c r="H78" s="29">
        <v>0</v>
      </c>
      <c r="I78" s="29" t="s">
        <v>385</v>
      </c>
      <c r="J78" s="29"/>
      <c r="K78" s="29"/>
      <c r="L78" s="29">
        <v>2669.2570542283834</v>
      </c>
      <c r="M78" s="29">
        <v>0.93249217108520432</v>
      </c>
      <c r="N78" s="29">
        <v>0.92576186076443701</v>
      </c>
      <c r="O78" s="29">
        <v>0</v>
      </c>
      <c r="P78" s="29">
        <v>0</v>
      </c>
      <c r="Q78" s="29">
        <v>0</v>
      </c>
      <c r="R78" s="29">
        <v>892.61558919584456</v>
      </c>
      <c r="S78" s="29">
        <v>2062.6988605668771</v>
      </c>
      <c r="T78" s="29">
        <v>0</v>
      </c>
      <c r="U78" s="29">
        <v>2608.0949634453959</v>
      </c>
      <c r="V78" s="29" t="s">
        <v>329</v>
      </c>
      <c r="W78" s="29" t="s">
        <v>329</v>
      </c>
      <c r="X78" s="29" t="s">
        <v>329</v>
      </c>
      <c r="Y78" s="29" t="s">
        <v>329</v>
      </c>
      <c r="Z78" s="29">
        <v>0</v>
      </c>
      <c r="AA78" s="29">
        <v>0</v>
      </c>
      <c r="AB78" s="29">
        <v>0</v>
      </c>
      <c r="AC78" s="29">
        <v>0</v>
      </c>
      <c r="AD78" s="29">
        <v>0</v>
      </c>
      <c r="AE78" s="29">
        <v>0</v>
      </c>
      <c r="AF78" s="29">
        <v>0</v>
      </c>
      <c r="AG78" s="29">
        <v>0</v>
      </c>
      <c r="AH78" s="29">
        <v>892.61558919584456</v>
      </c>
      <c r="AI78" s="29">
        <v>2062.6988605668771</v>
      </c>
      <c r="AJ78" s="29">
        <v>0</v>
      </c>
      <c r="AK78" s="29">
        <v>2608.0949634453959</v>
      </c>
      <c r="AL78" s="29">
        <v>5563.4094132081173</v>
      </c>
      <c r="AM78" s="29">
        <v>1387.3227957226256</v>
      </c>
      <c r="AN78" s="29">
        <v>329.49469589855954</v>
      </c>
      <c r="AO78" s="29">
        <v>0</v>
      </c>
      <c r="AP78" s="29">
        <v>0</v>
      </c>
      <c r="AQ78" s="29">
        <v>1716.8174916211851</v>
      </c>
      <c r="AR78" s="29">
        <v>892.61558919584456</v>
      </c>
      <c r="AS78" s="33">
        <v>1.9233559355241177</v>
      </c>
      <c r="AT78" s="29">
        <v>1387.3227957226256</v>
      </c>
      <c r="AU78" s="29">
        <v>390.02357997091025</v>
      </c>
      <c r="AV78" s="29">
        <v>0</v>
      </c>
      <c r="AW78" s="29">
        <v>0</v>
      </c>
      <c r="AX78" s="29">
        <v>1777.3463756935359</v>
      </c>
      <c r="AY78" s="29">
        <v>2062.6988605668771</v>
      </c>
      <c r="AZ78" s="109">
        <v>0.86166061836340002</v>
      </c>
      <c r="BA78" s="29">
        <v>1387.3227957226256</v>
      </c>
      <c r="BB78" s="29">
        <v>719.51827586946979</v>
      </c>
      <c r="BC78" s="29">
        <v>0</v>
      </c>
      <c r="BD78" s="29">
        <v>0</v>
      </c>
      <c r="BE78" s="29">
        <v>2106.8410715920954</v>
      </c>
      <c r="BF78" s="29">
        <v>2955.3144497627218</v>
      </c>
      <c r="BG78" s="29">
        <v>61.63280362695297</v>
      </c>
      <c r="BH78" s="109">
        <v>0.71289912034952863</v>
      </c>
      <c r="BI78" s="29">
        <v>24.606179206160085</v>
      </c>
      <c r="BJ78" s="29">
        <v>56.861137566705487</v>
      </c>
      <c r="BK78" s="29">
        <v>0</v>
      </c>
      <c r="BL78" s="29">
        <v>71.895732982925267</v>
      </c>
      <c r="BM78" s="29">
        <v>153.36304975579083</v>
      </c>
      <c r="BN78" s="29">
        <v>1387.3227957226256</v>
      </c>
      <c r="BO78" s="29">
        <v>0</v>
      </c>
      <c r="BP78" s="29">
        <v>719.51827586946979</v>
      </c>
      <c r="BQ78" s="29">
        <v>0</v>
      </c>
      <c r="BR78" s="29">
        <v>0</v>
      </c>
      <c r="BS78" s="29">
        <v>0</v>
      </c>
      <c r="BT78" s="29">
        <v>0</v>
      </c>
      <c r="BU78" s="29">
        <v>0</v>
      </c>
      <c r="BV78" s="29">
        <v>395.42053964776824</v>
      </c>
      <c r="BW78" s="29">
        <v>0</v>
      </c>
      <c r="BX78" s="29">
        <v>5563.4094132081173</v>
      </c>
      <c r="BY78" s="29"/>
      <c r="BZ78" s="29">
        <v>0</v>
      </c>
      <c r="CA78" s="29">
        <v>0</v>
      </c>
      <c r="CB78" s="29">
        <v>2502.2616112398637</v>
      </c>
      <c r="CC78" s="29">
        <v>5563.4094132081173</v>
      </c>
      <c r="CD78" s="109">
        <v>0.44977125093458559</v>
      </c>
      <c r="CE78" s="29">
        <v>122.62822433868536</v>
      </c>
      <c r="CF78" s="29">
        <v>25.358250184244202</v>
      </c>
      <c r="CG78" s="29">
        <v>0</v>
      </c>
      <c r="CH78" s="29">
        <v>25.358250184244202</v>
      </c>
      <c r="CI78" s="29">
        <v>1.2678971007584821</v>
      </c>
      <c r="CJ78" s="29">
        <v>0</v>
      </c>
      <c r="CK78" s="29">
        <v>1.2678971007584821</v>
      </c>
      <c r="CL78" s="29"/>
      <c r="CM78" s="29">
        <v>0</v>
      </c>
      <c r="CN78" s="29"/>
      <c r="CO78" s="29">
        <v>0</v>
      </c>
      <c r="CP78" s="29">
        <v>0</v>
      </c>
      <c r="CQ78" s="29">
        <v>0</v>
      </c>
      <c r="CR78" s="29">
        <v>0</v>
      </c>
      <c r="CS78" s="29">
        <v>0</v>
      </c>
      <c r="CT78" s="29">
        <v>0</v>
      </c>
      <c r="CU78" s="29">
        <v>0</v>
      </c>
      <c r="CV78" s="29">
        <v>9999</v>
      </c>
      <c r="CW78" s="33">
        <v>9999</v>
      </c>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row>
    <row r="79" spans="1:131">
      <c r="A79" s="7" t="s">
        <v>491</v>
      </c>
      <c r="B79" s="7" t="s">
        <v>386</v>
      </c>
      <c r="C79" s="29">
        <v>15</v>
      </c>
      <c r="D79" s="29">
        <v>2633.4037799209864</v>
      </c>
      <c r="E79" s="29">
        <v>0</v>
      </c>
      <c r="F79" s="29">
        <v>3514.1785459794187</v>
      </c>
      <c r="G79" s="29">
        <v>0</v>
      </c>
      <c r="H79" s="29">
        <v>0</v>
      </c>
      <c r="I79" s="29" t="s">
        <v>385</v>
      </c>
      <c r="J79" s="29"/>
      <c r="K79" s="29"/>
      <c r="L79" s="29">
        <v>2836.5797321370615</v>
      </c>
      <c r="M79" s="29">
        <v>0.99094554744612473</v>
      </c>
      <c r="N79" s="29">
        <v>0.9837933468678256</v>
      </c>
      <c r="O79" s="29">
        <v>0</v>
      </c>
      <c r="P79" s="29">
        <v>0</v>
      </c>
      <c r="Q79" s="29">
        <v>0</v>
      </c>
      <c r="R79" s="29">
        <v>700.77414623003619</v>
      </c>
      <c r="S79" s="29">
        <v>1619.3824647916547</v>
      </c>
      <c r="T79" s="29">
        <v>0</v>
      </c>
      <c r="U79" s="29">
        <v>2047.5617314076517</v>
      </c>
      <c r="V79" s="29" t="s">
        <v>329</v>
      </c>
      <c r="W79" s="29" t="s">
        <v>329</v>
      </c>
      <c r="X79" s="29" t="s">
        <v>329</v>
      </c>
      <c r="Y79" s="29" t="s">
        <v>329</v>
      </c>
      <c r="Z79" s="29">
        <v>0</v>
      </c>
      <c r="AA79" s="29">
        <v>0</v>
      </c>
      <c r="AB79" s="29">
        <v>0</v>
      </c>
      <c r="AC79" s="29">
        <v>0</v>
      </c>
      <c r="AD79" s="29">
        <v>0</v>
      </c>
      <c r="AE79" s="29">
        <v>0</v>
      </c>
      <c r="AF79" s="29">
        <v>0</v>
      </c>
      <c r="AG79" s="29">
        <v>0</v>
      </c>
      <c r="AH79" s="29">
        <v>700.77414623003619</v>
      </c>
      <c r="AI79" s="29">
        <v>1619.3824647916547</v>
      </c>
      <c r="AJ79" s="29">
        <v>0</v>
      </c>
      <c r="AK79" s="29">
        <v>2047.5617314076517</v>
      </c>
      <c r="AL79" s="29">
        <v>4367.7183424293426</v>
      </c>
      <c r="AM79" s="29">
        <v>1474.2872808164664</v>
      </c>
      <c r="AN79" s="29">
        <v>350.1491078770228</v>
      </c>
      <c r="AO79" s="29">
        <v>0</v>
      </c>
      <c r="AP79" s="29">
        <v>0</v>
      </c>
      <c r="AQ79" s="29">
        <v>1824.4363886934891</v>
      </c>
      <c r="AR79" s="29">
        <v>700.77414623003619</v>
      </c>
      <c r="AS79" s="33">
        <v>2.6034584730450363</v>
      </c>
      <c r="AT79" s="29">
        <v>1474.2872808164664</v>
      </c>
      <c r="AU79" s="29">
        <v>414.47225183819404</v>
      </c>
      <c r="AV79" s="29">
        <v>0</v>
      </c>
      <c r="AW79" s="29">
        <v>0</v>
      </c>
      <c r="AX79" s="29">
        <v>1888.7595326546605</v>
      </c>
      <c r="AY79" s="29">
        <v>1619.3824647916547</v>
      </c>
      <c r="AZ79" s="33">
        <v>1.1663455506773461</v>
      </c>
      <c r="BA79" s="29">
        <v>1474.2872808164664</v>
      </c>
      <c r="BB79" s="29">
        <v>764.62135971521684</v>
      </c>
      <c r="BC79" s="29">
        <v>0</v>
      </c>
      <c r="BD79" s="29">
        <v>0</v>
      </c>
      <c r="BE79" s="29">
        <v>2238.9086405316834</v>
      </c>
      <c r="BF79" s="29">
        <v>2320.1566110216909</v>
      </c>
      <c r="BG79" s="29">
        <v>40.351062652055674</v>
      </c>
      <c r="BH79" s="109">
        <v>0.96498168696714415</v>
      </c>
      <c r="BI79" s="29">
        <v>18.178296798943993</v>
      </c>
      <c r="BJ79" s="29">
        <v>42.00727899902428</v>
      </c>
      <c r="BK79" s="29">
        <v>0</v>
      </c>
      <c r="BL79" s="29">
        <v>53.114380814314046</v>
      </c>
      <c r="BM79" s="29">
        <v>113.29995661228233</v>
      </c>
      <c r="BN79" s="29">
        <v>1474.2872808164664</v>
      </c>
      <c r="BO79" s="29">
        <v>0</v>
      </c>
      <c r="BP79" s="29">
        <v>764.62135971521684</v>
      </c>
      <c r="BQ79" s="29">
        <v>0</v>
      </c>
      <c r="BR79" s="29">
        <v>0</v>
      </c>
      <c r="BS79" s="29">
        <v>0</v>
      </c>
      <c r="BT79" s="29">
        <v>0</v>
      </c>
      <c r="BU79" s="29">
        <v>0</v>
      </c>
      <c r="BV79" s="29">
        <v>417.34005649380475</v>
      </c>
      <c r="BW79" s="29">
        <v>0</v>
      </c>
      <c r="BX79" s="29">
        <v>4367.7183424293426</v>
      </c>
      <c r="BY79" s="29"/>
      <c r="BZ79" s="29">
        <v>0</v>
      </c>
      <c r="CA79" s="29">
        <v>0</v>
      </c>
      <c r="CB79" s="29">
        <v>2656.2486970254877</v>
      </c>
      <c r="CC79" s="29">
        <v>4367.7183424293426</v>
      </c>
      <c r="CD79" s="109">
        <v>0.60815475925310503</v>
      </c>
      <c r="CE79" s="29">
        <v>82.639514094052288</v>
      </c>
      <c r="CF79" s="29">
        <v>26.947834941989697</v>
      </c>
      <c r="CG79" s="29">
        <v>0</v>
      </c>
      <c r="CH79" s="29">
        <v>26.947834941989697</v>
      </c>
      <c r="CI79" s="29">
        <v>1.3473753727651041</v>
      </c>
      <c r="CJ79" s="29">
        <v>0</v>
      </c>
      <c r="CK79" s="29">
        <v>1.3473753727651041</v>
      </c>
      <c r="CL79" s="29"/>
      <c r="CM79" s="29">
        <v>0</v>
      </c>
      <c r="CN79" s="29"/>
      <c r="CO79" s="29">
        <v>0</v>
      </c>
      <c r="CP79" s="29">
        <v>0</v>
      </c>
      <c r="CQ79" s="29">
        <v>0</v>
      </c>
      <c r="CR79" s="29">
        <v>0</v>
      </c>
      <c r="CS79" s="29">
        <v>0</v>
      </c>
      <c r="CT79" s="29">
        <v>0</v>
      </c>
      <c r="CU79" s="29">
        <v>0</v>
      </c>
      <c r="CV79" s="29">
        <v>9999</v>
      </c>
      <c r="CW79" s="33">
        <v>9999</v>
      </c>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row>
    <row r="80" spans="1:131">
      <c r="A80" s="7" t="s">
        <v>492</v>
      </c>
      <c r="B80" s="7" t="s">
        <v>386</v>
      </c>
      <c r="C80" s="29">
        <v>15</v>
      </c>
      <c r="D80" s="29">
        <v>115.19308595364367</v>
      </c>
      <c r="E80" s="29">
        <v>0</v>
      </c>
      <c r="F80" s="29">
        <v>89.471516996608102</v>
      </c>
      <c r="G80" s="29">
        <v>0</v>
      </c>
      <c r="H80" s="29">
        <v>0</v>
      </c>
      <c r="I80" s="29" t="s">
        <v>385</v>
      </c>
      <c r="J80" s="29"/>
      <c r="K80" s="29"/>
      <c r="L80" s="29">
        <v>124.08061968690275</v>
      </c>
      <c r="M80" s="29">
        <v>4.3346970370706665E-2</v>
      </c>
      <c r="N80" s="29">
        <v>4.3034111377241398E-2</v>
      </c>
      <c r="O80" s="29">
        <v>0</v>
      </c>
      <c r="P80" s="29">
        <v>0</v>
      </c>
      <c r="Q80" s="29">
        <v>0</v>
      </c>
      <c r="R80" s="29">
        <v>17.841815694577807</v>
      </c>
      <c r="S80" s="29">
        <v>41.2297223453211</v>
      </c>
      <c r="T80" s="29">
        <v>0</v>
      </c>
      <c r="U80" s="29">
        <v>52.131231198494987</v>
      </c>
      <c r="V80" s="29" t="s">
        <v>329</v>
      </c>
      <c r="W80" s="29" t="s">
        <v>329</v>
      </c>
      <c r="X80" s="29" t="s">
        <v>329</v>
      </c>
      <c r="Y80" s="29" t="s">
        <v>329</v>
      </c>
      <c r="Z80" s="29">
        <v>0</v>
      </c>
      <c r="AA80" s="29">
        <v>0</v>
      </c>
      <c r="AB80" s="29">
        <v>0</v>
      </c>
      <c r="AC80" s="29">
        <v>0</v>
      </c>
      <c r="AD80" s="29">
        <v>0</v>
      </c>
      <c r="AE80" s="29">
        <v>0</v>
      </c>
      <c r="AF80" s="29">
        <v>0</v>
      </c>
      <c r="AG80" s="29">
        <v>0</v>
      </c>
      <c r="AH80" s="29">
        <v>17.841815694577807</v>
      </c>
      <c r="AI80" s="29">
        <v>41.2297223453211</v>
      </c>
      <c r="AJ80" s="29">
        <v>0</v>
      </c>
      <c r="AK80" s="29">
        <v>52.131231198494987</v>
      </c>
      <c r="AL80" s="29">
        <v>111.2027692383939</v>
      </c>
      <c r="AM80" s="29">
        <v>64.489806976942248</v>
      </c>
      <c r="AN80" s="29">
        <v>15.316586308492258</v>
      </c>
      <c r="AO80" s="29">
        <v>0</v>
      </c>
      <c r="AP80" s="29">
        <v>0</v>
      </c>
      <c r="AQ80" s="29">
        <v>79.80639328543451</v>
      </c>
      <c r="AR80" s="29">
        <v>17.841815694577807</v>
      </c>
      <c r="AS80" s="33">
        <v>4.4729972919565562</v>
      </c>
      <c r="AT80" s="29">
        <v>64.489806976942248</v>
      </c>
      <c r="AU80" s="29">
        <v>18.130276145054321</v>
      </c>
      <c r="AV80" s="29">
        <v>0</v>
      </c>
      <c r="AW80" s="29">
        <v>0</v>
      </c>
      <c r="AX80" s="29">
        <v>82.620083121996572</v>
      </c>
      <c r="AY80" s="29">
        <v>41.2297223453211</v>
      </c>
      <c r="AZ80" s="33">
        <v>2.0038961802849151</v>
      </c>
      <c r="BA80" s="29">
        <v>64.489806976942248</v>
      </c>
      <c r="BB80" s="29">
        <v>33.446862453546579</v>
      </c>
      <c r="BC80" s="29">
        <v>0</v>
      </c>
      <c r="BD80" s="29">
        <v>0</v>
      </c>
      <c r="BE80" s="29">
        <v>97.936669430488834</v>
      </c>
      <c r="BF80" s="29">
        <v>59.071538039898911</v>
      </c>
      <c r="BG80" s="29">
        <v>15.195833853867441</v>
      </c>
      <c r="BH80" s="33">
        <v>1.6579332903832484</v>
      </c>
      <c r="BI80" s="29">
        <v>10.580476074027947</v>
      </c>
      <c r="BJ80" s="29">
        <v>24.449870925752094</v>
      </c>
      <c r="BK80" s="29">
        <v>0</v>
      </c>
      <c r="BL80" s="29">
        <v>30.914636371505654</v>
      </c>
      <c r="BM80" s="29">
        <v>65.944983371285701</v>
      </c>
      <c r="BN80" s="29">
        <v>64.489806976942248</v>
      </c>
      <c r="BO80" s="29">
        <v>0</v>
      </c>
      <c r="BP80" s="29">
        <v>33.446862453546579</v>
      </c>
      <c r="BQ80" s="29">
        <v>0</v>
      </c>
      <c r="BR80" s="29">
        <v>0</v>
      </c>
      <c r="BS80" s="29">
        <v>0</v>
      </c>
      <c r="BT80" s="29">
        <v>0</v>
      </c>
      <c r="BU80" s="29">
        <v>0</v>
      </c>
      <c r="BV80" s="29">
        <v>22.841441765412654</v>
      </c>
      <c r="BW80" s="29">
        <v>0</v>
      </c>
      <c r="BX80" s="29">
        <v>111.2027692383939</v>
      </c>
      <c r="BY80" s="29"/>
      <c r="BZ80" s="29">
        <v>0</v>
      </c>
      <c r="CA80" s="29">
        <v>0</v>
      </c>
      <c r="CB80" s="29">
        <v>120.77811119590149</v>
      </c>
      <c r="CC80" s="29">
        <v>111.2027692383939</v>
      </c>
      <c r="CD80" s="33">
        <v>1.0861070459223925</v>
      </c>
      <c r="CE80" s="29">
        <v>32.565137607196988</v>
      </c>
      <c r="CF80" s="29">
        <v>1.1787802122887348</v>
      </c>
      <c r="CG80" s="29">
        <v>0</v>
      </c>
      <c r="CH80" s="29">
        <v>1.1787802122887348</v>
      </c>
      <c r="CI80" s="29">
        <v>5.8938294351278807E-2</v>
      </c>
      <c r="CJ80" s="29">
        <v>0</v>
      </c>
      <c r="CK80" s="29">
        <v>5.8938294351278807E-2</v>
      </c>
      <c r="CL80" s="29"/>
      <c r="CM80" s="29">
        <v>0</v>
      </c>
      <c r="CN80" s="29"/>
      <c r="CO80" s="29">
        <v>0</v>
      </c>
      <c r="CP80" s="29">
        <v>0</v>
      </c>
      <c r="CQ80" s="29">
        <v>0</v>
      </c>
      <c r="CR80" s="29">
        <v>0</v>
      </c>
      <c r="CS80" s="29">
        <v>0</v>
      </c>
      <c r="CT80" s="29">
        <v>0</v>
      </c>
      <c r="CU80" s="29">
        <v>0</v>
      </c>
      <c r="CV80" s="29">
        <v>9999</v>
      </c>
      <c r="CW80" s="33">
        <v>9999</v>
      </c>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row>
    <row r="81" spans="1:131">
      <c r="A81" s="7" t="s">
        <v>493</v>
      </c>
      <c r="B81" s="7" t="s">
        <v>386</v>
      </c>
      <c r="C81" s="29">
        <v>15</v>
      </c>
      <c r="D81" s="29">
        <v>80.622184985288499</v>
      </c>
      <c r="E81" s="29">
        <v>0</v>
      </c>
      <c r="F81" s="29">
        <v>89.471516996608102</v>
      </c>
      <c r="G81" s="29">
        <v>0</v>
      </c>
      <c r="H81" s="29">
        <v>0</v>
      </c>
      <c r="I81" s="29" t="s">
        <v>385</v>
      </c>
      <c r="J81" s="29"/>
      <c r="K81" s="29"/>
      <c r="L81" s="29">
        <v>86.842457519650097</v>
      </c>
      <c r="M81" s="29">
        <v>3.0337996719571263E-2</v>
      </c>
      <c r="N81" s="29">
        <v>3.0119030664129198E-2</v>
      </c>
      <c r="O81" s="29">
        <v>0</v>
      </c>
      <c r="P81" s="29">
        <v>0</v>
      </c>
      <c r="Q81" s="29">
        <v>0</v>
      </c>
      <c r="R81" s="29">
        <v>17.841815694577807</v>
      </c>
      <c r="S81" s="29">
        <v>41.2297223453211</v>
      </c>
      <c r="T81" s="29">
        <v>0</v>
      </c>
      <c r="U81" s="29">
        <v>52.131231198494987</v>
      </c>
      <c r="V81" s="29" t="s">
        <v>329</v>
      </c>
      <c r="W81" s="29" t="s">
        <v>329</v>
      </c>
      <c r="X81" s="29" t="s">
        <v>329</v>
      </c>
      <c r="Y81" s="29" t="s">
        <v>329</v>
      </c>
      <c r="Z81" s="29">
        <v>0</v>
      </c>
      <c r="AA81" s="29">
        <v>0</v>
      </c>
      <c r="AB81" s="29">
        <v>0</v>
      </c>
      <c r="AC81" s="29">
        <v>0</v>
      </c>
      <c r="AD81" s="29">
        <v>0</v>
      </c>
      <c r="AE81" s="29">
        <v>0</v>
      </c>
      <c r="AF81" s="29">
        <v>0</v>
      </c>
      <c r="AG81" s="29">
        <v>0</v>
      </c>
      <c r="AH81" s="29">
        <v>17.841815694577807</v>
      </c>
      <c r="AI81" s="29">
        <v>41.2297223453211</v>
      </c>
      <c r="AJ81" s="29">
        <v>0</v>
      </c>
      <c r="AK81" s="29">
        <v>52.131231198494987</v>
      </c>
      <c r="AL81" s="29">
        <v>111.2027692383939</v>
      </c>
      <c r="AM81" s="29">
        <v>45.135600845461425</v>
      </c>
      <c r="AN81" s="29">
        <v>10.719885177859846</v>
      </c>
      <c r="AO81" s="29">
        <v>0</v>
      </c>
      <c r="AP81" s="29">
        <v>0</v>
      </c>
      <c r="AQ81" s="29">
        <v>55.855486023321269</v>
      </c>
      <c r="AR81" s="29">
        <v>17.841815694577807</v>
      </c>
      <c r="AS81" s="33">
        <v>3.1305942724369671</v>
      </c>
      <c r="AT81" s="29">
        <v>45.135600845461425</v>
      </c>
      <c r="AU81" s="29">
        <v>12.689151133507742</v>
      </c>
      <c r="AV81" s="29">
        <v>0</v>
      </c>
      <c r="AW81" s="29">
        <v>0</v>
      </c>
      <c r="AX81" s="29">
        <v>57.824751978969168</v>
      </c>
      <c r="AY81" s="29">
        <v>41.2297223453211</v>
      </c>
      <c r="AZ81" s="33">
        <v>1.4025016102377739</v>
      </c>
      <c r="BA81" s="29">
        <v>45.135600845461425</v>
      </c>
      <c r="BB81" s="29">
        <v>23.409036311367586</v>
      </c>
      <c r="BC81" s="29">
        <v>0</v>
      </c>
      <c r="BD81" s="29">
        <v>0</v>
      </c>
      <c r="BE81" s="29">
        <v>68.544637156829012</v>
      </c>
      <c r="BF81" s="29">
        <v>59.071538039898911</v>
      </c>
      <c r="BG81" s="29">
        <v>30.216893593658625</v>
      </c>
      <c r="BH81" s="33">
        <v>1.1603665560651502</v>
      </c>
      <c r="BI81" s="29">
        <v>15.117398394106678</v>
      </c>
      <c r="BJ81" s="29">
        <v>34.934008345464548</v>
      </c>
      <c r="BK81" s="29">
        <v>0</v>
      </c>
      <c r="BL81" s="29">
        <v>44.170873878180181</v>
      </c>
      <c r="BM81" s="29">
        <v>94.222280617751409</v>
      </c>
      <c r="BN81" s="29">
        <v>45.135600845461425</v>
      </c>
      <c r="BO81" s="29">
        <v>0</v>
      </c>
      <c r="BP81" s="29">
        <v>23.409036311367586</v>
      </c>
      <c r="BQ81" s="29">
        <v>0</v>
      </c>
      <c r="BR81" s="29">
        <v>0</v>
      </c>
      <c r="BS81" s="29">
        <v>0</v>
      </c>
      <c r="BT81" s="29">
        <v>0</v>
      </c>
      <c r="BU81" s="29">
        <v>0</v>
      </c>
      <c r="BV81" s="29">
        <v>12.915385607085229</v>
      </c>
      <c r="BW81" s="29">
        <v>0</v>
      </c>
      <c r="BX81" s="29">
        <v>111.2027692383939</v>
      </c>
      <c r="BY81" s="29"/>
      <c r="BZ81" s="29">
        <v>0</v>
      </c>
      <c r="CA81" s="29">
        <v>0</v>
      </c>
      <c r="CB81" s="29">
        <v>81.460022763914239</v>
      </c>
      <c r="CC81" s="29">
        <v>111.2027692383939</v>
      </c>
      <c r="CD81" s="109">
        <v>0.73253591904066839</v>
      </c>
      <c r="CE81" s="29">
        <v>63.444541010018838</v>
      </c>
      <c r="CF81" s="29">
        <v>0.82501337250730988</v>
      </c>
      <c r="CG81" s="29">
        <v>0</v>
      </c>
      <c r="CH81" s="29">
        <v>0.82501337250730988</v>
      </c>
      <c r="CI81" s="29">
        <v>4.12501673218338E-2</v>
      </c>
      <c r="CJ81" s="29">
        <v>0</v>
      </c>
      <c r="CK81" s="29">
        <v>4.12501673218338E-2</v>
      </c>
      <c r="CL81" s="29"/>
      <c r="CM81" s="29">
        <v>0</v>
      </c>
      <c r="CN81" s="29"/>
      <c r="CO81" s="29">
        <v>0</v>
      </c>
      <c r="CP81" s="29">
        <v>0</v>
      </c>
      <c r="CQ81" s="29">
        <v>0</v>
      </c>
      <c r="CR81" s="29">
        <v>0</v>
      </c>
      <c r="CS81" s="29">
        <v>0</v>
      </c>
      <c r="CT81" s="29">
        <v>0</v>
      </c>
      <c r="CU81" s="29">
        <v>0</v>
      </c>
      <c r="CV81" s="29">
        <v>9999</v>
      </c>
      <c r="CW81" s="33">
        <v>9999</v>
      </c>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row>
    <row r="82" spans="1:131">
      <c r="A82" s="7" t="s">
        <v>494</v>
      </c>
      <c r="B82" s="7" t="s">
        <v>386</v>
      </c>
      <c r="C82" s="29">
        <v>15</v>
      </c>
      <c r="D82" s="29">
        <v>459.77548885727816</v>
      </c>
      <c r="E82" s="29">
        <v>0</v>
      </c>
      <c r="F82" s="29">
        <v>5356.8461304836173</v>
      </c>
      <c r="G82" s="29">
        <v>0</v>
      </c>
      <c r="H82" s="29">
        <v>0</v>
      </c>
      <c r="I82" s="29" t="s">
        <v>385</v>
      </c>
      <c r="J82" s="29"/>
      <c r="K82" s="29"/>
      <c r="L82" s="29">
        <v>495.24871308003361</v>
      </c>
      <c r="M82" s="29">
        <v>0.17301276658821213</v>
      </c>
      <c r="N82" s="29">
        <v>0.17176403802544249</v>
      </c>
      <c r="O82" s="29">
        <v>0</v>
      </c>
      <c r="P82" s="29">
        <v>0</v>
      </c>
      <c r="Q82" s="29">
        <v>0</v>
      </c>
      <c r="R82" s="29">
        <v>1068.2266778591036</v>
      </c>
      <c r="S82" s="29">
        <v>2468.5093761718626</v>
      </c>
      <c r="T82" s="29">
        <v>0</v>
      </c>
      <c r="U82" s="29">
        <v>3121.2054237729253</v>
      </c>
      <c r="V82" s="29" t="s">
        <v>329</v>
      </c>
      <c r="W82" s="29" t="s">
        <v>329</v>
      </c>
      <c r="X82" s="29" t="s">
        <v>329</v>
      </c>
      <c r="Y82" s="29" t="s">
        <v>329</v>
      </c>
      <c r="Z82" s="29">
        <v>0</v>
      </c>
      <c r="AA82" s="29">
        <v>0</v>
      </c>
      <c r="AB82" s="29">
        <v>0</v>
      </c>
      <c r="AC82" s="29">
        <v>0</v>
      </c>
      <c r="AD82" s="29">
        <v>0</v>
      </c>
      <c r="AE82" s="29">
        <v>0</v>
      </c>
      <c r="AF82" s="29">
        <v>0</v>
      </c>
      <c r="AG82" s="29">
        <v>0</v>
      </c>
      <c r="AH82" s="29">
        <v>1068.2266778591036</v>
      </c>
      <c r="AI82" s="29">
        <v>2468.5093761718626</v>
      </c>
      <c r="AJ82" s="29">
        <v>0</v>
      </c>
      <c r="AK82" s="29">
        <v>3121.2054237729253</v>
      </c>
      <c r="AL82" s="29">
        <v>6657.9414778038918</v>
      </c>
      <c r="AM82" s="29">
        <v>257.40114767883989</v>
      </c>
      <c r="AN82" s="29">
        <v>61.133798954267618</v>
      </c>
      <c r="AO82" s="29">
        <v>0</v>
      </c>
      <c r="AP82" s="29">
        <v>0</v>
      </c>
      <c r="AQ82" s="29">
        <v>318.5349466331075</v>
      </c>
      <c r="AR82" s="29">
        <v>1068.2266778591036</v>
      </c>
      <c r="AS82" s="109">
        <v>0.29819040587106688</v>
      </c>
      <c r="AT82" s="29">
        <v>257.40114767883989</v>
      </c>
      <c r="AU82" s="29">
        <v>72.364209263951267</v>
      </c>
      <c r="AV82" s="29">
        <v>0</v>
      </c>
      <c r="AW82" s="29">
        <v>0</v>
      </c>
      <c r="AX82" s="29">
        <v>329.76535694279119</v>
      </c>
      <c r="AY82" s="29">
        <v>2468.5093761718626</v>
      </c>
      <c r="AZ82" s="109">
        <v>0.13358886141003348</v>
      </c>
      <c r="BA82" s="29">
        <v>257.40114767883989</v>
      </c>
      <c r="BB82" s="29">
        <v>133.4980082182189</v>
      </c>
      <c r="BC82" s="29">
        <v>0</v>
      </c>
      <c r="BD82" s="29">
        <v>0</v>
      </c>
      <c r="BE82" s="29">
        <v>390.89915589705879</v>
      </c>
      <c r="BF82" s="29">
        <v>3536.7360540309664</v>
      </c>
      <c r="BG82" s="29">
        <v>505.63727998101103</v>
      </c>
      <c r="BH82" s="109">
        <v>0.11052539684196525</v>
      </c>
      <c r="BI82" s="29">
        <v>158.71215134668483</v>
      </c>
      <c r="BJ82" s="29">
        <v>366.75964178023872</v>
      </c>
      <c r="BK82" s="29">
        <v>0</v>
      </c>
      <c r="BL82" s="29">
        <v>463.73418476568008</v>
      </c>
      <c r="BM82" s="29">
        <v>989.20597789260364</v>
      </c>
      <c r="BN82" s="29">
        <v>257.40114767883989</v>
      </c>
      <c r="BO82" s="29">
        <v>0</v>
      </c>
      <c r="BP82" s="29">
        <v>133.4980082182189</v>
      </c>
      <c r="BQ82" s="29">
        <v>0</v>
      </c>
      <c r="BR82" s="29">
        <v>0</v>
      </c>
      <c r="BS82" s="29">
        <v>0</v>
      </c>
      <c r="BT82" s="29">
        <v>0</v>
      </c>
      <c r="BU82" s="29">
        <v>0</v>
      </c>
      <c r="BV82" s="29">
        <v>87.934812241673939</v>
      </c>
      <c r="BW82" s="29">
        <v>0</v>
      </c>
      <c r="BX82" s="29">
        <v>6657.9414778038918</v>
      </c>
      <c r="BY82" s="29"/>
      <c r="BZ82" s="29">
        <v>0</v>
      </c>
      <c r="CA82" s="29">
        <v>0</v>
      </c>
      <c r="CB82" s="29">
        <v>478.83396813873276</v>
      </c>
      <c r="CC82" s="29">
        <v>6657.9414778038918</v>
      </c>
      <c r="CD82" s="109">
        <v>7.1919221539429201E-2</v>
      </c>
      <c r="CE82" s="29">
        <v>956.30651933911759</v>
      </c>
      <c r="CF82" s="29">
        <v>4.704919951345353</v>
      </c>
      <c r="CG82" s="29">
        <v>0</v>
      </c>
      <c r="CH82" s="29">
        <v>4.704919951345353</v>
      </c>
      <c r="CI82" s="29">
        <v>0.23524313871301597</v>
      </c>
      <c r="CJ82" s="29">
        <v>0</v>
      </c>
      <c r="CK82" s="29">
        <v>0.23524313871301597</v>
      </c>
      <c r="CL82" s="29"/>
      <c r="CM82" s="29">
        <v>0</v>
      </c>
      <c r="CN82" s="29"/>
      <c r="CO82" s="29">
        <v>0</v>
      </c>
      <c r="CP82" s="29">
        <v>0</v>
      </c>
      <c r="CQ82" s="29">
        <v>0</v>
      </c>
      <c r="CR82" s="29">
        <v>0</v>
      </c>
      <c r="CS82" s="29">
        <v>0</v>
      </c>
      <c r="CT82" s="29">
        <v>0</v>
      </c>
      <c r="CU82" s="29">
        <v>0</v>
      </c>
      <c r="CV82" s="29">
        <v>9999</v>
      </c>
      <c r="CW82" s="33">
        <v>9999</v>
      </c>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row>
    <row r="83" spans="1:131">
      <c r="A83" s="7" t="s">
        <v>495</v>
      </c>
      <c r="B83" s="7" t="s">
        <v>386</v>
      </c>
      <c r="C83" s="29">
        <v>15</v>
      </c>
      <c r="D83" s="29">
        <v>459.77548885727822</v>
      </c>
      <c r="E83" s="29">
        <v>0</v>
      </c>
      <c r="F83" s="29">
        <v>5356.8461304836183</v>
      </c>
      <c r="G83" s="29">
        <v>0</v>
      </c>
      <c r="H83" s="29">
        <v>0</v>
      </c>
      <c r="I83" s="29" t="s">
        <v>385</v>
      </c>
      <c r="J83" s="29"/>
      <c r="K83" s="29"/>
      <c r="L83" s="29">
        <v>495.24871308003367</v>
      </c>
      <c r="M83" s="29">
        <v>0.17301276658821213</v>
      </c>
      <c r="N83" s="29">
        <v>0.17176403802544252</v>
      </c>
      <c r="O83" s="29">
        <v>0</v>
      </c>
      <c r="P83" s="29">
        <v>0</v>
      </c>
      <c r="Q83" s="29">
        <v>0</v>
      </c>
      <c r="R83" s="29">
        <v>1068.2266778591038</v>
      </c>
      <c r="S83" s="29">
        <v>2468.5093761718631</v>
      </c>
      <c r="T83" s="29">
        <v>0</v>
      </c>
      <c r="U83" s="29">
        <v>3121.2054237729262</v>
      </c>
      <c r="V83" s="29" t="s">
        <v>329</v>
      </c>
      <c r="W83" s="29" t="s">
        <v>329</v>
      </c>
      <c r="X83" s="29" t="s">
        <v>329</v>
      </c>
      <c r="Y83" s="29" t="s">
        <v>329</v>
      </c>
      <c r="Z83" s="29">
        <v>0</v>
      </c>
      <c r="AA83" s="29">
        <v>0</v>
      </c>
      <c r="AB83" s="29">
        <v>0</v>
      </c>
      <c r="AC83" s="29">
        <v>0</v>
      </c>
      <c r="AD83" s="29">
        <v>0</v>
      </c>
      <c r="AE83" s="29">
        <v>0</v>
      </c>
      <c r="AF83" s="29">
        <v>0</v>
      </c>
      <c r="AG83" s="29">
        <v>0</v>
      </c>
      <c r="AH83" s="29">
        <v>1068.2266778591038</v>
      </c>
      <c r="AI83" s="29">
        <v>2468.5093761718631</v>
      </c>
      <c r="AJ83" s="29">
        <v>0</v>
      </c>
      <c r="AK83" s="29">
        <v>3121.2054237729262</v>
      </c>
      <c r="AL83" s="29">
        <v>6657.9414778038936</v>
      </c>
      <c r="AM83" s="29">
        <v>257.40114767883995</v>
      </c>
      <c r="AN83" s="29">
        <v>61.133798954267618</v>
      </c>
      <c r="AO83" s="29">
        <v>0</v>
      </c>
      <c r="AP83" s="29">
        <v>0</v>
      </c>
      <c r="AQ83" s="29">
        <v>318.53494663310755</v>
      </c>
      <c r="AR83" s="29">
        <v>1068.2266778591038</v>
      </c>
      <c r="AS83" s="109">
        <v>0.29819040587106688</v>
      </c>
      <c r="AT83" s="29">
        <v>257.40114767883995</v>
      </c>
      <c r="AU83" s="29">
        <v>72.364209263951267</v>
      </c>
      <c r="AV83" s="29">
        <v>0</v>
      </c>
      <c r="AW83" s="29">
        <v>0</v>
      </c>
      <c r="AX83" s="29">
        <v>329.76535694279119</v>
      </c>
      <c r="AY83" s="29">
        <v>2468.5093761718631</v>
      </c>
      <c r="AZ83" s="109">
        <v>0.13358886141003345</v>
      </c>
      <c r="BA83" s="29">
        <v>257.40114767883995</v>
      </c>
      <c r="BB83" s="29">
        <v>133.4980082182189</v>
      </c>
      <c r="BC83" s="29">
        <v>0</v>
      </c>
      <c r="BD83" s="29">
        <v>0</v>
      </c>
      <c r="BE83" s="29">
        <v>390.89915589705879</v>
      </c>
      <c r="BF83" s="29">
        <v>3536.7360540309669</v>
      </c>
      <c r="BG83" s="29">
        <v>505.63727998101103</v>
      </c>
      <c r="BH83" s="109">
        <v>0.11052539684196523</v>
      </c>
      <c r="BI83" s="29">
        <v>158.71215134668486</v>
      </c>
      <c r="BJ83" s="29">
        <v>366.75964178023872</v>
      </c>
      <c r="BK83" s="29">
        <v>0</v>
      </c>
      <c r="BL83" s="29">
        <v>463.73418476568014</v>
      </c>
      <c r="BM83" s="29">
        <v>989.20597789260376</v>
      </c>
      <c r="BN83" s="29">
        <v>257.40114767883995</v>
      </c>
      <c r="BO83" s="29">
        <v>0</v>
      </c>
      <c r="BP83" s="29">
        <v>133.4980082182189</v>
      </c>
      <c r="BQ83" s="29">
        <v>0</v>
      </c>
      <c r="BR83" s="29">
        <v>0</v>
      </c>
      <c r="BS83" s="29">
        <v>0</v>
      </c>
      <c r="BT83" s="29">
        <v>0</v>
      </c>
      <c r="BU83" s="29">
        <v>0</v>
      </c>
      <c r="BV83" s="29">
        <v>87.934812241673939</v>
      </c>
      <c r="BW83" s="29">
        <v>0</v>
      </c>
      <c r="BX83" s="29">
        <v>6657.9414778038936</v>
      </c>
      <c r="BY83" s="29"/>
      <c r="BZ83" s="29">
        <v>0</v>
      </c>
      <c r="CA83" s="29">
        <v>0</v>
      </c>
      <c r="CB83" s="29">
        <v>478.83396813873276</v>
      </c>
      <c r="CC83" s="29">
        <v>6657.9414778038936</v>
      </c>
      <c r="CD83" s="109">
        <v>7.1919221539429187E-2</v>
      </c>
      <c r="CE83" s="29">
        <v>956.3065193391177</v>
      </c>
      <c r="CF83" s="29">
        <v>4.704919951345353</v>
      </c>
      <c r="CG83" s="29">
        <v>0</v>
      </c>
      <c r="CH83" s="29">
        <v>4.704919951345353</v>
      </c>
      <c r="CI83" s="29">
        <v>0.235243138713016</v>
      </c>
      <c r="CJ83" s="29">
        <v>0</v>
      </c>
      <c r="CK83" s="29">
        <v>0.235243138713016</v>
      </c>
      <c r="CL83" s="29"/>
      <c r="CM83" s="29">
        <v>0</v>
      </c>
      <c r="CN83" s="29"/>
      <c r="CO83" s="29">
        <v>0</v>
      </c>
      <c r="CP83" s="29">
        <v>0</v>
      </c>
      <c r="CQ83" s="29">
        <v>0</v>
      </c>
      <c r="CR83" s="29">
        <v>0</v>
      </c>
      <c r="CS83" s="29">
        <v>0</v>
      </c>
      <c r="CT83" s="29">
        <v>0</v>
      </c>
      <c r="CU83" s="29">
        <v>0</v>
      </c>
      <c r="CV83" s="29">
        <v>9999</v>
      </c>
      <c r="CW83" s="33">
        <v>9999</v>
      </c>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row>
    <row r="84" spans="1:131">
      <c r="A84" s="7" t="s">
        <v>496</v>
      </c>
      <c r="B84" s="7" t="s">
        <v>386</v>
      </c>
      <c r="C84" s="29">
        <v>15</v>
      </c>
      <c r="D84" s="29">
        <v>704.02683056775959</v>
      </c>
      <c r="E84" s="29">
        <v>0</v>
      </c>
      <c r="F84" s="29">
        <v>5356.8461304836164</v>
      </c>
      <c r="G84" s="29">
        <v>0</v>
      </c>
      <c r="H84" s="29">
        <v>0</v>
      </c>
      <c r="I84" s="29" t="s">
        <v>385</v>
      </c>
      <c r="J84" s="29"/>
      <c r="K84" s="29"/>
      <c r="L84" s="29">
        <v>758.34486670673778</v>
      </c>
      <c r="M84" s="29">
        <v>0.26492414811323056</v>
      </c>
      <c r="N84" s="29">
        <v>0.26301204441568216</v>
      </c>
      <c r="O84" s="29">
        <v>0</v>
      </c>
      <c r="P84" s="29">
        <v>0</v>
      </c>
      <c r="Q84" s="29">
        <v>0</v>
      </c>
      <c r="R84" s="29">
        <v>1068.2266778591036</v>
      </c>
      <c r="S84" s="29">
        <v>2468.5093761718622</v>
      </c>
      <c r="T84" s="29">
        <v>0</v>
      </c>
      <c r="U84" s="29">
        <v>3121.2054237729253</v>
      </c>
      <c r="V84" s="29" t="s">
        <v>329</v>
      </c>
      <c r="W84" s="29" t="s">
        <v>329</v>
      </c>
      <c r="X84" s="29" t="s">
        <v>329</v>
      </c>
      <c r="Y84" s="29" t="s">
        <v>329</v>
      </c>
      <c r="Z84" s="29">
        <v>0</v>
      </c>
      <c r="AA84" s="29">
        <v>0</v>
      </c>
      <c r="AB84" s="29">
        <v>0</v>
      </c>
      <c r="AC84" s="29">
        <v>0</v>
      </c>
      <c r="AD84" s="29">
        <v>0</v>
      </c>
      <c r="AE84" s="29">
        <v>0</v>
      </c>
      <c r="AF84" s="29">
        <v>0</v>
      </c>
      <c r="AG84" s="29">
        <v>0</v>
      </c>
      <c r="AH84" s="29">
        <v>1068.2266778591036</v>
      </c>
      <c r="AI84" s="29">
        <v>2468.5093761718622</v>
      </c>
      <c r="AJ84" s="29">
        <v>0</v>
      </c>
      <c r="AK84" s="29">
        <v>3121.2054237729253</v>
      </c>
      <c r="AL84" s="29">
        <v>6657.9414778038908</v>
      </c>
      <c r="AM84" s="29">
        <v>394.14305150375316</v>
      </c>
      <c r="AN84" s="29">
        <v>93.610546367555301</v>
      </c>
      <c r="AO84" s="29">
        <v>0</v>
      </c>
      <c r="AP84" s="29">
        <v>0</v>
      </c>
      <c r="AQ84" s="29">
        <v>487.75359787130844</v>
      </c>
      <c r="AR84" s="29">
        <v>1068.2266778591036</v>
      </c>
      <c r="AS84" s="109">
        <v>0.45660121393789221</v>
      </c>
      <c r="AT84" s="29">
        <v>394.14305150375316</v>
      </c>
      <c r="AU84" s="29">
        <v>110.80700500425392</v>
      </c>
      <c r="AV84" s="29">
        <v>0</v>
      </c>
      <c r="AW84" s="29">
        <v>0</v>
      </c>
      <c r="AX84" s="29">
        <v>504.95005650800709</v>
      </c>
      <c r="AY84" s="29">
        <v>2468.5093761718622</v>
      </c>
      <c r="AZ84" s="109">
        <v>0.20455666945493972</v>
      </c>
      <c r="BA84" s="29">
        <v>394.14305150375316</v>
      </c>
      <c r="BB84" s="29">
        <v>204.41755137180922</v>
      </c>
      <c r="BC84" s="29">
        <v>0</v>
      </c>
      <c r="BD84" s="29">
        <v>0</v>
      </c>
      <c r="BE84" s="29">
        <v>598.56060287556238</v>
      </c>
      <c r="BF84" s="29">
        <v>3536.7360540309655</v>
      </c>
      <c r="BG84" s="29">
        <v>323.33287774855825</v>
      </c>
      <c r="BH84" s="109">
        <v>0.16924095938495548</v>
      </c>
      <c r="BI84" s="29">
        <v>103.64939772844225</v>
      </c>
      <c r="BJ84" s="29">
        <v>239.51799316602862</v>
      </c>
      <c r="BK84" s="29">
        <v>0</v>
      </c>
      <c r="BL84" s="29">
        <v>302.84870155946567</v>
      </c>
      <c r="BM84" s="29">
        <v>646.01609245393649</v>
      </c>
      <c r="BN84" s="29">
        <v>394.14305150375316</v>
      </c>
      <c r="BO84" s="29">
        <v>0</v>
      </c>
      <c r="BP84" s="29">
        <v>204.41755137180922</v>
      </c>
      <c r="BQ84" s="29">
        <v>0</v>
      </c>
      <c r="BR84" s="29">
        <v>0</v>
      </c>
      <c r="BS84" s="29">
        <v>0</v>
      </c>
      <c r="BT84" s="29">
        <v>0</v>
      </c>
      <c r="BU84" s="29">
        <v>0</v>
      </c>
      <c r="BV84" s="29">
        <v>114.12742053331293</v>
      </c>
      <c r="BW84" s="29">
        <v>0</v>
      </c>
      <c r="BX84" s="29">
        <v>6657.9414778038908</v>
      </c>
      <c r="BY84" s="29"/>
      <c r="BZ84" s="29">
        <v>0</v>
      </c>
      <c r="CA84" s="29">
        <v>0</v>
      </c>
      <c r="CB84" s="29">
        <v>712.68802340887532</v>
      </c>
      <c r="CC84" s="29">
        <v>6657.9414778038908</v>
      </c>
      <c r="CD84" s="109">
        <v>0.10704329946197635</v>
      </c>
      <c r="CE84" s="29">
        <v>615.10786373083363</v>
      </c>
      <c r="CF84" s="29">
        <v>7.2043637855799361</v>
      </c>
      <c r="CG84" s="29">
        <v>0</v>
      </c>
      <c r="CH84" s="29">
        <v>7.2043637855799361</v>
      </c>
      <c r="CI84" s="29">
        <v>0.36021381168570049</v>
      </c>
      <c r="CJ84" s="29">
        <v>0</v>
      </c>
      <c r="CK84" s="29">
        <v>0.36021381168570049</v>
      </c>
      <c r="CL84" s="29"/>
      <c r="CM84" s="29">
        <v>0</v>
      </c>
      <c r="CN84" s="29"/>
      <c r="CO84" s="29">
        <v>0</v>
      </c>
      <c r="CP84" s="29">
        <v>0</v>
      </c>
      <c r="CQ84" s="29">
        <v>0</v>
      </c>
      <c r="CR84" s="29">
        <v>0</v>
      </c>
      <c r="CS84" s="29">
        <v>0</v>
      </c>
      <c r="CT84" s="29">
        <v>0</v>
      </c>
      <c r="CU84" s="29">
        <v>0</v>
      </c>
      <c r="CV84" s="29">
        <v>9999</v>
      </c>
      <c r="CW84" s="33">
        <v>9999</v>
      </c>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row>
    <row r="85" spans="1:131">
      <c r="A85" s="7" t="s">
        <v>497</v>
      </c>
      <c r="B85" s="7" t="s">
        <v>386</v>
      </c>
      <c r="C85" s="29">
        <v>15</v>
      </c>
      <c r="D85" s="29">
        <v>623.81631472703566</v>
      </c>
      <c r="E85" s="29">
        <v>0</v>
      </c>
      <c r="F85" s="29">
        <v>5356.8461304836164</v>
      </c>
      <c r="G85" s="29">
        <v>0</v>
      </c>
      <c r="H85" s="29">
        <v>0</v>
      </c>
      <c r="I85" s="29" t="s">
        <v>385</v>
      </c>
      <c r="J85" s="29"/>
      <c r="K85" s="29"/>
      <c r="L85" s="29">
        <v>671.94583998973235</v>
      </c>
      <c r="M85" s="29">
        <v>0.23474106182134899</v>
      </c>
      <c r="N85" s="29">
        <v>0.23304680610524417</v>
      </c>
      <c r="O85" s="29">
        <v>0</v>
      </c>
      <c r="P85" s="29">
        <v>0</v>
      </c>
      <c r="Q85" s="29">
        <v>0</v>
      </c>
      <c r="R85" s="29">
        <v>1068.2266778591036</v>
      </c>
      <c r="S85" s="29">
        <v>2468.5093761718622</v>
      </c>
      <c r="T85" s="29">
        <v>0</v>
      </c>
      <c r="U85" s="29">
        <v>3121.2054237729253</v>
      </c>
      <c r="V85" s="29" t="s">
        <v>329</v>
      </c>
      <c r="W85" s="29" t="s">
        <v>329</v>
      </c>
      <c r="X85" s="29" t="s">
        <v>329</v>
      </c>
      <c r="Y85" s="29" t="s">
        <v>329</v>
      </c>
      <c r="Z85" s="29">
        <v>0</v>
      </c>
      <c r="AA85" s="29">
        <v>0</v>
      </c>
      <c r="AB85" s="29">
        <v>0</v>
      </c>
      <c r="AC85" s="29">
        <v>0</v>
      </c>
      <c r="AD85" s="29">
        <v>0</v>
      </c>
      <c r="AE85" s="29">
        <v>0</v>
      </c>
      <c r="AF85" s="29">
        <v>0</v>
      </c>
      <c r="AG85" s="29">
        <v>0</v>
      </c>
      <c r="AH85" s="29">
        <v>1068.2266778591036</v>
      </c>
      <c r="AI85" s="29">
        <v>2468.5093761718622</v>
      </c>
      <c r="AJ85" s="29">
        <v>0</v>
      </c>
      <c r="AK85" s="29">
        <v>3121.2054237729253</v>
      </c>
      <c r="AL85" s="29">
        <v>6657.9414778038908</v>
      </c>
      <c r="AM85" s="29">
        <v>349.23791990435427</v>
      </c>
      <c r="AN85" s="29">
        <v>82.945398554625541</v>
      </c>
      <c r="AO85" s="29">
        <v>0</v>
      </c>
      <c r="AP85" s="29">
        <v>0</v>
      </c>
      <c r="AQ85" s="29">
        <v>432.18331845897978</v>
      </c>
      <c r="AR85" s="29">
        <v>1068.2266778591036</v>
      </c>
      <c r="AS85" s="109">
        <v>0.40458015832851507</v>
      </c>
      <c r="AT85" s="29">
        <v>349.23791990435427</v>
      </c>
      <c r="AU85" s="29">
        <v>98.182646607302942</v>
      </c>
      <c r="AV85" s="29">
        <v>0</v>
      </c>
      <c r="AW85" s="29">
        <v>0</v>
      </c>
      <c r="AX85" s="29">
        <v>447.42056651165723</v>
      </c>
      <c r="AY85" s="29">
        <v>2468.5093761718622</v>
      </c>
      <c r="AZ85" s="109">
        <v>0.18125131337581235</v>
      </c>
      <c r="BA85" s="29">
        <v>349.23791990435427</v>
      </c>
      <c r="BB85" s="29">
        <v>181.12804516192847</v>
      </c>
      <c r="BC85" s="29">
        <v>0</v>
      </c>
      <c r="BD85" s="29">
        <v>0</v>
      </c>
      <c r="BE85" s="29">
        <v>530.3659650662828</v>
      </c>
      <c r="BF85" s="29">
        <v>3536.7360540309655</v>
      </c>
      <c r="BG85" s="29">
        <v>367.45745864446718</v>
      </c>
      <c r="BH85" s="109">
        <v>0.14995915922586381</v>
      </c>
      <c r="BI85" s="29">
        <v>116.97667286073275</v>
      </c>
      <c r="BJ85" s="29">
        <v>270.3152989296471</v>
      </c>
      <c r="BK85" s="29">
        <v>0</v>
      </c>
      <c r="BL85" s="29">
        <v>341.78909154334667</v>
      </c>
      <c r="BM85" s="29">
        <v>729.08106333372643</v>
      </c>
      <c r="BN85" s="29">
        <v>349.23791990435427</v>
      </c>
      <c r="BO85" s="29">
        <v>0</v>
      </c>
      <c r="BP85" s="29">
        <v>181.12804516192847</v>
      </c>
      <c r="BQ85" s="29">
        <v>0</v>
      </c>
      <c r="BR85" s="29">
        <v>0</v>
      </c>
      <c r="BS85" s="29">
        <v>0</v>
      </c>
      <c r="BT85" s="29">
        <v>0</v>
      </c>
      <c r="BU85" s="29">
        <v>0</v>
      </c>
      <c r="BV85" s="29">
        <v>100.74799334384093</v>
      </c>
      <c r="BW85" s="29">
        <v>0</v>
      </c>
      <c r="BX85" s="29">
        <v>6657.9414778038908</v>
      </c>
      <c r="BY85" s="29"/>
      <c r="BZ85" s="29">
        <v>0</v>
      </c>
      <c r="CA85" s="29">
        <v>0</v>
      </c>
      <c r="CB85" s="29">
        <v>631.11395841012359</v>
      </c>
      <c r="CC85" s="29">
        <v>6657.9414778038908</v>
      </c>
      <c r="CD85" s="109">
        <v>9.4791154370178585E-2</v>
      </c>
      <c r="CE85" s="29">
        <v>698.21409302958489</v>
      </c>
      <c r="CF85" s="29">
        <v>6.3835630568924087</v>
      </c>
      <c r="CG85" s="29">
        <v>0</v>
      </c>
      <c r="CH85" s="29">
        <v>6.3835630568924087</v>
      </c>
      <c r="CI85" s="29">
        <v>0.31917427399512288</v>
      </c>
      <c r="CJ85" s="29">
        <v>0</v>
      </c>
      <c r="CK85" s="29">
        <v>0.31917427399512288</v>
      </c>
      <c r="CL85" s="29"/>
      <c r="CM85" s="29">
        <v>0</v>
      </c>
      <c r="CN85" s="29"/>
      <c r="CO85" s="29">
        <v>0</v>
      </c>
      <c r="CP85" s="29">
        <v>0</v>
      </c>
      <c r="CQ85" s="29">
        <v>0</v>
      </c>
      <c r="CR85" s="29">
        <v>0</v>
      </c>
      <c r="CS85" s="29">
        <v>0</v>
      </c>
      <c r="CT85" s="29">
        <v>0</v>
      </c>
      <c r="CU85" s="29">
        <v>0</v>
      </c>
      <c r="CV85" s="29">
        <v>9999</v>
      </c>
      <c r="CW85" s="33">
        <v>9999</v>
      </c>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row>
    <row r="86" spans="1:131">
      <c r="A86" s="7" t="s">
        <v>498</v>
      </c>
      <c r="B86" s="7" t="s">
        <v>386</v>
      </c>
      <c r="C86" s="29">
        <v>15</v>
      </c>
      <c r="D86" s="29">
        <v>2240.0588630952484</v>
      </c>
      <c r="E86" s="29">
        <v>0</v>
      </c>
      <c r="F86" s="29">
        <v>3914.8924998607772</v>
      </c>
      <c r="G86" s="29">
        <v>0</v>
      </c>
      <c r="H86" s="29">
        <v>0</v>
      </c>
      <c r="I86" s="29" t="s">
        <v>917</v>
      </c>
      <c r="J86" s="29"/>
      <c r="K86" s="29"/>
      <c r="L86" s="29">
        <v>2413.6055337033654</v>
      </c>
      <c r="M86" s="29">
        <v>0.88085436473242129</v>
      </c>
      <c r="N86" s="29">
        <v>0.87449675294126583</v>
      </c>
      <c r="O86" s="29">
        <v>0</v>
      </c>
      <c r="P86" s="29">
        <v>0</v>
      </c>
      <c r="Q86" s="29">
        <v>0</v>
      </c>
      <c r="R86" s="29">
        <v>780.68186157220248</v>
      </c>
      <c r="S86" s="29">
        <v>1804.0370410525059</v>
      </c>
      <c r="T86" s="29">
        <v>0</v>
      </c>
      <c r="U86" s="29">
        <v>2281.0406359292338</v>
      </c>
      <c r="V86" s="29" t="s">
        <v>329</v>
      </c>
      <c r="W86" s="29" t="s">
        <v>329</v>
      </c>
      <c r="X86" s="29" t="s">
        <v>329</v>
      </c>
      <c r="Y86" s="29" t="s">
        <v>329</v>
      </c>
      <c r="Z86" s="29">
        <v>0</v>
      </c>
      <c r="AA86" s="29">
        <v>0</v>
      </c>
      <c r="AB86" s="29">
        <v>0</v>
      </c>
      <c r="AC86" s="29">
        <v>0</v>
      </c>
      <c r="AD86" s="29">
        <v>0</v>
      </c>
      <c r="AE86" s="29">
        <v>0</v>
      </c>
      <c r="AF86" s="29">
        <v>0</v>
      </c>
      <c r="AG86" s="29">
        <v>0</v>
      </c>
      <c r="AH86" s="29">
        <v>780.68186157220248</v>
      </c>
      <c r="AI86" s="29">
        <v>1804.0370410525059</v>
      </c>
      <c r="AJ86" s="29">
        <v>0</v>
      </c>
      <c r="AK86" s="29">
        <v>2281.0406359292338</v>
      </c>
      <c r="AL86" s="29">
        <v>4865.7595385539425</v>
      </c>
      <c r="AM86" s="29">
        <v>1245.1959071015165</v>
      </c>
      <c r="AN86" s="29">
        <v>311.24855525667272</v>
      </c>
      <c r="AO86" s="29">
        <v>0</v>
      </c>
      <c r="AP86" s="29">
        <v>0</v>
      </c>
      <c r="AQ86" s="29">
        <v>1556.4444623581892</v>
      </c>
      <c r="AR86" s="29">
        <v>780.68186157220248</v>
      </c>
      <c r="AS86" s="33">
        <v>1.9936987638263954</v>
      </c>
      <c r="AT86" s="29">
        <v>1245.1959071015165</v>
      </c>
      <c r="AU86" s="29">
        <v>368.42558406267784</v>
      </c>
      <c r="AV86" s="29">
        <v>0</v>
      </c>
      <c r="AW86" s="29">
        <v>0</v>
      </c>
      <c r="AX86" s="29">
        <v>1613.6214911641944</v>
      </c>
      <c r="AY86" s="29">
        <v>1804.0370410525059</v>
      </c>
      <c r="AZ86" s="109">
        <v>0.89445031030115663</v>
      </c>
      <c r="BA86" s="29">
        <v>1245.1959071015165</v>
      </c>
      <c r="BB86" s="29">
        <v>679.67413931935062</v>
      </c>
      <c r="BC86" s="29">
        <v>0</v>
      </c>
      <c r="BD86" s="29">
        <v>0</v>
      </c>
      <c r="BE86" s="29">
        <v>1924.8700464208671</v>
      </c>
      <c r="BF86" s="29">
        <v>2584.7189026247083</v>
      </c>
      <c r="BG86" s="29">
        <v>58.077646152606341</v>
      </c>
      <c r="BH86" s="109">
        <v>0.74471156011054684</v>
      </c>
      <c r="BI86" s="29">
        <v>23.800052254667602</v>
      </c>
      <c r="BJ86" s="29">
        <v>54.998300793023546</v>
      </c>
      <c r="BK86" s="29">
        <v>0</v>
      </c>
      <c r="BL86" s="29">
        <v>69.540345437006152</v>
      </c>
      <c r="BM86" s="29">
        <v>148.33869848469732</v>
      </c>
      <c r="BN86" s="29">
        <v>1245.1959071015165</v>
      </c>
      <c r="BO86" s="29">
        <v>0</v>
      </c>
      <c r="BP86" s="29">
        <v>679.67413931935062</v>
      </c>
      <c r="BQ86" s="29">
        <v>0</v>
      </c>
      <c r="BR86" s="29">
        <v>0</v>
      </c>
      <c r="BS86" s="29">
        <v>0</v>
      </c>
      <c r="BT86" s="29">
        <v>0</v>
      </c>
      <c r="BU86" s="29">
        <v>0</v>
      </c>
      <c r="BV86" s="29">
        <v>355.61877671755298</v>
      </c>
      <c r="BW86" s="29">
        <v>0</v>
      </c>
      <c r="BX86" s="29">
        <v>4865.7595385539425</v>
      </c>
      <c r="BY86" s="29"/>
      <c r="BZ86" s="29">
        <v>0</v>
      </c>
      <c r="CA86" s="29">
        <v>0</v>
      </c>
      <c r="CB86" s="29">
        <v>2280.4888231384202</v>
      </c>
      <c r="CC86" s="29">
        <v>4865.7595385539425</v>
      </c>
      <c r="CD86" s="109">
        <v>0.46868095413859268</v>
      </c>
      <c r="CE86" s="29">
        <v>116.77651328041529</v>
      </c>
      <c r="CF86" s="29">
        <v>22.92919060664757</v>
      </c>
      <c r="CG86" s="29">
        <v>0</v>
      </c>
      <c r="CH86" s="29">
        <v>22.92919060664757</v>
      </c>
      <c r="CI86" s="29">
        <v>1.1464626285090986</v>
      </c>
      <c r="CJ86" s="29">
        <v>0</v>
      </c>
      <c r="CK86" s="29">
        <v>1.1464626285090986</v>
      </c>
      <c r="CL86" s="29"/>
      <c r="CM86" s="29">
        <v>0</v>
      </c>
      <c r="CN86" s="29"/>
      <c r="CO86" s="29">
        <v>0</v>
      </c>
      <c r="CP86" s="29">
        <v>0</v>
      </c>
      <c r="CQ86" s="29">
        <v>0</v>
      </c>
      <c r="CR86" s="29">
        <v>0</v>
      </c>
      <c r="CS86" s="29">
        <v>0</v>
      </c>
      <c r="CT86" s="29">
        <v>0</v>
      </c>
      <c r="CU86" s="29">
        <v>0</v>
      </c>
      <c r="CV86" s="29">
        <v>9999</v>
      </c>
      <c r="CW86" s="33">
        <v>9999</v>
      </c>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row>
    <row r="87" spans="1:131">
      <c r="A87" s="7" t="s">
        <v>499</v>
      </c>
      <c r="B87" s="7" t="s">
        <v>386</v>
      </c>
      <c r="C87" s="29">
        <v>15</v>
      </c>
      <c r="D87" s="29">
        <v>2240.0588630952479</v>
      </c>
      <c r="E87" s="29">
        <v>0</v>
      </c>
      <c r="F87" s="29">
        <v>3612.3135270070575</v>
      </c>
      <c r="G87" s="29">
        <v>0</v>
      </c>
      <c r="H87" s="29">
        <v>0</v>
      </c>
      <c r="I87" s="29" t="s">
        <v>917</v>
      </c>
      <c r="J87" s="29"/>
      <c r="K87" s="29"/>
      <c r="L87" s="29">
        <v>2413.6055337033649</v>
      </c>
      <c r="M87" s="29">
        <v>0.88085436473242118</v>
      </c>
      <c r="N87" s="29">
        <v>0.87449675294126561</v>
      </c>
      <c r="O87" s="29">
        <v>0</v>
      </c>
      <c r="P87" s="29">
        <v>0</v>
      </c>
      <c r="Q87" s="29">
        <v>0</v>
      </c>
      <c r="R87" s="29">
        <v>720.3435723833046</v>
      </c>
      <c r="S87" s="29">
        <v>1664.6044321389425</v>
      </c>
      <c r="T87" s="29">
        <v>0</v>
      </c>
      <c r="U87" s="29">
        <v>2104.7407930391396</v>
      </c>
      <c r="V87" s="29" t="s">
        <v>329</v>
      </c>
      <c r="W87" s="29" t="s">
        <v>329</v>
      </c>
      <c r="X87" s="29" t="s">
        <v>329</v>
      </c>
      <c r="Y87" s="29" t="s">
        <v>329</v>
      </c>
      <c r="Z87" s="29">
        <v>0</v>
      </c>
      <c r="AA87" s="29">
        <v>0</v>
      </c>
      <c r="AB87" s="29">
        <v>0</v>
      </c>
      <c r="AC87" s="29">
        <v>0</v>
      </c>
      <c r="AD87" s="29">
        <v>0</v>
      </c>
      <c r="AE87" s="29">
        <v>0</v>
      </c>
      <c r="AF87" s="29">
        <v>0</v>
      </c>
      <c r="AG87" s="29">
        <v>0</v>
      </c>
      <c r="AH87" s="29">
        <v>720.3435723833046</v>
      </c>
      <c r="AI87" s="29">
        <v>1664.6044321389425</v>
      </c>
      <c r="AJ87" s="29">
        <v>0</v>
      </c>
      <c r="AK87" s="29">
        <v>2104.7407930391396</v>
      </c>
      <c r="AL87" s="29">
        <v>4489.6887975613863</v>
      </c>
      <c r="AM87" s="29">
        <v>1245.1959071015162</v>
      </c>
      <c r="AN87" s="29">
        <v>311.24855525667266</v>
      </c>
      <c r="AO87" s="29">
        <v>0</v>
      </c>
      <c r="AP87" s="29">
        <v>0</v>
      </c>
      <c r="AQ87" s="29">
        <v>1556.444462358189</v>
      </c>
      <c r="AR87" s="29">
        <v>720.3435723833046</v>
      </c>
      <c r="AS87" s="33">
        <v>2.1606973700182941</v>
      </c>
      <c r="AT87" s="29">
        <v>1245.1959071015162</v>
      </c>
      <c r="AU87" s="29">
        <v>368.42558406267779</v>
      </c>
      <c r="AV87" s="29">
        <v>0</v>
      </c>
      <c r="AW87" s="29">
        <v>0</v>
      </c>
      <c r="AX87" s="29">
        <v>1613.6214911641941</v>
      </c>
      <c r="AY87" s="29">
        <v>1664.6044321389425</v>
      </c>
      <c r="AZ87" s="109">
        <v>0.96937233856259919</v>
      </c>
      <c r="BA87" s="29">
        <v>1245.1959071015162</v>
      </c>
      <c r="BB87" s="29">
        <v>679.67413931935039</v>
      </c>
      <c r="BC87" s="29">
        <v>0</v>
      </c>
      <c r="BD87" s="29">
        <v>0</v>
      </c>
      <c r="BE87" s="29">
        <v>1924.8700464208669</v>
      </c>
      <c r="BF87" s="29">
        <v>2384.9480045222472</v>
      </c>
      <c r="BG87" s="29">
        <v>51.987383207050883</v>
      </c>
      <c r="BH87" s="109">
        <v>0.8070909901477944</v>
      </c>
      <c r="BI87" s="29">
        <v>21.960564870189415</v>
      </c>
      <c r="BJ87" s="29">
        <v>50.747525231946263</v>
      </c>
      <c r="BK87" s="29">
        <v>0</v>
      </c>
      <c r="BL87" s="29">
        <v>64.165626643330356</v>
      </c>
      <c r="BM87" s="29">
        <v>136.87371674546606</v>
      </c>
      <c r="BN87" s="29">
        <v>1245.1959071015162</v>
      </c>
      <c r="BO87" s="29">
        <v>0</v>
      </c>
      <c r="BP87" s="29">
        <v>679.67413931935039</v>
      </c>
      <c r="BQ87" s="29">
        <v>0</v>
      </c>
      <c r="BR87" s="29">
        <v>0</v>
      </c>
      <c r="BS87" s="29">
        <v>0</v>
      </c>
      <c r="BT87" s="29">
        <v>0</v>
      </c>
      <c r="BU87" s="29">
        <v>0</v>
      </c>
      <c r="BV87" s="29">
        <v>355.61877671755298</v>
      </c>
      <c r="BW87" s="29">
        <v>0</v>
      </c>
      <c r="BX87" s="29">
        <v>4489.6887975613863</v>
      </c>
      <c r="BY87" s="29"/>
      <c r="BZ87" s="29">
        <v>0</v>
      </c>
      <c r="CA87" s="29">
        <v>0</v>
      </c>
      <c r="CB87" s="29">
        <v>2280.4888231384198</v>
      </c>
      <c r="CC87" s="29">
        <v>4489.6887975613863</v>
      </c>
      <c r="CD87" s="109">
        <v>0.50793917484371909</v>
      </c>
      <c r="CE87" s="29">
        <v>105.31153154118402</v>
      </c>
      <c r="CF87" s="29">
        <v>22.929190606647566</v>
      </c>
      <c r="CG87" s="29">
        <v>0</v>
      </c>
      <c r="CH87" s="29">
        <v>22.929190606647566</v>
      </c>
      <c r="CI87" s="29">
        <v>1.1464626285090984</v>
      </c>
      <c r="CJ87" s="29">
        <v>0</v>
      </c>
      <c r="CK87" s="29">
        <v>1.1464626285090984</v>
      </c>
      <c r="CL87" s="29"/>
      <c r="CM87" s="29">
        <v>0</v>
      </c>
      <c r="CN87" s="29"/>
      <c r="CO87" s="29">
        <v>0</v>
      </c>
      <c r="CP87" s="29">
        <v>0</v>
      </c>
      <c r="CQ87" s="29">
        <v>0</v>
      </c>
      <c r="CR87" s="29">
        <v>0</v>
      </c>
      <c r="CS87" s="29">
        <v>0</v>
      </c>
      <c r="CT87" s="29">
        <v>0</v>
      </c>
      <c r="CU87" s="29">
        <v>0</v>
      </c>
      <c r="CV87" s="29">
        <v>9999</v>
      </c>
      <c r="CW87" s="33">
        <v>9999</v>
      </c>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row>
    <row r="88" spans="1:131">
      <c r="A88" s="7" t="s">
        <v>500</v>
      </c>
      <c r="B88" s="7" t="s">
        <v>386</v>
      </c>
      <c r="C88" s="29">
        <v>15</v>
      </c>
      <c r="D88" s="29">
        <v>1976.963340841548</v>
      </c>
      <c r="E88" s="29">
        <v>0</v>
      </c>
      <c r="F88" s="29">
        <v>3618.3551360186466</v>
      </c>
      <c r="G88" s="29">
        <v>0</v>
      </c>
      <c r="H88" s="29">
        <v>0</v>
      </c>
      <c r="I88" s="29" t="s">
        <v>917</v>
      </c>
      <c r="J88" s="29"/>
      <c r="K88" s="29"/>
      <c r="L88" s="29">
        <v>2130.1269078217797</v>
      </c>
      <c r="M88" s="29">
        <v>0.77739778020387718</v>
      </c>
      <c r="N88" s="29">
        <v>0.77178687164540782</v>
      </c>
      <c r="O88" s="29">
        <v>0</v>
      </c>
      <c r="P88" s="29">
        <v>0</v>
      </c>
      <c r="Q88" s="29">
        <v>0</v>
      </c>
      <c r="R88" s="29">
        <v>721.54834992706265</v>
      </c>
      <c r="S88" s="29">
        <v>1667.3884897969369</v>
      </c>
      <c r="T88" s="29">
        <v>0</v>
      </c>
      <c r="U88" s="29">
        <v>2108.2609805442426</v>
      </c>
      <c r="V88" s="29" t="s">
        <v>329</v>
      </c>
      <c r="W88" s="29" t="s">
        <v>329</v>
      </c>
      <c r="X88" s="29" t="s">
        <v>329</v>
      </c>
      <c r="Y88" s="29" t="s">
        <v>329</v>
      </c>
      <c r="Z88" s="29">
        <v>0</v>
      </c>
      <c r="AA88" s="29">
        <v>0</v>
      </c>
      <c r="AB88" s="29">
        <v>0</v>
      </c>
      <c r="AC88" s="29">
        <v>0</v>
      </c>
      <c r="AD88" s="29">
        <v>0</v>
      </c>
      <c r="AE88" s="29">
        <v>0</v>
      </c>
      <c r="AF88" s="29">
        <v>0</v>
      </c>
      <c r="AG88" s="29">
        <v>0</v>
      </c>
      <c r="AH88" s="29">
        <v>721.54834992706265</v>
      </c>
      <c r="AI88" s="29">
        <v>1667.3884897969369</v>
      </c>
      <c r="AJ88" s="29">
        <v>0</v>
      </c>
      <c r="AK88" s="29">
        <v>2108.2609805442426</v>
      </c>
      <c r="AL88" s="29">
        <v>4497.1978202682421</v>
      </c>
      <c r="AM88" s="29">
        <v>1098.9473094042355</v>
      </c>
      <c r="AN88" s="29">
        <v>274.69232785342791</v>
      </c>
      <c r="AO88" s="29">
        <v>0</v>
      </c>
      <c r="AP88" s="29">
        <v>0</v>
      </c>
      <c r="AQ88" s="29">
        <v>1373.6396372576635</v>
      </c>
      <c r="AR88" s="29">
        <v>721.54834992706265</v>
      </c>
      <c r="AS88" s="33">
        <v>1.9037388657274557</v>
      </c>
      <c r="AT88" s="29">
        <v>1098.9473094042355</v>
      </c>
      <c r="AU88" s="29">
        <v>325.15389908710614</v>
      </c>
      <c r="AV88" s="29">
        <v>0</v>
      </c>
      <c r="AW88" s="29">
        <v>0</v>
      </c>
      <c r="AX88" s="29">
        <v>1424.1012084913416</v>
      </c>
      <c r="AY88" s="29">
        <v>1667.3884897969369</v>
      </c>
      <c r="AZ88" s="109">
        <v>0.8540908235877146</v>
      </c>
      <c r="BA88" s="29">
        <v>1098.9473094042355</v>
      </c>
      <c r="BB88" s="29">
        <v>599.84622694053405</v>
      </c>
      <c r="BC88" s="29">
        <v>0</v>
      </c>
      <c r="BD88" s="29">
        <v>0</v>
      </c>
      <c r="BE88" s="29">
        <v>1698.7935363447696</v>
      </c>
      <c r="BF88" s="29">
        <v>2388.9368397239996</v>
      </c>
      <c r="BG88" s="29">
        <v>61.801209262101288</v>
      </c>
      <c r="BH88" s="109">
        <v>0.71110860199260684</v>
      </c>
      <c r="BI88" s="29">
        <v>24.924707696715942</v>
      </c>
      <c r="BJ88" s="29">
        <v>57.597208460470142</v>
      </c>
      <c r="BK88" s="29">
        <v>0</v>
      </c>
      <c r="BL88" s="29">
        <v>72.826427631313621</v>
      </c>
      <c r="BM88" s="29">
        <v>155.34834378849968</v>
      </c>
      <c r="BN88" s="29">
        <v>1098.9473094042355</v>
      </c>
      <c r="BO88" s="29">
        <v>0</v>
      </c>
      <c r="BP88" s="29">
        <v>599.84622694053405</v>
      </c>
      <c r="BQ88" s="29">
        <v>0</v>
      </c>
      <c r="BR88" s="29">
        <v>0</v>
      </c>
      <c r="BS88" s="29">
        <v>0</v>
      </c>
      <c r="BT88" s="29">
        <v>0</v>
      </c>
      <c r="BU88" s="29">
        <v>0</v>
      </c>
      <c r="BV88" s="29">
        <v>543.20937328302409</v>
      </c>
      <c r="BW88" s="29">
        <v>0</v>
      </c>
      <c r="BX88" s="29">
        <v>4497.1978202682421</v>
      </c>
      <c r="BY88" s="29"/>
      <c r="BZ88" s="29">
        <v>0</v>
      </c>
      <c r="CA88" s="29">
        <v>0</v>
      </c>
      <c r="CB88" s="29">
        <v>2242.0029096277935</v>
      </c>
      <c r="CC88" s="29">
        <v>4497.1978202682421</v>
      </c>
      <c r="CD88" s="109">
        <v>0.4985333087913989</v>
      </c>
      <c r="CE88" s="29">
        <v>115.8633574815581</v>
      </c>
      <c r="CF88" s="29">
        <v>20.236150938406503</v>
      </c>
      <c r="CG88" s="29">
        <v>0</v>
      </c>
      <c r="CH88" s="29">
        <v>20.236150938406503</v>
      </c>
      <c r="CI88" s="29">
        <v>1.0118102812153458</v>
      </c>
      <c r="CJ88" s="29">
        <v>0</v>
      </c>
      <c r="CK88" s="29">
        <v>1.0118102812153458</v>
      </c>
      <c r="CL88" s="29"/>
      <c r="CM88" s="29">
        <v>0</v>
      </c>
      <c r="CN88" s="29"/>
      <c r="CO88" s="29">
        <v>0</v>
      </c>
      <c r="CP88" s="29">
        <v>0</v>
      </c>
      <c r="CQ88" s="29">
        <v>0</v>
      </c>
      <c r="CR88" s="29">
        <v>0</v>
      </c>
      <c r="CS88" s="29">
        <v>0</v>
      </c>
      <c r="CT88" s="29">
        <v>0</v>
      </c>
      <c r="CU88" s="29">
        <v>0</v>
      </c>
      <c r="CV88" s="29">
        <v>9999</v>
      </c>
      <c r="CW88" s="33">
        <v>9999</v>
      </c>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row>
    <row r="89" spans="1:131">
      <c r="A89" s="7" t="s">
        <v>501</v>
      </c>
      <c r="B89" s="7" t="s">
        <v>386</v>
      </c>
      <c r="C89" s="29">
        <v>15</v>
      </c>
      <c r="D89" s="29">
        <v>2295.8353510102552</v>
      </c>
      <c r="E89" s="29">
        <v>0</v>
      </c>
      <c r="F89" s="29">
        <v>3479.0632416243566</v>
      </c>
      <c r="G89" s="29">
        <v>0</v>
      </c>
      <c r="H89" s="29">
        <v>0</v>
      </c>
      <c r="I89" s="29" t="s">
        <v>917</v>
      </c>
      <c r="J89" s="29"/>
      <c r="K89" s="29"/>
      <c r="L89" s="29">
        <v>2473.7032579641386</v>
      </c>
      <c r="M89" s="29">
        <v>0.90278725392511472</v>
      </c>
      <c r="N89" s="29">
        <v>0.89627134037542966</v>
      </c>
      <c r="O89" s="29">
        <v>0</v>
      </c>
      <c r="P89" s="29">
        <v>0</v>
      </c>
      <c r="Q89" s="29">
        <v>0</v>
      </c>
      <c r="R89" s="29">
        <v>693.77168545376719</v>
      </c>
      <c r="S89" s="29">
        <v>1603.2008430059691</v>
      </c>
      <c r="T89" s="29">
        <v>0</v>
      </c>
      <c r="U89" s="29">
        <v>2027.1015435021682</v>
      </c>
      <c r="V89" s="29" t="s">
        <v>329</v>
      </c>
      <c r="W89" s="29" t="s">
        <v>329</v>
      </c>
      <c r="X89" s="29" t="s">
        <v>329</v>
      </c>
      <c r="Y89" s="29" t="s">
        <v>329</v>
      </c>
      <c r="Z89" s="29">
        <v>0</v>
      </c>
      <c r="AA89" s="29">
        <v>0</v>
      </c>
      <c r="AB89" s="29">
        <v>0</v>
      </c>
      <c r="AC89" s="29">
        <v>0</v>
      </c>
      <c r="AD89" s="29">
        <v>0</v>
      </c>
      <c r="AE89" s="29">
        <v>0</v>
      </c>
      <c r="AF89" s="29">
        <v>0</v>
      </c>
      <c r="AG89" s="29">
        <v>0</v>
      </c>
      <c r="AH89" s="29">
        <v>693.77168545376719</v>
      </c>
      <c r="AI89" s="29">
        <v>1603.2008430059691</v>
      </c>
      <c r="AJ89" s="29">
        <v>0</v>
      </c>
      <c r="AK89" s="29">
        <v>2027.1015435021682</v>
      </c>
      <c r="AL89" s="29">
        <v>4324.0740719619043</v>
      </c>
      <c r="AM89" s="29">
        <v>1276.2007416656845</v>
      </c>
      <c r="AN89" s="29">
        <v>318.99850842390742</v>
      </c>
      <c r="AO89" s="29">
        <v>0</v>
      </c>
      <c r="AP89" s="29">
        <v>0</v>
      </c>
      <c r="AQ89" s="29">
        <v>1595.1992500895919</v>
      </c>
      <c r="AR89" s="29">
        <v>693.77168545376719</v>
      </c>
      <c r="AS89" s="33">
        <v>2.2993144337480977</v>
      </c>
      <c r="AT89" s="29">
        <v>1276.2007416656845</v>
      </c>
      <c r="AU89" s="29">
        <v>377.5992202896548</v>
      </c>
      <c r="AV89" s="29">
        <v>0</v>
      </c>
      <c r="AW89" s="29">
        <v>0</v>
      </c>
      <c r="AX89" s="29">
        <v>1653.7999619553393</v>
      </c>
      <c r="AY89" s="29">
        <v>1603.2008430059691</v>
      </c>
      <c r="AZ89" s="33">
        <v>1.0315613100941849</v>
      </c>
      <c r="BA89" s="29">
        <v>1276.2007416656845</v>
      </c>
      <c r="BB89" s="29">
        <v>696.59772871356222</v>
      </c>
      <c r="BC89" s="29">
        <v>0</v>
      </c>
      <c r="BD89" s="29">
        <v>0</v>
      </c>
      <c r="BE89" s="29">
        <v>1972.7984703792467</v>
      </c>
      <c r="BF89" s="29">
        <v>2296.9725284597362</v>
      </c>
      <c r="BG89" s="29">
        <v>47.60408451095612</v>
      </c>
      <c r="BH89" s="109">
        <v>0.85886898773758147</v>
      </c>
      <c r="BI89" s="29">
        <v>20.636644585310716</v>
      </c>
      <c r="BJ89" s="29">
        <v>47.688146820730211</v>
      </c>
      <c r="BK89" s="29">
        <v>0</v>
      </c>
      <c r="BL89" s="29">
        <v>60.297321105325977</v>
      </c>
      <c r="BM89" s="29">
        <v>128.62211251136688</v>
      </c>
      <c r="BN89" s="29">
        <v>1276.2007416656845</v>
      </c>
      <c r="BO89" s="29">
        <v>0</v>
      </c>
      <c r="BP89" s="29">
        <v>696.59772871356222</v>
      </c>
      <c r="BQ89" s="29">
        <v>0</v>
      </c>
      <c r="BR89" s="29">
        <v>0</v>
      </c>
      <c r="BS89" s="29">
        <v>0</v>
      </c>
      <c r="BT89" s="29">
        <v>0</v>
      </c>
      <c r="BU89" s="29">
        <v>0</v>
      </c>
      <c r="BV89" s="29">
        <v>314.13123996932131</v>
      </c>
      <c r="BW89" s="29">
        <v>0</v>
      </c>
      <c r="BX89" s="29">
        <v>4324.0740719619043</v>
      </c>
      <c r="BY89" s="29"/>
      <c r="BZ89" s="29">
        <v>0</v>
      </c>
      <c r="CA89" s="29">
        <v>0</v>
      </c>
      <c r="CB89" s="29">
        <v>2286.9297103485678</v>
      </c>
      <c r="CC89" s="29">
        <v>4324.0740719619043</v>
      </c>
      <c r="CD89" s="109">
        <v>0.52888310243745429</v>
      </c>
      <c r="CE89" s="29">
        <v>98.557388141498834</v>
      </c>
      <c r="CF89" s="29">
        <v>23.500117444259971</v>
      </c>
      <c r="CG89" s="29">
        <v>0</v>
      </c>
      <c r="CH89" s="29">
        <v>23.500117444259971</v>
      </c>
      <c r="CI89" s="29">
        <v>1.1750090475329662</v>
      </c>
      <c r="CJ89" s="29">
        <v>0</v>
      </c>
      <c r="CK89" s="29">
        <v>1.1750090475329662</v>
      </c>
      <c r="CL89" s="29"/>
      <c r="CM89" s="29">
        <v>0</v>
      </c>
      <c r="CN89" s="29"/>
      <c r="CO89" s="29">
        <v>0</v>
      </c>
      <c r="CP89" s="29">
        <v>0</v>
      </c>
      <c r="CQ89" s="29">
        <v>0</v>
      </c>
      <c r="CR89" s="29">
        <v>0</v>
      </c>
      <c r="CS89" s="29">
        <v>0</v>
      </c>
      <c r="CT89" s="29">
        <v>0</v>
      </c>
      <c r="CU89" s="29">
        <v>0</v>
      </c>
      <c r="CV89" s="29">
        <v>9999</v>
      </c>
      <c r="CW89" s="33">
        <v>9999</v>
      </c>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row>
    <row r="90" spans="1:131">
      <c r="A90" s="7" t="s">
        <v>487</v>
      </c>
      <c r="B90" s="7" t="s">
        <v>387</v>
      </c>
      <c r="C90" s="29">
        <v>15</v>
      </c>
      <c r="D90" s="29">
        <v>9.9999999999999995E-7</v>
      </c>
      <c r="E90" s="29">
        <v>0</v>
      </c>
      <c r="F90" s="29">
        <v>0</v>
      </c>
      <c r="G90" s="29">
        <v>0</v>
      </c>
      <c r="H90" s="29">
        <v>0</v>
      </c>
      <c r="I90" s="29" t="s">
        <v>384</v>
      </c>
      <c r="J90" s="29"/>
      <c r="K90" s="29"/>
      <c r="L90" s="29">
        <v>1.0717520953171995E-6</v>
      </c>
      <c r="M90" s="29">
        <v>0</v>
      </c>
      <c r="N90" s="29">
        <v>0</v>
      </c>
      <c r="O90" s="29">
        <v>0</v>
      </c>
      <c r="P90" s="29">
        <v>0</v>
      </c>
      <c r="Q90" s="29">
        <v>0</v>
      </c>
      <c r="R90" s="29">
        <v>0</v>
      </c>
      <c r="S90" s="29">
        <v>0</v>
      </c>
      <c r="T90" s="29">
        <v>0</v>
      </c>
      <c r="U90" s="29">
        <v>0</v>
      </c>
      <c r="V90" s="29" t="s">
        <v>329</v>
      </c>
      <c r="W90" s="29" t="s">
        <v>329</v>
      </c>
      <c r="X90" s="29" t="s">
        <v>329</v>
      </c>
      <c r="Y90" s="29" t="s">
        <v>329</v>
      </c>
      <c r="Z90" s="29">
        <v>0</v>
      </c>
      <c r="AA90" s="29">
        <v>0</v>
      </c>
      <c r="AB90" s="29">
        <v>0</v>
      </c>
      <c r="AC90" s="29">
        <v>0</v>
      </c>
      <c r="AD90" s="29">
        <v>0</v>
      </c>
      <c r="AE90" s="29">
        <v>0</v>
      </c>
      <c r="AF90" s="29">
        <v>0</v>
      </c>
      <c r="AG90" s="29">
        <v>0</v>
      </c>
      <c r="AH90" s="29">
        <v>0</v>
      </c>
      <c r="AI90" s="29">
        <v>0</v>
      </c>
      <c r="AJ90" s="29">
        <v>0</v>
      </c>
      <c r="AK90" s="29">
        <v>0</v>
      </c>
      <c r="AL90" s="29">
        <v>0</v>
      </c>
      <c r="AM90" s="29">
        <v>5.5800831647479784E-7</v>
      </c>
      <c r="AN90" s="29">
        <v>0</v>
      </c>
      <c r="AO90" s="29">
        <v>0</v>
      </c>
      <c r="AP90" s="29">
        <v>0</v>
      </c>
      <c r="AQ90" s="29">
        <v>5.5800831647479784E-7</v>
      </c>
      <c r="AR90" s="29">
        <v>0</v>
      </c>
      <c r="AS90" s="33">
        <v>9999</v>
      </c>
      <c r="AT90" s="29">
        <v>5.5800831647479784E-7</v>
      </c>
      <c r="AU90" s="29">
        <v>0</v>
      </c>
      <c r="AV90" s="29">
        <v>0</v>
      </c>
      <c r="AW90" s="29">
        <v>0</v>
      </c>
      <c r="AX90" s="29">
        <v>5.5800831647479784E-7</v>
      </c>
      <c r="AY90" s="29">
        <v>0</v>
      </c>
      <c r="AZ90" s="33">
        <v>9999</v>
      </c>
      <c r="BA90" s="29">
        <v>5.5800831647479784E-7</v>
      </c>
      <c r="BB90" s="29">
        <v>0</v>
      </c>
      <c r="BC90" s="29">
        <v>0</v>
      </c>
      <c r="BD90" s="29">
        <v>0</v>
      </c>
      <c r="BE90" s="29">
        <v>5.5800831647479784E-7</v>
      </c>
      <c r="BF90" s="29">
        <v>0</v>
      </c>
      <c r="BG90" s="29">
        <v>0</v>
      </c>
      <c r="BH90" s="33">
        <v>9999</v>
      </c>
      <c r="BI90" s="29">
        <v>0</v>
      </c>
      <c r="BJ90" s="29">
        <v>0</v>
      </c>
      <c r="BK90" s="29">
        <v>0</v>
      </c>
      <c r="BL90" s="29">
        <v>0</v>
      </c>
      <c r="BM90" s="29">
        <v>0</v>
      </c>
      <c r="BN90" s="29">
        <v>5.5800831647479784E-7</v>
      </c>
      <c r="BO90" s="29">
        <v>0</v>
      </c>
      <c r="BP90" s="29">
        <v>0</v>
      </c>
      <c r="BQ90" s="29">
        <v>0</v>
      </c>
      <c r="BR90" s="29">
        <v>0</v>
      </c>
      <c r="BS90" s="29">
        <v>0</v>
      </c>
      <c r="BT90" s="29">
        <v>0</v>
      </c>
      <c r="BU90" s="29">
        <v>0</v>
      </c>
      <c r="BV90" s="29">
        <v>0</v>
      </c>
      <c r="BW90" s="29">
        <v>0</v>
      </c>
      <c r="BX90" s="29">
        <v>0</v>
      </c>
      <c r="BY90" s="29"/>
      <c r="BZ90" s="29">
        <v>0</v>
      </c>
      <c r="CA90" s="29">
        <v>0</v>
      </c>
      <c r="CB90" s="29">
        <v>5.5800831647479784E-7</v>
      </c>
      <c r="CC90" s="29">
        <v>0</v>
      </c>
      <c r="CD90" s="33">
        <v>9999</v>
      </c>
      <c r="CE90" s="29">
        <v>0</v>
      </c>
      <c r="CF90" s="29">
        <v>1.0182284036038919E-8</v>
      </c>
      <c r="CG90" s="29">
        <v>0</v>
      </c>
      <c r="CH90" s="29">
        <v>1.0182284036038919E-8</v>
      </c>
      <c r="CI90" s="29">
        <v>5.0908224527566966E-10</v>
      </c>
      <c r="CJ90" s="29">
        <v>0</v>
      </c>
      <c r="CK90" s="29">
        <v>5.0908224527566966E-10</v>
      </c>
      <c r="CL90" s="29"/>
      <c r="CM90" s="29">
        <v>0</v>
      </c>
      <c r="CN90" s="29"/>
      <c r="CO90" s="29">
        <v>0</v>
      </c>
      <c r="CP90" s="29">
        <v>0</v>
      </c>
      <c r="CQ90" s="29">
        <v>0</v>
      </c>
      <c r="CR90" s="29">
        <v>0</v>
      </c>
      <c r="CS90" s="29">
        <v>0</v>
      </c>
      <c r="CT90" s="29">
        <v>0</v>
      </c>
      <c r="CU90" s="29">
        <v>0</v>
      </c>
      <c r="CV90" s="29">
        <v>9999</v>
      </c>
      <c r="CW90" s="33">
        <v>9999</v>
      </c>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row>
    <row r="91" spans="1:131">
      <c r="A91" s="7" t="s">
        <v>488</v>
      </c>
      <c r="B91" s="7" t="s">
        <v>387</v>
      </c>
      <c r="C91" s="29">
        <v>15</v>
      </c>
      <c r="D91" s="29">
        <v>9.9999999999999995E-7</v>
      </c>
      <c r="E91" s="29">
        <v>0</v>
      </c>
      <c r="F91" s="29">
        <v>0</v>
      </c>
      <c r="G91" s="29">
        <v>0</v>
      </c>
      <c r="H91" s="29">
        <v>0</v>
      </c>
      <c r="I91" s="29" t="s">
        <v>384</v>
      </c>
      <c r="J91" s="29"/>
      <c r="K91" s="29"/>
      <c r="L91" s="29">
        <v>1.0717520953171995E-6</v>
      </c>
      <c r="M91" s="29">
        <v>0</v>
      </c>
      <c r="N91" s="29">
        <v>0</v>
      </c>
      <c r="O91" s="29">
        <v>0</v>
      </c>
      <c r="P91" s="29">
        <v>0</v>
      </c>
      <c r="Q91" s="29">
        <v>0</v>
      </c>
      <c r="R91" s="29">
        <v>0</v>
      </c>
      <c r="S91" s="29">
        <v>0</v>
      </c>
      <c r="T91" s="29">
        <v>0</v>
      </c>
      <c r="U91" s="29">
        <v>0</v>
      </c>
      <c r="V91" s="29" t="s">
        <v>329</v>
      </c>
      <c r="W91" s="29" t="s">
        <v>329</v>
      </c>
      <c r="X91" s="29" t="s">
        <v>329</v>
      </c>
      <c r="Y91" s="29" t="s">
        <v>329</v>
      </c>
      <c r="Z91" s="29">
        <v>0</v>
      </c>
      <c r="AA91" s="29">
        <v>0</v>
      </c>
      <c r="AB91" s="29">
        <v>0</v>
      </c>
      <c r="AC91" s="29">
        <v>0</v>
      </c>
      <c r="AD91" s="29">
        <v>0</v>
      </c>
      <c r="AE91" s="29">
        <v>0</v>
      </c>
      <c r="AF91" s="29">
        <v>0</v>
      </c>
      <c r="AG91" s="29">
        <v>0</v>
      </c>
      <c r="AH91" s="29">
        <v>0</v>
      </c>
      <c r="AI91" s="29">
        <v>0</v>
      </c>
      <c r="AJ91" s="29">
        <v>0</v>
      </c>
      <c r="AK91" s="29">
        <v>0</v>
      </c>
      <c r="AL91" s="29">
        <v>0</v>
      </c>
      <c r="AM91" s="29">
        <v>5.5800831647479784E-7</v>
      </c>
      <c r="AN91" s="29">
        <v>0</v>
      </c>
      <c r="AO91" s="29">
        <v>0</v>
      </c>
      <c r="AP91" s="29">
        <v>0</v>
      </c>
      <c r="AQ91" s="29">
        <v>5.5800831647479784E-7</v>
      </c>
      <c r="AR91" s="29">
        <v>0</v>
      </c>
      <c r="AS91" s="33">
        <v>9999</v>
      </c>
      <c r="AT91" s="29">
        <v>5.5800831647479784E-7</v>
      </c>
      <c r="AU91" s="29">
        <v>0</v>
      </c>
      <c r="AV91" s="29">
        <v>0</v>
      </c>
      <c r="AW91" s="29">
        <v>0</v>
      </c>
      <c r="AX91" s="29">
        <v>5.5800831647479784E-7</v>
      </c>
      <c r="AY91" s="29">
        <v>0</v>
      </c>
      <c r="AZ91" s="33">
        <v>9999</v>
      </c>
      <c r="BA91" s="29">
        <v>5.5800831647479784E-7</v>
      </c>
      <c r="BB91" s="29">
        <v>0</v>
      </c>
      <c r="BC91" s="29">
        <v>0</v>
      </c>
      <c r="BD91" s="29">
        <v>0</v>
      </c>
      <c r="BE91" s="29">
        <v>5.5800831647479784E-7</v>
      </c>
      <c r="BF91" s="29">
        <v>0</v>
      </c>
      <c r="BG91" s="29">
        <v>0</v>
      </c>
      <c r="BH91" s="33">
        <v>9999</v>
      </c>
      <c r="BI91" s="29">
        <v>0</v>
      </c>
      <c r="BJ91" s="29">
        <v>0</v>
      </c>
      <c r="BK91" s="29">
        <v>0</v>
      </c>
      <c r="BL91" s="29">
        <v>0</v>
      </c>
      <c r="BM91" s="29">
        <v>0</v>
      </c>
      <c r="BN91" s="29">
        <v>5.5800831647479784E-7</v>
      </c>
      <c r="BO91" s="29">
        <v>0</v>
      </c>
      <c r="BP91" s="29">
        <v>0</v>
      </c>
      <c r="BQ91" s="29">
        <v>0</v>
      </c>
      <c r="BR91" s="29">
        <v>0</v>
      </c>
      <c r="BS91" s="29">
        <v>0</v>
      </c>
      <c r="BT91" s="29">
        <v>0</v>
      </c>
      <c r="BU91" s="29">
        <v>0</v>
      </c>
      <c r="BV91" s="29">
        <v>0</v>
      </c>
      <c r="BW91" s="29">
        <v>0</v>
      </c>
      <c r="BX91" s="29">
        <v>0</v>
      </c>
      <c r="BY91" s="29"/>
      <c r="BZ91" s="29">
        <v>0</v>
      </c>
      <c r="CA91" s="29">
        <v>0</v>
      </c>
      <c r="CB91" s="29">
        <v>5.5800831647479784E-7</v>
      </c>
      <c r="CC91" s="29">
        <v>0</v>
      </c>
      <c r="CD91" s="33">
        <v>9999</v>
      </c>
      <c r="CE91" s="29">
        <v>0</v>
      </c>
      <c r="CF91" s="29">
        <v>1.0182284036038919E-8</v>
      </c>
      <c r="CG91" s="29">
        <v>0</v>
      </c>
      <c r="CH91" s="29">
        <v>1.0182284036038919E-8</v>
      </c>
      <c r="CI91" s="29">
        <v>5.0908224527566966E-10</v>
      </c>
      <c r="CJ91" s="29">
        <v>0</v>
      </c>
      <c r="CK91" s="29">
        <v>5.0908224527566966E-10</v>
      </c>
      <c r="CL91" s="29"/>
      <c r="CM91" s="29">
        <v>0</v>
      </c>
      <c r="CN91" s="29"/>
      <c r="CO91" s="29">
        <v>0</v>
      </c>
      <c r="CP91" s="29">
        <v>0</v>
      </c>
      <c r="CQ91" s="29">
        <v>0</v>
      </c>
      <c r="CR91" s="29">
        <v>0</v>
      </c>
      <c r="CS91" s="29">
        <v>0</v>
      </c>
      <c r="CT91" s="29">
        <v>0</v>
      </c>
      <c r="CU91" s="29">
        <v>0</v>
      </c>
      <c r="CV91" s="29">
        <v>9999</v>
      </c>
      <c r="CW91" s="33">
        <v>9999</v>
      </c>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row>
    <row r="92" spans="1:131">
      <c r="A92" s="7" t="s">
        <v>504</v>
      </c>
      <c r="B92" s="7" t="s">
        <v>387</v>
      </c>
      <c r="C92" s="29">
        <v>15</v>
      </c>
      <c r="D92" s="29">
        <v>-137.82461431953399</v>
      </c>
      <c r="E92" s="29">
        <v>0</v>
      </c>
      <c r="F92" s="29">
        <v>0</v>
      </c>
      <c r="G92" s="29">
        <v>0</v>
      </c>
      <c r="H92" s="29">
        <v>0</v>
      </c>
      <c r="I92" s="29" t="s">
        <v>384</v>
      </c>
      <c r="J92" s="29"/>
      <c r="K92" s="29"/>
      <c r="L92" s="29">
        <v>-147.71381918324545</v>
      </c>
      <c r="M92" s="29">
        <v>0</v>
      </c>
      <c r="N92" s="29">
        <v>0</v>
      </c>
      <c r="O92" s="29">
        <v>0</v>
      </c>
      <c r="P92" s="29">
        <v>0</v>
      </c>
      <c r="Q92" s="29">
        <v>0</v>
      </c>
      <c r="R92" s="29">
        <v>0</v>
      </c>
      <c r="S92" s="29">
        <v>0</v>
      </c>
      <c r="T92" s="29">
        <v>0</v>
      </c>
      <c r="U92" s="29">
        <v>0</v>
      </c>
      <c r="V92" s="29" t="s">
        <v>329</v>
      </c>
      <c r="W92" s="29" t="s">
        <v>329</v>
      </c>
      <c r="X92" s="29" t="s">
        <v>329</v>
      </c>
      <c r="Y92" s="29" t="s">
        <v>329</v>
      </c>
      <c r="Z92" s="29">
        <v>0</v>
      </c>
      <c r="AA92" s="29">
        <v>0</v>
      </c>
      <c r="AB92" s="29">
        <v>0</v>
      </c>
      <c r="AC92" s="29">
        <v>0</v>
      </c>
      <c r="AD92" s="29">
        <v>0</v>
      </c>
      <c r="AE92" s="29">
        <v>0</v>
      </c>
      <c r="AF92" s="29">
        <v>0</v>
      </c>
      <c r="AG92" s="29">
        <v>0</v>
      </c>
      <c r="AH92" s="29">
        <v>0</v>
      </c>
      <c r="AI92" s="29">
        <v>0</v>
      </c>
      <c r="AJ92" s="29">
        <v>0</v>
      </c>
      <c r="AK92" s="29">
        <v>0</v>
      </c>
      <c r="AL92" s="29">
        <v>0</v>
      </c>
      <c r="AM92" s="29">
        <v>-76.907281005231496</v>
      </c>
      <c r="AN92" s="29">
        <v>0</v>
      </c>
      <c r="AO92" s="29">
        <v>0</v>
      </c>
      <c r="AP92" s="29">
        <v>0</v>
      </c>
      <c r="AQ92" s="29">
        <v>-76.907281005231496</v>
      </c>
      <c r="AR92" s="29">
        <v>0</v>
      </c>
      <c r="AS92" s="109">
        <v>0</v>
      </c>
      <c r="AT92" s="29">
        <v>-76.907281005231496</v>
      </c>
      <c r="AU92" s="29">
        <v>0</v>
      </c>
      <c r="AV92" s="29">
        <v>0</v>
      </c>
      <c r="AW92" s="29">
        <v>0</v>
      </c>
      <c r="AX92" s="29">
        <v>-76.907281005231496</v>
      </c>
      <c r="AY92" s="29">
        <v>0</v>
      </c>
      <c r="AZ92" s="109">
        <v>0</v>
      </c>
      <c r="BA92" s="29">
        <v>-76.907281005231496</v>
      </c>
      <c r="BB92" s="29">
        <v>0</v>
      </c>
      <c r="BC92" s="29">
        <v>0</v>
      </c>
      <c r="BD92" s="29">
        <v>0</v>
      </c>
      <c r="BE92" s="29">
        <v>-76.907281005231496</v>
      </c>
      <c r="BF92" s="29">
        <v>0</v>
      </c>
      <c r="BG92" s="29">
        <v>9999</v>
      </c>
      <c r="BH92" s="109">
        <v>0</v>
      </c>
      <c r="BI92" s="29">
        <v>9999</v>
      </c>
      <c r="BJ92" s="29">
        <v>9999</v>
      </c>
      <c r="BK92" s="29">
        <v>9999</v>
      </c>
      <c r="BL92" s="29">
        <v>9999</v>
      </c>
      <c r="BM92" s="29">
        <v>9999</v>
      </c>
      <c r="BN92" s="29">
        <v>-76.907281005231496</v>
      </c>
      <c r="BO92" s="29">
        <v>0</v>
      </c>
      <c r="BP92" s="29">
        <v>0</v>
      </c>
      <c r="BQ92" s="29">
        <v>0</v>
      </c>
      <c r="BR92" s="29">
        <v>0</v>
      </c>
      <c r="BS92" s="29">
        <v>0</v>
      </c>
      <c r="BT92" s="29">
        <v>0</v>
      </c>
      <c r="BU92" s="29">
        <v>0</v>
      </c>
      <c r="BV92" s="29">
        <v>152.45187546223426</v>
      </c>
      <c r="BW92" s="29">
        <v>0</v>
      </c>
      <c r="BX92" s="29">
        <v>0</v>
      </c>
      <c r="BY92" s="29"/>
      <c r="BZ92" s="29">
        <v>0</v>
      </c>
      <c r="CA92" s="29">
        <v>0</v>
      </c>
      <c r="CB92" s="29">
        <v>75.544594457002759</v>
      </c>
      <c r="CC92" s="29">
        <v>0</v>
      </c>
      <c r="CD92" s="33">
        <v>1.982281436420356</v>
      </c>
      <c r="CE92" s="29">
        <v>9999</v>
      </c>
      <c r="CF92" s="29">
        <v>-1.403369370159014</v>
      </c>
      <c r="CG92" s="29">
        <v>0</v>
      </c>
      <c r="CH92" s="29">
        <v>-1.403369370159014</v>
      </c>
      <c r="CI92" s="29">
        <v>-7.0164064112041583E-2</v>
      </c>
      <c r="CJ92" s="29">
        <v>0</v>
      </c>
      <c r="CK92" s="29">
        <v>-7.0164064112041583E-2</v>
      </c>
      <c r="CL92" s="29"/>
      <c r="CM92" s="29">
        <v>0</v>
      </c>
      <c r="CN92" s="29"/>
      <c r="CO92" s="29">
        <v>0</v>
      </c>
      <c r="CP92" s="29">
        <v>0</v>
      </c>
      <c r="CQ92" s="29">
        <v>0</v>
      </c>
      <c r="CR92" s="29">
        <v>0</v>
      </c>
      <c r="CS92" s="29">
        <v>0</v>
      </c>
      <c r="CT92" s="29">
        <v>0</v>
      </c>
      <c r="CU92" s="29">
        <v>0</v>
      </c>
      <c r="CV92" s="29">
        <v>9999</v>
      </c>
      <c r="CW92" s="33">
        <v>9999</v>
      </c>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row>
    <row r="93" spans="1:131">
      <c r="A93" s="7" t="s">
        <v>489</v>
      </c>
      <c r="B93" s="7" t="s">
        <v>387</v>
      </c>
      <c r="C93" s="29">
        <v>15</v>
      </c>
      <c r="D93" s="29">
        <v>-63.271546719710798</v>
      </c>
      <c r="E93" s="29">
        <v>0</v>
      </c>
      <c r="F93" s="29">
        <v>0</v>
      </c>
      <c r="G93" s="29">
        <v>0</v>
      </c>
      <c r="H93" s="29">
        <v>0</v>
      </c>
      <c r="I93" s="29" t="s">
        <v>384</v>
      </c>
      <c r="J93" s="29"/>
      <c r="K93" s="29"/>
      <c r="L93" s="29">
        <v>-67.811412770810122</v>
      </c>
      <c r="M93" s="29">
        <v>0</v>
      </c>
      <c r="N93" s="29">
        <v>0</v>
      </c>
      <c r="O93" s="29">
        <v>0</v>
      </c>
      <c r="P93" s="29">
        <v>0</v>
      </c>
      <c r="Q93" s="29">
        <v>0</v>
      </c>
      <c r="R93" s="29">
        <v>0</v>
      </c>
      <c r="S93" s="29">
        <v>0</v>
      </c>
      <c r="T93" s="29">
        <v>0</v>
      </c>
      <c r="U93" s="29">
        <v>0</v>
      </c>
      <c r="V93" s="29" t="s">
        <v>329</v>
      </c>
      <c r="W93" s="29" t="s">
        <v>329</v>
      </c>
      <c r="X93" s="29" t="s">
        <v>329</v>
      </c>
      <c r="Y93" s="29" t="s">
        <v>329</v>
      </c>
      <c r="Z93" s="29">
        <v>0</v>
      </c>
      <c r="AA93" s="29">
        <v>0</v>
      </c>
      <c r="AB93" s="29">
        <v>0</v>
      </c>
      <c r="AC93" s="29">
        <v>0</v>
      </c>
      <c r="AD93" s="29">
        <v>0</v>
      </c>
      <c r="AE93" s="29">
        <v>0</v>
      </c>
      <c r="AF93" s="29">
        <v>0</v>
      </c>
      <c r="AG93" s="29">
        <v>0</v>
      </c>
      <c r="AH93" s="29">
        <v>0</v>
      </c>
      <c r="AI93" s="29">
        <v>0</v>
      </c>
      <c r="AJ93" s="29">
        <v>0</v>
      </c>
      <c r="AK93" s="29">
        <v>0</v>
      </c>
      <c r="AL93" s="29">
        <v>0</v>
      </c>
      <c r="AM93" s="29">
        <v>-35.306049265822324</v>
      </c>
      <c r="AN93" s="29">
        <v>0</v>
      </c>
      <c r="AO93" s="29">
        <v>0</v>
      </c>
      <c r="AP93" s="29">
        <v>0</v>
      </c>
      <c r="AQ93" s="29">
        <v>-35.306049265822324</v>
      </c>
      <c r="AR93" s="29">
        <v>0</v>
      </c>
      <c r="AS93" s="109">
        <v>0</v>
      </c>
      <c r="AT93" s="29">
        <v>-35.306049265822324</v>
      </c>
      <c r="AU93" s="29">
        <v>0</v>
      </c>
      <c r="AV93" s="29">
        <v>0</v>
      </c>
      <c r="AW93" s="29">
        <v>0</v>
      </c>
      <c r="AX93" s="29">
        <v>-35.306049265822324</v>
      </c>
      <c r="AY93" s="29">
        <v>0</v>
      </c>
      <c r="AZ93" s="109">
        <v>0</v>
      </c>
      <c r="BA93" s="29">
        <v>-35.306049265822324</v>
      </c>
      <c r="BB93" s="29">
        <v>0</v>
      </c>
      <c r="BC93" s="29">
        <v>0</v>
      </c>
      <c r="BD93" s="29">
        <v>0</v>
      </c>
      <c r="BE93" s="29">
        <v>-35.306049265822324</v>
      </c>
      <c r="BF93" s="29">
        <v>0</v>
      </c>
      <c r="BG93" s="29">
        <v>9999</v>
      </c>
      <c r="BH93" s="109">
        <v>0</v>
      </c>
      <c r="BI93" s="29">
        <v>9999</v>
      </c>
      <c r="BJ93" s="29">
        <v>9999</v>
      </c>
      <c r="BK93" s="29">
        <v>9999</v>
      </c>
      <c r="BL93" s="29">
        <v>9999</v>
      </c>
      <c r="BM93" s="29">
        <v>9999</v>
      </c>
      <c r="BN93" s="29">
        <v>-35.306049265822324</v>
      </c>
      <c r="BO93" s="29">
        <v>0</v>
      </c>
      <c r="BP93" s="29">
        <v>0</v>
      </c>
      <c r="BQ93" s="29">
        <v>0</v>
      </c>
      <c r="BR93" s="29">
        <v>0</v>
      </c>
      <c r="BS93" s="29">
        <v>0</v>
      </c>
      <c r="BT93" s="29">
        <v>0</v>
      </c>
      <c r="BU93" s="29">
        <v>0</v>
      </c>
      <c r="BV93" s="29">
        <v>69.986526052982171</v>
      </c>
      <c r="BW93" s="29">
        <v>0</v>
      </c>
      <c r="BX93" s="29">
        <v>0</v>
      </c>
      <c r="BY93" s="29"/>
      <c r="BZ93" s="29">
        <v>0</v>
      </c>
      <c r="CA93" s="29">
        <v>0</v>
      </c>
      <c r="CB93" s="29">
        <v>34.680476787159847</v>
      </c>
      <c r="CC93" s="29">
        <v>0</v>
      </c>
      <c r="CD93" s="33">
        <v>1.9822814364203571</v>
      </c>
      <c r="CE93" s="29">
        <v>9999</v>
      </c>
      <c r="CF93" s="29">
        <v>-0.64424886009960203</v>
      </c>
      <c r="CG93" s="29">
        <v>0</v>
      </c>
      <c r="CH93" s="29">
        <v>-0.64424886009960203</v>
      </c>
      <c r="CI93" s="29">
        <v>-3.2210421066134809E-2</v>
      </c>
      <c r="CJ93" s="29">
        <v>0</v>
      </c>
      <c r="CK93" s="29">
        <v>-3.2210421066134809E-2</v>
      </c>
      <c r="CL93" s="29"/>
      <c r="CM93" s="29">
        <v>0</v>
      </c>
      <c r="CN93" s="29"/>
      <c r="CO93" s="29">
        <v>0</v>
      </c>
      <c r="CP93" s="29">
        <v>0</v>
      </c>
      <c r="CQ93" s="29">
        <v>0</v>
      </c>
      <c r="CR93" s="29">
        <v>0</v>
      </c>
      <c r="CS93" s="29">
        <v>0</v>
      </c>
      <c r="CT93" s="29">
        <v>0</v>
      </c>
      <c r="CU93" s="29">
        <v>0</v>
      </c>
      <c r="CV93" s="29">
        <v>9999</v>
      </c>
      <c r="CW93" s="33">
        <v>9999</v>
      </c>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row>
    <row r="94" spans="1:131">
      <c r="A94" s="7" t="s">
        <v>490</v>
      </c>
      <c r="B94" s="7" t="s">
        <v>387</v>
      </c>
      <c r="C94" s="29">
        <v>15</v>
      </c>
      <c r="D94" s="29">
        <v>-137.82461431953396</v>
      </c>
      <c r="E94" s="29">
        <v>0</v>
      </c>
      <c r="F94" s="29">
        <v>0</v>
      </c>
      <c r="G94" s="29">
        <v>0</v>
      </c>
      <c r="H94" s="29">
        <v>0</v>
      </c>
      <c r="I94" s="29" t="s">
        <v>384</v>
      </c>
      <c r="J94" s="29"/>
      <c r="K94" s="29"/>
      <c r="L94" s="29">
        <v>-147.71381918324542</v>
      </c>
      <c r="M94" s="29">
        <v>0</v>
      </c>
      <c r="N94" s="29">
        <v>0</v>
      </c>
      <c r="O94" s="29">
        <v>0</v>
      </c>
      <c r="P94" s="29">
        <v>0</v>
      </c>
      <c r="Q94" s="29">
        <v>0</v>
      </c>
      <c r="R94" s="29">
        <v>0</v>
      </c>
      <c r="S94" s="29">
        <v>0</v>
      </c>
      <c r="T94" s="29">
        <v>0</v>
      </c>
      <c r="U94" s="29">
        <v>0</v>
      </c>
      <c r="V94" s="29" t="s">
        <v>329</v>
      </c>
      <c r="W94" s="29" t="s">
        <v>329</v>
      </c>
      <c r="X94" s="29" t="s">
        <v>329</v>
      </c>
      <c r="Y94" s="29" t="s">
        <v>329</v>
      </c>
      <c r="Z94" s="29">
        <v>0</v>
      </c>
      <c r="AA94" s="29">
        <v>0</v>
      </c>
      <c r="AB94" s="29">
        <v>0</v>
      </c>
      <c r="AC94" s="29">
        <v>0</v>
      </c>
      <c r="AD94" s="29">
        <v>0</v>
      </c>
      <c r="AE94" s="29">
        <v>0</v>
      </c>
      <c r="AF94" s="29">
        <v>0</v>
      </c>
      <c r="AG94" s="29">
        <v>0</v>
      </c>
      <c r="AH94" s="29">
        <v>0</v>
      </c>
      <c r="AI94" s="29">
        <v>0</v>
      </c>
      <c r="AJ94" s="29">
        <v>0</v>
      </c>
      <c r="AK94" s="29">
        <v>0</v>
      </c>
      <c r="AL94" s="29">
        <v>0</v>
      </c>
      <c r="AM94" s="29">
        <v>-76.907281005231496</v>
      </c>
      <c r="AN94" s="29">
        <v>0</v>
      </c>
      <c r="AO94" s="29">
        <v>0</v>
      </c>
      <c r="AP94" s="29">
        <v>0</v>
      </c>
      <c r="AQ94" s="29">
        <v>-76.907281005231496</v>
      </c>
      <c r="AR94" s="29">
        <v>0</v>
      </c>
      <c r="AS94" s="109">
        <v>0</v>
      </c>
      <c r="AT94" s="29">
        <v>-76.907281005231496</v>
      </c>
      <c r="AU94" s="29">
        <v>0</v>
      </c>
      <c r="AV94" s="29">
        <v>0</v>
      </c>
      <c r="AW94" s="29">
        <v>0</v>
      </c>
      <c r="AX94" s="29">
        <v>-76.907281005231496</v>
      </c>
      <c r="AY94" s="29">
        <v>0</v>
      </c>
      <c r="AZ94" s="109">
        <v>0</v>
      </c>
      <c r="BA94" s="29">
        <v>-76.907281005231496</v>
      </c>
      <c r="BB94" s="29">
        <v>0</v>
      </c>
      <c r="BC94" s="29">
        <v>0</v>
      </c>
      <c r="BD94" s="29">
        <v>0</v>
      </c>
      <c r="BE94" s="29">
        <v>-76.907281005231496</v>
      </c>
      <c r="BF94" s="29">
        <v>0</v>
      </c>
      <c r="BG94" s="29">
        <v>9999</v>
      </c>
      <c r="BH94" s="109">
        <v>0</v>
      </c>
      <c r="BI94" s="29">
        <v>9999</v>
      </c>
      <c r="BJ94" s="29">
        <v>9999</v>
      </c>
      <c r="BK94" s="29">
        <v>9999</v>
      </c>
      <c r="BL94" s="29">
        <v>9999</v>
      </c>
      <c r="BM94" s="29">
        <v>9999</v>
      </c>
      <c r="BN94" s="29">
        <v>-76.907281005231496</v>
      </c>
      <c r="BO94" s="29">
        <v>0</v>
      </c>
      <c r="BP94" s="29">
        <v>0</v>
      </c>
      <c r="BQ94" s="29">
        <v>0</v>
      </c>
      <c r="BR94" s="29">
        <v>0</v>
      </c>
      <c r="BS94" s="29">
        <v>0</v>
      </c>
      <c r="BT94" s="29">
        <v>0</v>
      </c>
      <c r="BU94" s="29">
        <v>0</v>
      </c>
      <c r="BV94" s="29">
        <v>152.45187546223426</v>
      </c>
      <c r="BW94" s="29">
        <v>0</v>
      </c>
      <c r="BX94" s="29">
        <v>0</v>
      </c>
      <c r="BY94" s="29"/>
      <c r="BZ94" s="29">
        <v>0</v>
      </c>
      <c r="CA94" s="29">
        <v>0</v>
      </c>
      <c r="CB94" s="29">
        <v>75.544594457002759</v>
      </c>
      <c r="CC94" s="29">
        <v>0</v>
      </c>
      <c r="CD94" s="33">
        <v>1.982281436420356</v>
      </c>
      <c r="CE94" s="29">
        <v>9999</v>
      </c>
      <c r="CF94" s="29">
        <v>-1.4033693701590133</v>
      </c>
      <c r="CG94" s="29">
        <v>0</v>
      </c>
      <c r="CH94" s="29">
        <v>-1.4033693701590133</v>
      </c>
      <c r="CI94" s="29">
        <v>-7.0164064112041569E-2</v>
      </c>
      <c r="CJ94" s="29">
        <v>0</v>
      </c>
      <c r="CK94" s="29">
        <v>-7.0164064112041569E-2</v>
      </c>
      <c r="CL94" s="29"/>
      <c r="CM94" s="29">
        <v>0</v>
      </c>
      <c r="CN94" s="29"/>
      <c r="CO94" s="29">
        <v>0</v>
      </c>
      <c r="CP94" s="29">
        <v>0</v>
      </c>
      <c r="CQ94" s="29">
        <v>0</v>
      </c>
      <c r="CR94" s="29">
        <v>0</v>
      </c>
      <c r="CS94" s="29">
        <v>0</v>
      </c>
      <c r="CT94" s="29">
        <v>0</v>
      </c>
      <c r="CU94" s="29">
        <v>0</v>
      </c>
      <c r="CV94" s="29">
        <v>9999</v>
      </c>
      <c r="CW94" s="33">
        <v>9999</v>
      </c>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row>
    <row r="95" spans="1:131">
      <c r="A95" s="7" t="s">
        <v>491</v>
      </c>
      <c r="B95" s="7" t="s">
        <v>387</v>
      </c>
      <c r="C95" s="29">
        <v>15</v>
      </c>
      <c r="D95" s="29">
        <v>-107.11896830061704</v>
      </c>
      <c r="E95" s="29">
        <v>0</v>
      </c>
      <c r="F95" s="29">
        <v>0</v>
      </c>
      <c r="G95" s="29">
        <v>0</v>
      </c>
      <c r="H95" s="29">
        <v>0</v>
      </c>
      <c r="I95" s="29" t="s">
        <v>384</v>
      </c>
      <c r="J95" s="29"/>
      <c r="K95" s="29"/>
      <c r="L95" s="29">
        <v>-114.80497872440299</v>
      </c>
      <c r="M95" s="29">
        <v>0</v>
      </c>
      <c r="N95" s="29">
        <v>0</v>
      </c>
      <c r="O95" s="29">
        <v>0</v>
      </c>
      <c r="P95" s="29">
        <v>0</v>
      </c>
      <c r="Q95" s="29">
        <v>0</v>
      </c>
      <c r="R95" s="29">
        <v>0</v>
      </c>
      <c r="S95" s="29">
        <v>0</v>
      </c>
      <c r="T95" s="29">
        <v>0</v>
      </c>
      <c r="U95" s="29">
        <v>0</v>
      </c>
      <c r="V95" s="29" t="s">
        <v>329</v>
      </c>
      <c r="W95" s="29" t="s">
        <v>329</v>
      </c>
      <c r="X95" s="29" t="s">
        <v>329</v>
      </c>
      <c r="Y95" s="29" t="s">
        <v>329</v>
      </c>
      <c r="Z95" s="29">
        <v>0</v>
      </c>
      <c r="AA95" s="29">
        <v>0</v>
      </c>
      <c r="AB95" s="29">
        <v>0</v>
      </c>
      <c r="AC95" s="29">
        <v>0</v>
      </c>
      <c r="AD95" s="29">
        <v>0</v>
      </c>
      <c r="AE95" s="29">
        <v>0</v>
      </c>
      <c r="AF95" s="29">
        <v>0</v>
      </c>
      <c r="AG95" s="29">
        <v>0</v>
      </c>
      <c r="AH95" s="29">
        <v>0</v>
      </c>
      <c r="AI95" s="29">
        <v>0</v>
      </c>
      <c r="AJ95" s="29">
        <v>0</v>
      </c>
      <c r="AK95" s="29">
        <v>0</v>
      </c>
      <c r="AL95" s="29">
        <v>0</v>
      </c>
      <c r="AM95" s="29">
        <v>-59.773275163944589</v>
      </c>
      <c r="AN95" s="29">
        <v>0</v>
      </c>
      <c r="AO95" s="29">
        <v>0</v>
      </c>
      <c r="AP95" s="29">
        <v>0</v>
      </c>
      <c r="AQ95" s="29">
        <v>-59.773275163944589</v>
      </c>
      <c r="AR95" s="29">
        <v>0</v>
      </c>
      <c r="AS95" s="109">
        <v>0</v>
      </c>
      <c r="AT95" s="29">
        <v>-59.773275163944589</v>
      </c>
      <c r="AU95" s="29">
        <v>0</v>
      </c>
      <c r="AV95" s="29">
        <v>0</v>
      </c>
      <c r="AW95" s="29">
        <v>0</v>
      </c>
      <c r="AX95" s="29">
        <v>-59.773275163944589</v>
      </c>
      <c r="AY95" s="29">
        <v>0</v>
      </c>
      <c r="AZ95" s="109">
        <v>0</v>
      </c>
      <c r="BA95" s="29">
        <v>-59.773275163944589</v>
      </c>
      <c r="BB95" s="29">
        <v>0</v>
      </c>
      <c r="BC95" s="29">
        <v>0</v>
      </c>
      <c r="BD95" s="29">
        <v>0</v>
      </c>
      <c r="BE95" s="29">
        <v>-59.773275163944589</v>
      </c>
      <c r="BF95" s="29">
        <v>0</v>
      </c>
      <c r="BG95" s="29">
        <v>9999</v>
      </c>
      <c r="BH95" s="109">
        <v>0</v>
      </c>
      <c r="BI95" s="29">
        <v>9999</v>
      </c>
      <c r="BJ95" s="29">
        <v>9999</v>
      </c>
      <c r="BK95" s="29">
        <v>9999</v>
      </c>
      <c r="BL95" s="29">
        <v>9999</v>
      </c>
      <c r="BM95" s="29">
        <v>9999</v>
      </c>
      <c r="BN95" s="29">
        <v>-59.773275163944589</v>
      </c>
      <c r="BO95" s="29">
        <v>0</v>
      </c>
      <c r="BP95" s="29">
        <v>0</v>
      </c>
      <c r="BQ95" s="29">
        <v>0</v>
      </c>
      <c r="BR95" s="29">
        <v>0</v>
      </c>
      <c r="BS95" s="29">
        <v>0</v>
      </c>
      <c r="BT95" s="29">
        <v>0</v>
      </c>
      <c r="BU95" s="29">
        <v>0</v>
      </c>
      <c r="BV95" s="29">
        <v>118.48745375153322</v>
      </c>
      <c r="BW95" s="29">
        <v>0</v>
      </c>
      <c r="BX95" s="29">
        <v>0</v>
      </c>
      <c r="BY95" s="29"/>
      <c r="BZ95" s="29">
        <v>0</v>
      </c>
      <c r="CA95" s="29">
        <v>0</v>
      </c>
      <c r="CB95" s="29">
        <v>58.714178587588634</v>
      </c>
      <c r="CC95" s="29">
        <v>0</v>
      </c>
      <c r="CD95" s="33">
        <v>1.9822814364203551</v>
      </c>
      <c r="CE95" s="29">
        <v>9999</v>
      </c>
      <c r="CF95" s="29">
        <v>-1.0907157608843312</v>
      </c>
      <c r="CG95" s="29">
        <v>0</v>
      </c>
      <c r="CH95" s="29">
        <v>-1.0907157608843312</v>
      </c>
      <c r="CI95" s="29">
        <v>-5.4532364894091412E-2</v>
      </c>
      <c r="CJ95" s="29">
        <v>0</v>
      </c>
      <c r="CK95" s="29">
        <v>-5.4532364894091412E-2</v>
      </c>
      <c r="CL95" s="29"/>
      <c r="CM95" s="29">
        <v>0</v>
      </c>
      <c r="CN95" s="29"/>
      <c r="CO95" s="29">
        <v>0</v>
      </c>
      <c r="CP95" s="29">
        <v>0</v>
      </c>
      <c r="CQ95" s="29">
        <v>0</v>
      </c>
      <c r="CR95" s="29">
        <v>0</v>
      </c>
      <c r="CS95" s="29">
        <v>0</v>
      </c>
      <c r="CT95" s="29">
        <v>0</v>
      </c>
      <c r="CU95" s="29">
        <v>0</v>
      </c>
      <c r="CV95" s="29">
        <v>9999</v>
      </c>
      <c r="CW95" s="33">
        <v>9999</v>
      </c>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row>
    <row r="96" spans="1:131">
      <c r="A96" s="7" t="s">
        <v>492</v>
      </c>
      <c r="B96" s="7" t="s">
        <v>387</v>
      </c>
      <c r="C96" s="29">
        <v>15</v>
      </c>
      <c r="D96" s="29">
        <v>9.9999999999999995E-7</v>
      </c>
      <c r="E96" s="29">
        <v>0</v>
      </c>
      <c r="F96" s="29">
        <v>0</v>
      </c>
      <c r="G96" s="29">
        <v>0</v>
      </c>
      <c r="H96" s="29">
        <v>0</v>
      </c>
      <c r="I96" s="29" t="s">
        <v>384</v>
      </c>
      <c r="J96" s="29"/>
      <c r="K96" s="29"/>
      <c r="L96" s="29">
        <v>1.0717520953171995E-6</v>
      </c>
      <c r="M96" s="29">
        <v>0</v>
      </c>
      <c r="N96" s="29">
        <v>0</v>
      </c>
      <c r="O96" s="29">
        <v>0</v>
      </c>
      <c r="P96" s="29">
        <v>0</v>
      </c>
      <c r="Q96" s="29">
        <v>0</v>
      </c>
      <c r="R96" s="29">
        <v>0</v>
      </c>
      <c r="S96" s="29">
        <v>0</v>
      </c>
      <c r="T96" s="29">
        <v>0</v>
      </c>
      <c r="U96" s="29">
        <v>0</v>
      </c>
      <c r="V96" s="29" t="s">
        <v>329</v>
      </c>
      <c r="W96" s="29" t="s">
        <v>329</v>
      </c>
      <c r="X96" s="29" t="s">
        <v>329</v>
      </c>
      <c r="Y96" s="29" t="s">
        <v>329</v>
      </c>
      <c r="Z96" s="29">
        <v>0</v>
      </c>
      <c r="AA96" s="29">
        <v>0</v>
      </c>
      <c r="AB96" s="29">
        <v>0</v>
      </c>
      <c r="AC96" s="29">
        <v>0</v>
      </c>
      <c r="AD96" s="29">
        <v>0</v>
      </c>
      <c r="AE96" s="29">
        <v>0</v>
      </c>
      <c r="AF96" s="29">
        <v>0</v>
      </c>
      <c r="AG96" s="29">
        <v>0</v>
      </c>
      <c r="AH96" s="29">
        <v>0</v>
      </c>
      <c r="AI96" s="29">
        <v>0</v>
      </c>
      <c r="AJ96" s="29">
        <v>0</v>
      </c>
      <c r="AK96" s="29">
        <v>0</v>
      </c>
      <c r="AL96" s="29">
        <v>0</v>
      </c>
      <c r="AM96" s="29">
        <v>5.5800831647479784E-7</v>
      </c>
      <c r="AN96" s="29">
        <v>0</v>
      </c>
      <c r="AO96" s="29">
        <v>0</v>
      </c>
      <c r="AP96" s="29">
        <v>0</v>
      </c>
      <c r="AQ96" s="29">
        <v>5.5800831647479784E-7</v>
      </c>
      <c r="AR96" s="29">
        <v>0</v>
      </c>
      <c r="AS96" s="33">
        <v>9999</v>
      </c>
      <c r="AT96" s="29">
        <v>5.5800831647479784E-7</v>
      </c>
      <c r="AU96" s="29">
        <v>0</v>
      </c>
      <c r="AV96" s="29">
        <v>0</v>
      </c>
      <c r="AW96" s="29">
        <v>0</v>
      </c>
      <c r="AX96" s="29">
        <v>5.5800831647479784E-7</v>
      </c>
      <c r="AY96" s="29">
        <v>0</v>
      </c>
      <c r="AZ96" s="33">
        <v>9999</v>
      </c>
      <c r="BA96" s="29">
        <v>5.5800831647479784E-7</v>
      </c>
      <c r="BB96" s="29">
        <v>0</v>
      </c>
      <c r="BC96" s="29">
        <v>0</v>
      </c>
      <c r="BD96" s="29">
        <v>0</v>
      </c>
      <c r="BE96" s="29">
        <v>5.5800831647479784E-7</v>
      </c>
      <c r="BF96" s="29">
        <v>0</v>
      </c>
      <c r="BG96" s="29">
        <v>0</v>
      </c>
      <c r="BH96" s="33">
        <v>9999</v>
      </c>
      <c r="BI96" s="29">
        <v>0</v>
      </c>
      <c r="BJ96" s="29">
        <v>0</v>
      </c>
      <c r="BK96" s="29">
        <v>0</v>
      </c>
      <c r="BL96" s="29">
        <v>0</v>
      </c>
      <c r="BM96" s="29">
        <v>0</v>
      </c>
      <c r="BN96" s="29">
        <v>5.5800831647479784E-7</v>
      </c>
      <c r="BO96" s="29">
        <v>0</v>
      </c>
      <c r="BP96" s="29">
        <v>0</v>
      </c>
      <c r="BQ96" s="29">
        <v>0</v>
      </c>
      <c r="BR96" s="29">
        <v>0</v>
      </c>
      <c r="BS96" s="29">
        <v>0</v>
      </c>
      <c r="BT96" s="29">
        <v>0</v>
      </c>
      <c r="BU96" s="29">
        <v>0</v>
      </c>
      <c r="BV96" s="29">
        <v>0</v>
      </c>
      <c r="BW96" s="29">
        <v>0</v>
      </c>
      <c r="BX96" s="29">
        <v>0</v>
      </c>
      <c r="BY96" s="29"/>
      <c r="BZ96" s="29">
        <v>0</v>
      </c>
      <c r="CA96" s="29">
        <v>0</v>
      </c>
      <c r="CB96" s="29">
        <v>5.5800831647479784E-7</v>
      </c>
      <c r="CC96" s="29">
        <v>0</v>
      </c>
      <c r="CD96" s="33">
        <v>9999</v>
      </c>
      <c r="CE96" s="29">
        <v>0</v>
      </c>
      <c r="CF96" s="29">
        <v>1.0182284036038919E-8</v>
      </c>
      <c r="CG96" s="29">
        <v>0</v>
      </c>
      <c r="CH96" s="29">
        <v>1.0182284036038919E-8</v>
      </c>
      <c r="CI96" s="29">
        <v>5.0908224527566966E-10</v>
      </c>
      <c r="CJ96" s="29">
        <v>0</v>
      </c>
      <c r="CK96" s="29">
        <v>5.0908224527566966E-10</v>
      </c>
      <c r="CL96" s="29"/>
      <c r="CM96" s="29">
        <v>0</v>
      </c>
      <c r="CN96" s="29"/>
      <c r="CO96" s="29">
        <v>0</v>
      </c>
      <c r="CP96" s="29">
        <v>0</v>
      </c>
      <c r="CQ96" s="29">
        <v>0</v>
      </c>
      <c r="CR96" s="29">
        <v>0</v>
      </c>
      <c r="CS96" s="29">
        <v>0</v>
      </c>
      <c r="CT96" s="29">
        <v>0</v>
      </c>
      <c r="CU96" s="29">
        <v>0</v>
      </c>
      <c r="CV96" s="29">
        <v>9999</v>
      </c>
      <c r="CW96" s="33">
        <v>9999</v>
      </c>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row>
    <row r="97" spans="1:131">
      <c r="A97" s="7" t="s">
        <v>493</v>
      </c>
      <c r="B97" s="7" t="s">
        <v>387</v>
      </c>
      <c r="C97" s="29">
        <v>15</v>
      </c>
      <c r="D97" s="29">
        <v>9.9999999999999995E-7</v>
      </c>
      <c r="E97" s="29">
        <v>0</v>
      </c>
      <c r="F97" s="29">
        <v>0</v>
      </c>
      <c r="G97" s="29">
        <v>0</v>
      </c>
      <c r="H97" s="29">
        <v>0</v>
      </c>
      <c r="I97" s="29" t="s">
        <v>384</v>
      </c>
      <c r="J97" s="29"/>
      <c r="K97" s="29"/>
      <c r="L97" s="29">
        <v>1.0717520953171995E-6</v>
      </c>
      <c r="M97" s="29">
        <v>0</v>
      </c>
      <c r="N97" s="29">
        <v>0</v>
      </c>
      <c r="O97" s="29">
        <v>0</v>
      </c>
      <c r="P97" s="29">
        <v>0</v>
      </c>
      <c r="Q97" s="29">
        <v>0</v>
      </c>
      <c r="R97" s="29">
        <v>0</v>
      </c>
      <c r="S97" s="29">
        <v>0</v>
      </c>
      <c r="T97" s="29">
        <v>0</v>
      </c>
      <c r="U97" s="29">
        <v>0</v>
      </c>
      <c r="V97" s="29" t="s">
        <v>329</v>
      </c>
      <c r="W97" s="29" t="s">
        <v>329</v>
      </c>
      <c r="X97" s="29" t="s">
        <v>329</v>
      </c>
      <c r="Y97" s="29" t="s">
        <v>329</v>
      </c>
      <c r="Z97" s="29">
        <v>0</v>
      </c>
      <c r="AA97" s="29">
        <v>0</v>
      </c>
      <c r="AB97" s="29">
        <v>0</v>
      </c>
      <c r="AC97" s="29">
        <v>0</v>
      </c>
      <c r="AD97" s="29">
        <v>0</v>
      </c>
      <c r="AE97" s="29">
        <v>0</v>
      </c>
      <c r="AF97" s="29">
        <v>0</v>
      </c>
      <c r="AG97" s="29">
        <v>0</v>
      </c>
      <c r="AH97" s="29">
        <v>0</v>
      </c>
      <c r="AI97" s="29">
        <v>0</v>
      </c>
      <c r="AJ97" s="29">
        <v>0</v>
      </c>
      <c r="AK97" s="29">
        <v>0</v>
      </c>
      <c r="AL97" s="29">
        <v>0</v>
      </c>
      <c r="AM97" s="29">
        <v>5.5800831647479784E-7</v>
      </c>
      <c r="AN97" s="29">
        <v>0</v>
      </c>
      <c r="AO97" s="29">
        <v>0</v>
      </c>
      <c r="AP97" s="29">
        <v>0</v>
      </c>
      <c r="AQ97" s="29">
        <v>5.5800831647479784E-7</v>
      </c>
      <c r="AR97" s="29">
        <v>0</v>
      </c>
      <c r="AS97" s="33">
        <v>9999</v>
      </c>
      <c r="AT97" s="29">
        <v>5.5800831647479784E-7</v>
      </c>
      <c r="AU97" s="29">
        <v>0</v>
      </c>
      <c r="AV97" s="29">
        <v>0</v>
      </c>
      <c r="AW97" s="29">
        <v>0</v>
      </c>
      <c r="AX97" s="29">
        <v>5.5800831647479784E-7</v>
      </c>
      <c r="AY97" s="29">
        <v>0</v>
      </c>
      <c r="AZ97" s="33">
        <v>9999</v>
      </c>
      <c r="BA97" s="29">
        <v>5.5800831647479784E-7</v>
      </c>
      <c r="BB97" s="29">
        <v>0</v>
      </c>
      <c r="BC97" s="29">
        <v>0</v>
      </c>
      <c r="BD97" s="29">
        <v>0</v>
      </c>
      <c r="BE97" s="29">
        <v>5.5800831647479784E-7</v>
      </c>
      <c r="BF97" s="29">
        <v>0</v>
      </c>
      <c r="BG97" s="29">
        <v>0</v>
      </c>
      <c r="BH97" s="33">
        <v>9999</v>
      </c>
      <c r="BI97" s="29">
        <v>0</v>
      </c>
      <c r="BJ97" s="29">
        <v>0</v>
      </c>
      <c r="BK97" s="29">
        <v>0</v>
      </c>
      <c r="BL97" s="29">
        <v>0</v>
      </c>
      <c r="BM97" s="29">
        <v>0</v>
      </c>
      <c r="BN97" s="29">
        <v>5.5800831647479784E-7</v>
      </c>
      <c r="BO97" s="29">
        <v>0</v>
      </c>
      <c r="BP97" s="29">
        <v>0</v>
      </c>
      <c r="BQ97" s="29">
        <v>0</v>
      </c>
      <c r="BR97" s="29">
        <v>0</v>
      </c>
      <c r="BS97" s="29">
        <v>0</v>
      </c>
      <c r="BT97" s="29">
        <v>0</v>
      </c>
      <c r="BU97" s="29">
        <v>0</v>
      </c>
      <c r="BV97" s="29">
        <v>0</v>
      </c>
      <c r="BW97" s="29">
        <v>0</v>
      </c>
      <c r="BX97" s="29">
        <v>0</v>
      </c>
      <c r="BY97" s="29"/>
      <c r="BZ97" s="29">
        <v>0</v>
      </c>
      <c r="CA97" s="29">
        <v>0</v>
      </c>
      <c r="CB97" s="29">
        <v>5.5800831647479784E-7</v>
      </c>
      <c r="CC97" s="29">
        <v>0</v>
      </c>
      <c r="CD97" s="33">
        <v>9999</v>
      </c>
      <c r="CE97" s="29">
        <v>0</v>
      </c>
      <c r="CF97" s="29">
        <v>1.0182284036038919E-8</v>
      </c>
      <c r="CG97" s="29">
        <v>0</v>
      </c>
      <c r="CH97" s="29">
        <v>1.0182284036038919E-8</v>
      </c>
      <c r="CI97" s="29">
        <v>5.0908224527566966E-10</v>
      </c>
      <c r="CJ97" s="29">
        <v>0</v>
      </c>
      <c r="CK97" s="29">
        <v>5.0908224527566966E-10</v>
      </c>
      <c r="CL97" s="29"/>
      <c r="CM97" s="29">
        <v>0</v>
      </c>
      <c r="CN97" s="29"/>
      <c r="CO97" s="29">
        <v>0</v>
      </c>
      <c r="CP97" s="29">
        <v>0</v>
      </c>
      <c r="CQ97" s="29">
        <v>0</v>
      </c>
      <c r="CR97" s="29">
        <v>0</v>
      </c>
      <c r="CS97" s="29">
        <v>0</v>
      </c>
      <c r="CT97" s="29">
        <v>0</v>
      </c>
      <c r="CU97" s="29">
        <v>0</v>
      </c>
      <c r="CV97" s="29">
        <v>9999</v>
      </c>
      <c r="CW97" s="33">
        <v>9999</v>
      </c>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row>
    <row r="98" spans="1:131">
      <c r="A98" s="7" t="s">
        <v>494</v>
      </c>
      <c r="B98" s="7" t="s">
        <v>387</v>
      </c>
      <c r="C98" s="29">
        <v>15</v>
      </c>
      <c r="D98" s="29">
        <v>63.646904412715216</v>
      </c>
      <c r="E98" s="29">
        <v>0</v>
      </c>
      <c r="F98" s="29">
        <v>0</v>
      </c>
      <c r="G98" s="29">
        <v>0</v>
      </c>
      <c r="H98" s="29">
        <v>0</v>
      </c>
      <c r="I98" s="29" t="s">
        <v>384</v>
      </c>
      <c r="J98" s="29"/>
      <c r="K98" s="29"/>
      <c r="L98" s="29">
        <v>68.213703164781037</v>
      </c>
      <c r="M98" s="29">
        <v>0</v>
      </c>
      <c r="N98" s="29">
        <v>0</v>
      </c>
      <c r="O98" s="29">
        <v>0</v>
      </c>
      <c r="P98" s="29">
        <v>0</v>
      </c>
      <c r="Q98" s="29">
        <v>0</v>
      </c>
      <c r="R98" s="29">
        <v>0</v>
      </c>
      <c r="S98" s="29">
        <v>0</v>
      </c>
      <c r="T98" s="29">
        <v>0</v>
      </c>
      <c r="U98" s="29">
        <v>0</v>
      </c>
      <c r="V98" s="29" t="s">
        <v>329</v>
      </c>
      <c r="W98" s="29" t="s">
        <v>329</v>
      </c>
      <c r="X98" s="29" t="s">
        <v>329</v>
      </c>
      <c r="Y98" s="29" t="s">
        <v>329</v>
      </c>
      <c r="Z98" s="29">
        <v>0</v>
      </c>
      <c r="AA98" s="29">
        <v>0</v>
      </c>
      <c r="AB98" s="29">
        <v>0</v>
      </c>
      <c r="AC98" s="29">
        <v>0</v>
      </c>
      <c r="AD98" s="29">
        <v>0</v>
      </c>
      <c r="AE98" s="29">
        <v>0</v>
      </c>
      <c r="AF98" s="29">
        <v>0</v>
      </c>
      <c r="AG98" s="29">
        <v>0</v>
      </c>
      <c r="AH98" s="29">
        <v>0</v>
      </c>
      <c r="AI98" s="29">
        <v>0</v>
      </c>
      <c r="AJ98" s="29">
        <v>0</v>
      </c>
      <c r="AK98" s="29">
        <v>0</v>
      </c>
      <c r="AL98" s="29">
        <v>0</v>
      </c>
      <c r="AM98" s="29">
        <v>35.515501980171628</v>
      </c>
      <c r="AN98" s="29">
        <v>0</v>
      </c>
      <c r="AO98" s="29">
        <v>0</v>
      </c>
      <c r="AP98" s="29">
        <v>0</v>
      </c>
      <c r="AQ98" s="29">
        <v>35.515501980171628</v>
      </c>
      <c r="AR98" s="29">
        <v>0</v>
      </c>
      <c r="AS98" s="33">
        <v>9999</v>
      </c>
      <c r="AT98" s="29">
        <v>35.515501980171628</v>
      </c>
      <c r="AU98" s="29">
        <v>0</v>
      </c>
      <c r="AV98" s="29">
        <v>0</v>
      </c>
      <c r="AW98" s="29">
        <v>0</v>
      </c>
      <c r="AX98" s="29">
        <v>35.515501980171628</v>
      </c>
      <c r="AY98" s="29">
        <v>0</v>
      </c>
      <c r="AZ98" s="33">
        <v>9999</v>
      </c>
      <c r="BA98" s="29">
        <v>35.515501980171628</v>
      </c>
      <c r="BB98" s="29">
        <v>0</v>
      </c>
      <c r="BC98" s="29">
        <v>0</v>
      </c>
      <c r="BD98" s="29">
        <v>0</v>
      </c>
      <c r="BE98" s="29">
        <v>35.515501980171628</v>
      </c>
      <c r="BF98" s="29">
        <v>0</v>
      </c>
      <c r="BG98" s="29">
        <v>0</v>
      </c>
      <c r="BH98" s="33">
        <v>9999</v>
      </c>
      <c r="BI98" s="29">
        <v>0</v>
      </c>
      <c r="BJ98" s="29">
        <v>0</v>
      </c>
      <c r="BK98" s="29">
        <v>0</v>
      </c>
      <c r="BL98" s="29">
        <v>0</v>
      </c>
      <c r="BM98" s="29">
        <v>0</v>
      </c>
      <c r="BN98" s="29">
        <v>35.515501980171628</v>
      </c>
      <c r="BO98" s="29">
        <v>0</v>
      </c>
      <c r="BP98" s="29">
        <v>0</v>
      </c>
      <c r="BQ98" s="29">
        <v>0</v>
      </c>
      <c r="BR98" s="29">
        <v>0</v>
      </c>
      <c r="BS98" s="29">
        <v>0</v>
      </c>
      <c r="BT98" s="29">
        <v>0</v>
      </c>
      <c r="BU98" s="29">
        <v>0</v>
      </c>
      <c r="BV98" s="29">
        <v>0</v>
      </c>
      <c r="BW98" s="29">
        <v>0</v>
      </c>
      <c r="BX98" s="29">
        <v>0</v>
      </c>
      <c r="BY98" s="29"/>
      <c r="BZ98" s="29">
        <v>0</v>
      </c>
      <c r="CA98" s="29">
        <v>0</v>
      </c>
      <c r="CB98" s="29">
        <v>35.515501980171628</v>
      </c>
      <c r="CC98" s="29">
        <v>0</v>
      </c>
      <c r="CD98" s="33">
        <v>9999</v>
      </c>
      <c r="CE98" s="29">
        <v>0</v>
      </c>
      <c r="CF98" s="29">
        <v>0.64807085874488501</v>
      </c>
      <c r="CG98" s="29">
        <v>0</v>
      </c>
      <c r="CH98" s="29">
        <v>0.64807085874488501</v>
      </c>
      <c r="CI98" s="29">
        <v>3.2401509003270983E-2</v>
      </c>
      <c r="CJ98" s="29">
        <v>0</v>
      </c>
      <c r="CK98" s="29">
        <v>3.2401509003270983E-2</v>
      </c>
      <c r="CL98" s="29"/>
      <c r="CM98" s="29">
        <v>0</v>
      </c>
      <c r="CN98" s="29"/>
      <c r="CO98" s="29">
        <v>0</v>
      </c>
      <c r="CP98" s="29">
        <v>0</v>
      </c>
      <c r="CQ98" s="29">
        <v>0</v>
      </c>
      <c r="CR98" s="29">
        <v>0</v>
      </c>
      <c r="CS98" s="29">
        <v>0</v>
      </c>
      <c r="CT98" s="29">
        <v>0</v>
      </c>
      <c r="CU98" s="29">
        <v>0</v>
      </c>
      <c r="CV98" s="29">
        <v>9999</v>
      </c>
      <c r="CW98" s="33">
        <v>9999</v>
      </c>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row>
    <row r="99" spans="1:131">
      <c r="A99" s="7" t="s">
        <v>495</v>
      </c>
      <c r="B99" s="7" t="s">
        <v>387</v>
      </c>
      <c r="C99" s="29">
        <v>15</v>
      </c>
      <c r="D99" s="29">
        <v>192.36292571840198</v>
      </c>
      <c r="E99" s="29">
        <v>0</v>
      </c>
      <c r="F99" s="29">
        <v>0</v>
      </c>
      <c r="G99" s="29">
        <v>0</v>
      </c>
      <c r="H99" s="29">
        <v>0</v>
      </c>
      <c r="I99" s="29" t="s">
        <v>384</v>
      </c>
      <c r="J99" s="29"/>
      <c r="K99" s="29"/>
      <c r="L99" s="29">
        <v>206.16536870004413</v>
      </c>
      <c r="M99" s="29">
        <v>0</v>
      </c>
      <c r="N99" s="29">
        <v>0</v>
      </c>
      <c r="O99" s="29">
        <v>0</v>
      </c>
      <c r="P99" s="29">
        <v>0</v>
      </c>
      <c r="Q99" s="29">
        <v>0</v>
      </c>
      <c r="R99" s="29">
        <v>0</v>
      </c>
      <c r="S99" s="29">
        <v>0</v>
      </c>
      <c r="T99" s="29">
        <v>0</v>
      </c>
      <c r="U99" s="29">
        <v>0</v>
      </c>
      <c r="V99" s="29" t="s">
        <v>329</v>
      </c>
      <c r="W99" s="29" t="s">
        <v>329</v>
      </c>
      <c r="X99" s="29" t="s">
        <v>329</v>
      </c>
      <c r="Y99" s="29" t="s">
        <v>329</v>
      </c>
      <c r="Z99" s="29">
        <v>0</v>
      </c>
      <c r="AA99" s="29">
        <v>0</v>
      </c>
      <c r="AB99" s="29">
        <v>0</v>
      </c>
      <c r="AC99" s="29">
        <v>0</v>
      </c>
      <c r="AD99" s="29">
        <v>0</v>
      </c>
      <c r="AE99" s="29">
        <v>0</v>
      </c>
      <c r="AF99" s="29">
        <v>0</v>
      </c>
      <c r="AG99" s="29">
        <v>0</v>
      </c>
      <c r="AH99" s="29">
        <v>0</v>
      </c>
      <c r="AI99" s="29">
        <v>0</v>
      </c>
      <c r="AJ99" s="29">
        <v>0</v>
      </c>
      <c r="AK99" s="29">
        <v>0</v>
      </c>
      <c r="AL99" s="29">
        <v>0</v>
      </c>
      <c r="AM99" s="29">
        <v>107.34011233229218</v>
      </c>
      <c r="AN99" s="29">
        <v>0</v>
      </c>
      <c r="AO99" s="29">
        <v>0</v>
      </c>
      <c r="AP99" s="29">
        <v>0</v>
      </c>
      <c r="AQ99" s="29">
        <v>107.34011233229218</v>
      </c>
      <c r="AR99" s="29">
        <v>0</v>
      </c>
      <c r="AS99" s="33">
        <v>9999</v>
      </c>
      <c r="AT99" s="29">
        <v>107.34011233229218</v>
      </c>
      <c r="AU99" s="29">
        <v>0</v>
      </c>
      <c r="AV99" s="29">
        <v>0</v>
      </c>
      <c r="AW99" s="29">
        <v>0</v>
      </c>
      <c r="AX99" s="29">
        <v>107.34011233229218</v>
      </c>
      <c r="AY99" s="29">
        <v>0</v>
      </c>
      <c r="AZ99" s="33">
        <v>9999</v>
      </c>
      <c r="BA99" s="29">
        <v>107.34011233229218</v>
      </c>
      <c r="BB99" s="29">
        <v>0</v>
      </c>
      <c r="BC99" s="29">
        <v>0</v>
      </c>
      <c r="BD99" s="29">
        <v>0</v>
      </c>
      <c r="BE99" s="29">
        <v>107.34011233229218</v>
      </c>
      <c r="BF99" s="29">
        <v>0</v>
      </c>
      <c r="BG99" s="29">
        <v>0</v>
      </c>
      <c r="BH99" s="33">
        <v>9999</v>
      </c>
      <c r="BI99" s="29">
        <v>0</v>
      </c>
      <c r="BJ99" s="29">
        <v>0</v>
      </c>
      <c r="BK99" s="29">
        <v>0</v>
      </c>
      <c r="BL99" s="29">
        <v>0</v>
      </c>
      <c r="BM99" s="29">
        <v>0</v>
      </c>
      <c r="BN99" s="29">
        <v>107.34011233229218</v>
      </c>
      <c r="BO99" s="29">
        <v>0</v>
      </c>
      <c r="BP99" s="29">
        <v>0</v>
      </c>
      <c r="BQ99" s="29">
        <v>0</v>
      </c>
      <c r="BR99" s="29">
        <v>0</v>
      </c>
      <c r="BS99" s="29">
        <v>0</v>
      </c>
      <c r="BT99" s="29">
        <v>0</v>
      </c>
      <c r="BU99" s="29">
        <v>0</v>
      </c>
      <c r="BV99" s="29">
        <v>0</v>
      </c>
      <c r="BW99" s="29">
        <v>0</v>
      </c>
      <c r="BX99" s="29">
        <v>0</v>
      </c>
      <c r="BY99" s="29"/>
      <c r="BZ99" s="29">
        <v>0</v>
      </c>
      <c r="CA99" s="29">
        <v>0</v>
      </c>
      <c r="CB99" s="29">
        <v>107.34011233229218</v>
      </c>
      <c r="CC99" s="29">
        <v>0</v>
      </c>
      <c r="CD99" s="33">
        <v>9999</v>
      </c>
      <c r="CE99" s="29">
        <v>0</v>
      </c>
      <c r="CF99" s="29">
        <v>1.9586939476682255</v>
      </c>
      <c r="CG99" s="29">
        <v>0</v>
      </c>
      <c r="CH99" s="29">
        <v>1.9586939476682255</v>
      </c>
      <c r="CI99" s="29">
        <v>9.7928550132520956E-2</v>
      </c>
      <c r="CJ99" s="29">
        <v>0</v>
      </c>
      <c r="CK99" s="29">
        <v>9.7928550132520956E-2</v>
      </c>
      <c r="CL99" s="29"/>
      <c r="CM99" s="29">
        <v>0</v>
      </c>
      <c r="CN99" s="29"/>
      <c r="CO99" s="29">
        <v>0</v>
      </c>
      <c r="CP99" s="29">
        <v>0</v>
      </c>
      <c r="CQ99" s="29">
        <v>0</v>
      </c>
      <c r="CR99" s="29">
        <v>0</v>
      </c>
      <c r="CS99" s="29">
        <v>0</v>
      </c>
      <c r="CT99" s="29">
        <v>0</v>
      </c>
      <c r="CU99" s="29">
        <v>0</v>
      </c>
      <c r="CV99" s="29">
        <v>9999</v>
      </c>
      <c r="CW99" s="33">
        <v>9999</v>
      </c>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row>
    <row r="100" spans="1:131">
      <c r="A100" s="7" t="s">
        <v>496</v>
      </c>
      <c r="B100" s="7" t="s">
        <v>387</v>
      </c>
      <c r="C100" s="29">
        <v>15</v>
      </c>
      <c r="D100" s="29">
        <v>63.646904412715216</v>
      </c>
      <c r="E100" s="29">
        <v>0</v>
      </c>
      <c r="F100" s="29">
        <v>0</v>
      </c>
      <c r="G100" s="29">
        <v>0</v>
      </c>
      <c r="H100" s="29">
        <v>0</v>
      </c>
      <c r="I100" s="29" t="s">
        <v>384</v>
      </c>
      <c r="J100" s="29"/>
      <c r="K100" s="29"/>
      <c r="L100" s="29">
        <v>68.213703164781037</v>
      </c>
      <c r="M100" s="29">
        <v>0</v>
      </c>
      <c r="N100" s="29">
        <v>0</v>
      </c>
      <c r="O100" s="29">
        <v>0</v>
      </c>
      <c r="P100" s="29">
        <v>0</v>
      </c>
      <c r="Q100" s="29">
        <v>0</v>
      </c>
      <c r="R100" s="29">
        <v>0</v>
      </c>
      <c r="S100" s="29">
        <v>0</v>
      </c>
      <c r="T100" s="29">
        <v>0</v>
      </c>
      <c r="U100" s="29">
        <v>0</v>
      </c>
      <c r="V100" s="29" t="s">
        <v>329</v>
      </c>
      <c r="W100" s="29" t="s">
        <v>329</v>
      </c>
      <c r="X100" s="29" t="s">
        <v>329</v>
      </c>
      <c r="Y100" s="29" t="s">
        <v>329</v>
      </c>
      <c r="Z100" s="29">
        <v>0</v>
      </c>
      <c r="AA100" s="29">
        <v>0</v>
      </c>
      <c r="AB100" s="29">
        <v>0</v>
      </c>
      <c r="AC100" s="29">
        <v>0</v>
      </c>
      <c r="AD100" s="29">
        <v>0</v>
      </c>
      <c r="AE100" s="29">
        <v>0</v>
      </c>
      <c r="AF100" s="29">
        <v>0</v>
      </c>
      <c r="AG100" s="29">
        <v>0</v>
      </c>
      <c r="AH100" s="29">
        <v>0</v>
      </c>
      <c r="AI100" s="29">
        <v>0</v>
      </c>
      <c r="AJ100" s="29">
        <v>0</v>
      </c>
      <c r="AK100" s="29">
        <v>0</v>
      </c>
      <c r="AL100" s="29">
        <v>0</v>
      </c>
      <c r="AM100" s="29">
        <v>35.515501980171628</v>
      </c>
      <c r="AN100" s="29">
        <v>0</v>
      </c>
      <c r="AO100" s="29">
        <v>0</v>
      </c>
      <c r="AP100" s="29">
        <v>0</v>
      </c>
      <c r="AQ100" s="29">
        <v>35.515501980171628</v>
      </c>
      <c r="AR100" s="29">
        <v>0</v>
      </c>
      <c r="AS100" s="33">
        <v>9999</v>
      </c>
      <c r="AT100" s="29">
        <v>35.515501980171628</v>
      </c>
      <c r="AU100" s="29">
        <v>0</v>
      </c>
      <c r="AV100" s="29">
        <v>0</v>
      </c>
      <c r="AW100" s="29">
        <v>0</v>
      </c>
      <c r="AX100" s="29">
        <v>35.515501980171628</v>
      </c>
      <c r="AY100" s="29">
        <v>0</v>
      </c>
      <c r="AZ100" s="33">
        <v>9999</v>
      </c>
      <c r="BA100" s="29">
        <v>35.515501980171628</v>
      </c>
      <c r="BB100" s="29">
        <v>0</v>
      </c>
      <c r="BC100" s="29">
        <v>0</v>
      </c>
      <c r="BD100" s="29">
        <v>0</v>
      </c>
      <c r="BE100" s="29">
        <v>35.515501980171628</v>
      </c>
      <c r="BF100" s="29">
        <v>0</v>
      </c>
      <c r="BG100" s="29">
        <v>0</v>
      </c>
      <c r="BH100" s="33">
        <v>9999</v>
      </c>
      <c r="BI100" s="29">
        <v>0</v>
      </c>
      <c r="BJ100" s="29">
        <v>0</v>
      </c>
      <c r="BK100" s="29">
        <v>0</v>
      </c>
      <c r="BL100" s="29">
        <v>0</v>
      </c>
      <c r="BM100" s="29">
        <v>0</v>
      </c>
      <c r="BN100" s="29">
        <v>35.515501980171628</v>
      </c>
      <c r="BO100" s="29">
        <v>0</v>
      </c>
      <c r="BP100" s="29">
        <v>0</v>
      </c>
      <c r="BQ100" s="29">
        <v>0</v>
      </c>
      <c r="BR100" s="29">
        <v>0</v>
      </c>
      <c r="BS100" s="29">
        <v>0</v>
      </c>
      <c r="BT100" s="29">
        <v>0</v>
      </c>
      <c r="BU100" s="29">
        <v>0</v>
      </c>
      <c r="BV100" s="29">
        <v>0</v>
      </c>
      <c r="BW100" s="29">
        <v>0</v>
      </c>
      <c r="BX100" s="29">
        <v>0</v>
      </c>
      <c r="BY100" s="29"/>
      <c r="BZ100" s="29">
        <v>0</v>
      </c>
      <c r="CA100" s="29">
        <v>0</v>
      </c>
      <c r="CB100" s="29">
        <v>35.515501980171628</v>
      </c>
      <c r="CC100" s="29">
        <v>0</v>
      </c>
      <c r="CD100" s="33">
        <v>9999</v>
      </c>
      <c r="CE100" s="29">
        <v>0</v>
      </c>
      <c r="CF100" s="29">
        <v>0.64807085874488501</v>
      </c>
      <c r="CG100" s="29">
        <v>0</v>
      </c>
      <c r="CH100" s="29">
        <v>0.64807085874488501</v>
      </c>
      <c r="CI100" s="29">
        <v>3.2401509003270983E-2</v>
      </c>
      <c r="CJ100" s="29">
        <v>0</v>
      </c>
      <c r="CK100" s="29">
        <v>3.2401509003270983E-2</v>
      </c>
      <c r="CL100" s="29"/>
      <c r="CM100" s="29">
        <v>0</v>
      </c>
      <c r="CN100" s="29"/>
      <c r="CO100" s="29">
        <v>0</v>
      </c>
      <c r="CP100" s="29">
        <v>0</v>
      </c>
      <c r="CQ100" s="29">
        <v>0</v>
      </c>
      <c r="CR100" s="29">
        <v>0</v>
      </c>
      <c r="CS100" s="29">
        <v>0</v>
      </c>
      <c r="CT100" s="29">
        <v>0</v>
      </c>
      <c r="CU100" s="29">
        <v>0</v>
      </c>
      <c r="CV100" s="29">
        <v>9999</v>
      </c>
      <c r="CW100" s="33">
        <v>9999</v>
      </c>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row>
    <row r="101" spans="1:131">
      <c r="A101" s="7" t="s">
        <v>497</v>
      </c>
      <c r="B101" s="7" t="s">
        <v>387</v>
      </c>
      <c r="C101" s="29">
        <v>15</v>
      </c>
      <c r="D101" s="29">
        <v>153.60902856595595</v>
      </c>
      <c r="E101" s="29">
        <v>0</v>
      </c>
      <c r="F101" s="29">
        <v>0</v>
      </c>
      <c r="G101" s="29">
        <v>0</v>
      </c>
      <c r="H101" s="29">
        <v>0</v>
      </c>
      <c r="I101" s="29" t="s">
        <v>384</v>
      </c>
      <c r="J101" s="29"/>
      <c r="K101" s="29"/>
      <c r="L101" s="29">
        <v>164.63079822520285</v>
      </c>
      <c r="M101" s="29">
        <v>0</v>
      </c>
      <c r="N101" s="29">
        <v>0</v>
      </c>
      <c r="O101" s="29">
        <v>0</v>
      </c>
      <c r="P101" s="29">
        <v>0</v>
      </c>
      <c r="Q101" s="29">
        <v>0</v>
      </c>
      <c r="R101" s="29">
        <v>0</v>
      </c>
      <c r="S101" s="29">
        <v>0</v>
      </c>
      <c r="T101" s="29">
        <v>0</v>
      </c>
      <c r="U101" s="29">
        <v>0</v>
      </c>
      <c r="V101" s="29" t="s">
        <v>329</v>
      </c>
      <c r="W101" s="29" t="s">
        <v>329</v>
      </c>
      <c r="X101" s="29" t="s">
        <v>329</v>
      </c>
      <c r="Y101" s="29" t="s">
        <v>329</v>
      </c>
      <c r="Z101" s="29">
        <v>0</v>
      </c>
      <c r="AA101" s="29">
        <v>0</v>
      </c>
      <c r="AB101" s="29">
        <v>0</v>
      </c>
      <c r="AC101" s="29">
        <v>0</v>
      </c>
      <c r="AD101" s="29">
        <v>0</v>
      </c>
      <c r="AE101" s="29">
        <v>0</v>
      </c>
      <c r="AF101" s="29">
        <v>0</v>
      </c>
      <c r="AG101" s="29">
        <v>0</v>
      </c>
      <c r="AH101" s="29">
        <v>0</v>
      </c>
      <c r="AI101" s="29">
        <v>0</v>
      </c>
      <c r="AJ101" s="29">
        <v>0</v>
      </c>
      <c r="AK101" s="29">
        <v>0</v>
      </c>
      <c r="AL101" s="29">
        <v>0</v>
      </c>
      <c r="AM101" s="29">
        <v>85.715115425418247</v>
      </c>
      <c r="AN101" s="29">
        <v>0</v>
      </c>
      <c r="AO101" s="29">
        <v>0</v>
      </c>
      <c r="AP101" s="29">
        <v>0</v>
      </c>
      <c r="AQ101" s="29">
        <v>85.715115425418247</v>
      </c>
      <c r="AR101" s="29">
        <v>0</v>
      </c>
      <c r="AS101" s="33">
        <v>9999</v>
      </c>
      <c r="AT101" s="29">
        <v>85.715115425418247</v>
      </c>
      <c r="AU101" s="29">
        <v>0</v>
      </c>
      <c r="AV101" s="29">
        <v>0</v>
      </c>
      <c r="AW101" s="29">
        <v>0</v>
      </c>
      <c r="AX101" s="29">
        <v>85.715115425418247</v>
      </c>
      <c r="AY101" s="29">
        <v>0</v>
      </c>
      <c r="AZ101" s="33">
        <v>9999</v>
      </c>
      <c r="BA101" s="29">
        <v>85.715115425418247</v>
      </c>
      <c r="BB101" s="29">
        <v>0</v>
      </c>
      <c r="BC101" s="29">
        <v>0</v>
      </c>
      <c r="BD101" s="29">
        <v>0</v>
      </c>
      <c r="BE101" s="29">
        <v>85.715115425418247</v>
      </c>
      <c r="BF101" s="29">
        <v>0</v>
      </c>
      <c r="BG101" s="29">
        <v>0</v>
      </c>
      <c r="BH101" s="33">
        <v>9999</v>
      </c>
      <c r="BI101" s="29">
        <v>0</v>
      </c>
      <c r="BJ101" s="29">
        <v>0</v>
      </c>
      <c r="BK101" s="29">
        <v>0</v>
      </c>
      <c r="BL101" s="29">
        <v>0</v>
      </c>
      <c r="BM101" s="29">
        <v>0</v>
      </c>
      <c r="BN101" s="29">
        <v>85.715115425418247</v>
      </c>
      <c r="BO101" s="29">
        <v>0</v>
      </c>
      <c r="BP101" s="29">
        <v>0</v>
      </c>
      <c r="BQ101" s="29">
        <v>0</v>
      </c>
      <c r="BR101" s="29">
        <v>0</v>
      </c>
      <c r="BS101" s="29">
        <v>0</v>
      </c>
      <c r="BT101" s="29">
        <v>0</v>
      </c>
      <c r="BU101" s="29">
        <v>0</v>
      </c>
      <c r="BV101" s="29">
        <v>0</v>
      </c>
      <c r="BW101" s="29">
        <v>0</v>
      </c>
      <c r="BX101" s="29">
        <v>0</v>
      </c>
      <c r="BY101" s="29"/>
      <c r="BZ101" s="29">
        <v>0</v>
      </c>
      <c r="CA101" s="29">
        <v>0</v>
      </c>
      <c r="CB101" s="29">
        <v>85.715115425418247</v>
      </c>
      <c r="CC101" s="29">
        <v>0</v>
      </c>
      <c r="CD101" s="33">
        <v>9999</v>
      </c>
      <c r="CE101" s="29">
        <v>0</v>
      </c>
      <c r="CF101" s="29">
        <v>1.5640907593585789</v>
      </c>
      <c r="CG101" s="29">
        <v>0</v>
      </c>
      <c r="CH101" s="29">
        <v>1.5640907593585789</v>
      </c>
      <c r="CI101" s="29">
        <v>7.8199629156971345E-2</v>
      </c>
      <c r="CJ101" s="29">
        <v>0</v>
      </c>
      <c r="CK101" s="29">
        <v>7.8199629156971345E-2</v>
      </c>
      <c r="CL101" s="29"/>
      <c r="CM101" s="29">
        <v>0</v>
      </c>
      <c r="CN101" s="29"/>
      <c r="CO101" s="29">
        <v>0</v>
      </c>
      <c r="CP101" s="29">
        <v>0</v>
      </c>
      <c r="CQ101" s="29">
        <v>0</v>
      </c>
      <c r="CR101" s="29">
        <v>0</v>
      </c>
      <c r="CS101" s="29">
        <v>0</v>
      </c>
      <c r="CT101" s="29">
        <v>0</v>
      </c>
      <c r="CU101" s="29">
        <v>0</v>
      </c>
      <c r="CV101" s="29">
        <v>9999</v>
      </c>
      <c r="CW101" s="33">
        <v>9999</v>
      </c>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row>
    <row r="102" spans="1:131">
      <c r="A102" s="7" t="s">
        <v>498</v>
      </c>
      <c r="B102" s="7" t="s">
        <v>387</v>
      </c>
      <c r="C102" s="29">
        <v>15</v>
      </c>
      <c r="D102" s="29">
        <v>-32.124417637256897</v>
      </c>
      <c r="E102" s="29">
        <v>0</v>
      </c>
      <c r="F102" s="29">
        <v>0</v>
      </c>
      <c r="G102" s="29">
        <v>0</v>
      </c>
      <c r="H102" s="29">
        <v>0</v>
      </c>
      <c r="I102" s="29" t="s">
        <v>916</v>
      </c>
      <c r="J102" s="29"/>
      <c r="K102" s="29"/>
      <c r="L102" s="29">
        <v>-34.433692004876477</v>
      </c>
      <c r="M102" s="29">
        <v>-1.8086103426697873E-4</v>
      </c>
      <c r="N102" s="29">
        <v>-1.7955566042760897E-4</v>
      </c>
      <c r="O102" s="29">
        <v>0</v>
      </c>
      <c r="P102" s="29">
        <v>0</v>
      </c>
      <c r="Q102" s="29">
        <v>0</v>
      </c>
      <c r="R102" s="29">
        <v>0</v>
      </c>
      <c r="S102" s="29">
        <v>0</v>
      </c>
      <c r="T102" s="29">
        <v>0</v>
      </c>
      <c r="U102" s="29">
        <v>0</v>
      </c>
      <c r="V102" s="29" t="s">
        <v>329</v>
      </c>
      <c r="W102" s="29" t="s">
        <v>329</v>
      </c>
      <c r="X102" s="29" t="s">
        <v>329</v>
      </c>
      <c r="Y102" s="29" t="s">
        <v>329</v>
      </c>
      <c r="Z102" s="29">
        <v>0</v>
      </c>
      <c r="AA102" s="29">
        <v>0</v>
      </c>
      <c r="AB102" s="29">
        <v>0</v>
      </c>
      <c r="AC102" s="29">
        <v>0</v>
      </c>
      <c r="AD102" s="29">
        <v>0</v>
      </c>
      <c r="AE102" s="29">
        <v>0</v>
      </c>
      <c r="AF102" s="29">
        <v>0</v>
      </c>
      <c r="AG102" s="29">
        <v>0</v>
      </c>
      <c r="AH102" s="29">
        <v>0</v>
      </c>
      <c r="AI102" s="29">
        <v>0</v>
      </c>
      <c r="AJ102" s="29">
        <v>0</v>
      </c>
      <c r="AK102" s="29">
        <v>0</v>
      </c>
      <c r="AL102" s="29">
        <v>0</v>
      </c>
      <c r="AM102" s="29">
        <v>-17.745295417414962</v>
      </c>
      <c r="AN102" s="29">
        <v>-6.3906972448192212E-2</v>
      </c>
      <c r="AO102" s="29">
        <v>0</v>
      </c>
      <c r="AP102" s="29">
        <v>0</v>
      </c>
      <c r="AQ102" s="29">
        <v>-17.809202389863152</v>
      </c>
      <c r="AR102" s="29">
        <v>0</v>
      </c>
      <c r="AS102" s="109">
        <v>0</v>
      </c>
      <c r="AT102" s="29">
        <v>-17.745295417414962</v>
      </c>
      <c r="AU102" s="29">
        <v>-7.5646820691219571E-2</v>
      </c>
      <c r="AV102" s="29">
        <v>0</v>
      </c>
      <c r="AW102" s="29">
        <v>0</v>
      </c>
      <c r="AX102" s="29">
        <v>-17.820942238106181</v>
      </c>
      <c r="AY102" s="29">
        <v>0</v>
      </c>
      <c r="AZ102" s="109">
        <v>0</v>
      </c>
      <c r="BA102" s="29">
        <v>-17.745295417414962</v>
      </c>
      <c r="BB102" s="29">
        <v>-0.1395537931394118</v>
      </c>
      <c r="BC102" s="29">
        <v>0</v>
      </c>
      <c r="BD102" s="29">
        <v>0</v>
      </c>
      <c r="BE102" s="29">
        <v>-17.884849210554371</v>
      </c>
      <c r="BF102" s="29">
        <v>0</v>
      </c>
      <c r="BG102" s="29">
        <v>9999</v>
      </c>
      <c r="BH102" s="109">
        <v>0</v>
      </c>
      <c r="BI102" s="29">
        <v>9999</v>
      </c>
      <c r="BJ102" s="29">
        <v>9999</v>
      </c>
      <c r="BK102" s="29">
        <v>9999</v>
      </c>
      <c r="BL102" s="29">
        <v>9999</v>
      </c>
      <c r="BM102" s="29">
        <v>9999</v>
      </c>
      <c r="BN102" s="29">
        <v>-17.745295417414962</v>
      </c>
      <c r="BO102" s="29">
        <v>0</v>
      </c>
      <c r="BP102" s="29">
        <v>-0.1395537931394118</v>
      </c>
      <c r="BQ102" s="29">
        <v>0</v>
      </c>
      <c r="BR102" s="29">
        <v>0</v>
      </c>
      <c r="BS102" s="29">
        <v>0</v>
      </c>
      <c r="BT102" s="29">
        <v>0</v>
      </c>
      <c r="BU102" s="29">
        <v>0</v>
      </c>
      <c r="BV102" s="29">
        <v>57.992677713453027</v>
      </c>
      <c r="BW102" s="29">
        <v>0</v>
      </c>
      <c r="BX102" s="29">
        <v>0</v>
      </c>
      <c r="BY102" s="29"/>
      <c r="BZ102" s="29">
        <v>0</v>
      </c>
      <c r="CA102" s="29">
        <v>0</v>
      </c>
      <c r="CB102" s="29">
        <v>40.107828502898656</v>
      </c>
      <c r="CC102" s="29">
        <v>0</v>
      </c>
      <c r="CD102" s="33">
        <v>3.2425589408508881</v>
      </c>
      <c r="CE102" s="29">
        <v>9999</v>
      </c>
      <c r="CF102" s="29">
        <v>-0.32713584192048506</v>
      </c>
      <c r="CG102" s="29">
        <v>0</v>
      </c>
      <c r="CH102" s="29">
        <v>-0.32713584192048506</v>
      </c>
      <c r="CI102" s="29">
        <v>-1.6356003702316328E-2</v>
      </c>
      <c r="CJ102" s="29">
        <v>0</v>
      </c>
      <c r="CK102" s="29">
        <v>-1.6356003702316328E-2</v>
      </c>
      <c r="CL102" s="29"/>
      <c r="CM102" s="29">
        <v>0</v>
      </c>
      <c r="CN102" s="29"/>
      <c r="CO102" s="29">
        <v>0</v>
      </c>
      <c r="CP102" s="29">
        <v>0</v>
      </c>
      <c r="CQ102" s="29">
        <v>0</v>
      </c>
      <c r="CR102" s="29">
        <v>0</v>
      </c>
      <c r="CS102" s="29">
        <v>0</v>
      </c>
      <c r="CT102" s="29">
        <v>0</v>
      </c>
      <c r="CU102" s="29">
        <v>0</v>
      </c>
      <c r="CV102" s="29">
        <v>9999</v>
      </c>
      <c r="CW102" s="33">
        <v>9999</v>
      </c>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row>
    <row r="103" spans="1:131">
      <c r="A103" s="7" t="s">
        <v>499</v>
      </c>
      <c r="B103" s="7" t="s">
        <v>387</v>
      </c>
      <c r="C103" s="29">
        <v>15</v>
      </c>
      <c r="D103" s="29">
        <v>285.15888429262986</v>
      </c>
      <c r="E103" s="29">
        <v>0</v>
      </c>
      <c r="F103" s="29">
        <v>0</v>
      </c>
      <c r="G103" s="29">
        <v>0</v>
      </c>
      <c r="H103" s="29">
        <v>0</v>
      </c>
      <c r="I103" s="29" t="s">
        <v>916</v>
      </c>
      <c r="J103" s="29"/>
      <c r="K103" s="29"/>
      <c r="L103" s="29">
        <v>305.65762483422492</v>
      </c>
      <c r="M103" s="29">
        <v>1.6054495158775634E-3</v>
      </c>
      <c r="N103" s="29">
        <v>1.5938621012254843E-3</v>
      </c>
      <c r="O103" s="29">
        <v>0</v>
      </c>
      <c r="P103" s="29">
        <v>0</v>
      </c>
      <c r="Q103" s="29">
        <v>0</v>
      </c>
      <c r="R103" s="29">
        <v>0</v>
      </c>
      <c r="S103" s="29">
        <v>0</v>
      </c>
      <c r="T103" s="29">
        <v>0</v>
      </c>
      <c r="U103" s="29">
        <v>0</v>
      </c>
      <c r="V103" s="29" t="s">
        <v>329</v>
      </c>
      <c r="W103" s="29" t="s">
        <v>329</v>
      </c>
      <c r="X103" s="29" t="s">
        <v>329</v>
      </c>
      <c r="Y103" s="29" t="s">
        <v>329</v>
      </c>
      <c r="Z103" s="29">
        <v>0</v>
      </c>
      <c r="AA103" s="29">
        <v>0</v>
      </c>
      <c r="AB103" s="29">
        <v>0</v>
      </c>
      <c r="AC103" s="29">
        <v>0</v>
      </c>
      <c r="AD103" s="29">
        <v>0</v>
      </c>
      <c r="AE103" s="29">
        <v>0</v>
      </c>
      <c r="AF103" s="29">
        <v>0</v>
      </c>
      <c r="AG103" s="29">
        <v>0</v>
      </c>
      <c r="AH103" s="29">
        <v>0</v>
      </c>
      <c r="AI103" s="29">
        <v>0</v>
      </c>
      <c r="AJ103" s="29">
        <v>0</v>
      </c>
      <c r="AK103" s="29">
        <v>0</v>
      </c>
      <c r="AL103" s="29">
        <v>0</v>
      </c>
      <c r="AM103" s="29">
        <v>157.51970042888715</v>
      </c>
      <c r="AN103" s="29">
        <v>0.56728315412980801</v>
      </c>
      <c r="AO103" s="29">
        <v>0</v>
      </c>
      <c r="AP103" s="29">
        <v>0</v>
      </c>
      <c r="AQ103" s="29">
        <v>158.08698358301694</v>
      </c>
      <c r="AR103" s="29">
        <v>0</v>
      </c>
      <c r="AS103" s="33">
        <v>9999</v>
      </c>
      <c r="AT103" s="29">
        <v>157.51970042888715</v>
      </c>
      <c r="AU103" s="29">
        <v>0.67149428924043764</v>
      </c>
      <c r="AV103" s="29">
        <v>0</v>
      </c>
      <c r="AW103" s="29">
        <v>0</v>
      </c>
      <c r="AX103" s="29">
        <v>158.19119471812758</v>
      </c>
      <c r="AY103" s="29">
        <v>0</v>
      </c>
      <c r="AZ103" s="33">
        <v>9999</v>
      </c>
      <c r="BA103" s="29">
        <v>157.51970042888715</v>
      </c>
      <c r="BB103" s="29">
        <v>1.2387774433702456</v>
      </c>
      <c r="BC103" s="29">
        <v>0</v>
      </c>
      <c r="BD103" s="29">
        <v>0</v>
      </c>
      <c r="BE103" s="29">
        <v>158.75847787225737</v>
      </c>
      <c r="BF103" s="29">
        <v>0</v>
      </c>
      <c r="BG103" s="29">
        <v>-0.29821409690087558</v>
      </c>
      <c r="BH103" s="33">
        <v>9999</v>
      </c>
      <c r="BI103" s="29">
        <v>0</v>
      </c>
      <c r="BJ103" s="29">
        <v>0</v>
      </c>
      <c r="BK103" s="29">
        <v>0</v>
      </c>
      <c r="BL103" s="29">
        <v>0</v>
      </c>
      <c r="BM103" s="29">
        <v>0</v>
      </c>
      <c r="BN103" s="29">
        <v>157.51970042888715</v>
      </c>
      <c r="BO103" s="29">
        <v>0</v>
      </c>
      <c r="BP103" s="29">
        <v>1.2387774433702456</v>
      </c>
      <c r="BQ103" s="29">
        <v>0</v>
      </c>
      <c r="BR103" s="29">
        <v>0</v>
      </c>
      <c r="BS103" s="29">
        <v>0</v>
      </c>
      <c r="BT103" s="29">
        <v>0</v>
      </c>
      <c r="BU103" s="29">
        <v>0</v>
      </c>
      <c r="BV103" s="29">
        <v>33.997870506108065</v>
      </c>
      <c r="BW103" s="29">
        <v>0</v>
      </c>
      <c r="BX103" s="29">
        <v>0</v>
      </c>
      <c r="BY103" s="29"/>
      <c r="BZ103" s="29">
        <v>0</v>
      </c>
      <c r="CA103" s="29">
        <v>0</v>
      </c>
      <c r="CB103" s="29">
        <v>192.75634837836543</v>
      </c>
      <c r="CC103" s="29">
        <v>0</v>
      </c>
      <c r="CD103" s="33">
        <v>9999</v>
      </c>
      <c r="CE103" s="29">
        <v>-8.482609368055213</v>
      </c>
      <c r="CF103" s="29">
        <v>2.9038874026461978</v>
      </c>
      <c r="CG103" s="29">
        <v>0</v>
      </c>
      <c r="CH103" s="29">
        <v>2.9038874026461978</v>
      </c>
      <c r="CI103" s="29">
        <v>0.14518737179625682</v>
      </c>
      <c r="CJ103" s="29">
        <v>0</v>
      </c>
      <c r="CK103" s="29">
        <v>0.14518737179625682</v>
      </c>
      <c r="CL103" s="29"/>
      <c r="CM103" s="29">
        <v>0</v>
      </c>
      <c r="CN103" s="29"/>
      <c r="CO103" s="29">
        <v>0</v>
      </c>
      <c r="CP103" s="29">
        <v>0</v>
      </c>
      <c r="CQ103" s="29">
        <v>0</v>
      </c>
      <c r="CR103" s="29">
        <v>0</v>
      </c>
      <c r="CS103" s="29">
        <v>0</v>
      </c>
      <c r="CT103" s="29">
        <v>0</v>
      </c>
      <c r="CU103" s="29">
        <v>0</v>
      </c>
      <c r="CV103" s="29">
        <v>9999</v>
      </c>
      <c r="CW103" s="33">
        <v>9999</v>
      </c>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row>
    <row r="104" spans="1:131">
      <c r="A104" s="7" t="s">
        <v>500</v>
      </c>
      <c r="B104" s="7" t="s">
        <v>387</v>
      </c>
      <c r="C104" s="29">
        <v>15</v>
      </c>
      <c r="D104" s="29">
        <v>-32.124417637256897</v>
      </c>
      <c r="E104" s="29">
        <v>0</v>
      </c>
      <c r="F104" s="29">
        <v>0</v>
      </c>
      <c r="G104" s="29">
        <v>0</v>
      </c>
      <c r="H104" s="29">
        <v>0</v>
      </c>
      <c r="I104" s="29" t="s">
        <v>916</v>
      </c>
      <c r="J104" s="29"/>
      <c r="K104" s="29"/>
      <c r="L104" s="29">
        <v>-34.433692004876477</v>
      </c>
      <c r="M104" s="29">
        <v>-1.8086103426697873E-4</v>
      </c>
      <c r="N104" s="29">
        <v>-1.7955566042760897E-4</v>
      </c>
      <c r="O104" s="29">
        <v>0</v>
      </c>
      <c r="P104" s="29">
        <v>0</v>
      </c>
      <c r="Q104" s="29">
        <v>0</v>
      </c>
      <c r="R104" s="29">
        <v>0</v>
      </c>
      <c r="S104" s="29">
        <v>0</v>
      </c>
      <c r="T104" s="29">
        <v>0</v>
      </c>
      <c r="U104" s="29">
        <v>0</v>
      </c>
      <c r="V104" s="29" t="s">
        <v>329</v>
      </c>
      <c r="W104" s="29" t="s">
        <v>329</v>
      </c>
      <c r="X104" s="29" t="s">
        <v>329</v>
      </c>
      <c r="Y104" s="29" t="s">
        <v>329</v>
      </c>
      <c r="Z104" s="29">
        <v>0</v>
      </c>
      <c r="AA104" s="29">
        <v>0</v>
      </c>
      <c r="AB104" s="29">
        <v>0</v>
      </c>
      <c r="AC104" s="29">
        <v>0</v>
      </c>
      <c r="AD104" s="29">
        <v>0</v>
      </c>
      <c r="AE104" s="29">
        <v>0</v>
      </c>
      <c r="AF104" s="29">
        <v>0</v>
      </c>
      <c r="AG104" s="29">
        <v>0</v>
      </c>
      <c r="AH104" s="29">
        <v>0</v>
      </c>
      <c r="AI104" s="29">
        <v>0</v>
      </c>
      <c r="AJ104" s="29">
        <v>0</v>
      </c>
      <c r="AK104" s="29">
        <v>0</v>
      </c>
      <c r="AL104" s="29">
        <v>0</v>
      </c>
      <c r="AM104" s="29">
        <v>-17.745295417414962</v>
      </c>
      <c r="AN104" s="29">
        <v>-6.3906972448192212E-2</v>
      </c>
      <c r="AO104" s="29">
        <v>0</v>
      </c>
      <c r="AP104" s="29">
        <v>0</v>
      </c>
      <c r="AQ104" s="29">
        <v>-17.809202389863152</v>
      </c>
      <c r="AR104" s="29">
        <v>0</v>
      </c>
      <c r="AS104" s="109">
        <v>0</v>
      </c>
      <c r="AT104" s="29">
        <v>-17.745295417414962</v>
      </c>
      <c r="AU104" s="29">
        <v>-7.5646820691219571E-2</v>
      </c>
      <c r="AV104" s="29">
        <v>0</v>
      </c>
      <c r="AW104" s="29">
        <v>0</v>
      </c>
      <c r="AX104" s="29">
        <v>-17.820942238106181</v>
      </c>
      <c r="AY104" s="29">
        <v>0</v>
      </c>
      <c r="AZ104" s="109">
        <v>0</v>
      </c>
      <c r="BA104" s="29">
        <v>-17.745295417414962</v>
      </c>
      <c r="BB104" s="29">
        <v>-0.1395537931394118</v>
      </c>
      <c r="BC104" s="29">
        <v>0</v>
      </c>
      <c r="BD104" s="29">
        <v>0</v>
      </c>
      <c r="BE104" s="29">
        <v>-17.884849210554371</v>
      </c>
      <c r="BF104" s="29">
        <v>0</v>
      </c>
      <c r="BG104" s="29">
        <v>9999</v>
      </c>
      <c r="BH104" s="109">
        <v>0</v>
      </c>
      <c r="BI104" s="29">
        <v>9999</v>
      </c>
      <c r="BJ104" s="29">
        <v>9999</v>
      </c>
      <c r="BK104" s="29">
        <v>9999</v>
      </c>
      <c r="BL104" s="29">
        <v>9999</v>
      </c>
      <c r="BM104" s="29">
        <v>9999</v>
      </c>
      <c r="BN104" s="29">
        <v>-17.745295417414962</v>
      </c>
      <c r="BO104" s="29">
        <v>0</v>
      </c>
      <c r="BP104" s="29">
        <v>-0.1395537931394118</v>
      </c>
      <c r="BQ104" s="29">
        <v>0</v>
      </c>
      <c r="BR104" s="29">
        <v>0</v>
      </c>
      <c r="BS104" s="29">
        <v>0</v>
      </c>
      <c r="BT104" s="29">
        <v>0</v>
      </c>
      <c r="BU104" s="29">
        <v>0</v>
      </c>
      <c r="BV104" s="29">
        <v>57.992677713453027</v>
      </c>
      <c r="BW104" s="29">
        <v>0</v>
      </c>
      <c r="BX104" s="29">
        <v>0</v>
      </c>
      <c r="BY104" s="29"/>
      <c r="BZ104" s="29">
        <v>0</v>
      </c>
      <c r="CA104" s="29">
        <v>0</v>
      </c>
      <c r="CB104" s="29">
        <v>40.107828502898656</v>
      </c>
      <c r="CC104" s="29">
        <v>0</v>
      </c>
      <c r="CD104" s="33">
        <v>3.2425589408508881</v>
      </c>
      <c r="CE104" s="29">
        <v>9999</v>
      </c>
      <c r="CF104" s="29">
        <v>-0.32713584192048506</v>
      </c>
      <c r="CG104" s="29">
        <v>0</v>
      </c>
      <c r="CH104" s="29">
        <v>-0.32713584192048506</v>
      </c>
      <c r="CI104" s="29">
        <v>-1.6356003702316328E-2</v>
      </c>
      <c r="CJ104" s="29">
        <v>0</v>
      </c>
      <c r="CK104" s="29">
        <v>-1.6356003702316328E-2</v>
      </c>
      <c r="CL104" s="29"/>
      <c r="CM104" s="29">
        <v>0</v>
      </c>
      <c r="CN104" s="29"/>
      <c r="CO104" s="29">
        <v>0</v>
      </c>
      <c r="CP104" s="29">
        <v>0</v>
      </c>
      <c r="CQ104" s="29">
        <v>0</v>
      </c>
      <c r="CR104" s="29">
        <v>0</v>
      </c>
      <c r="CS104" s="29">
        <v>0</v>
      </c>
      <c r="CT104" s="29">
        <v>0</v>
      </c>
      <c r="CU104" s="29">
        <v>0</v>
      </c>
      <c r="CV104" s="29">
        <v>9999</v>
      </c>
      <c r="CW104" s="33">
        <v>9999</v>
      </c>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row>
    <row r="105" spans="1:131">
      <c r="A105" s="7" t="s">
        <v>501</v>
      </c>
      <c r="B105" s="7" t="s">
        <v>387</v>
      </c>
      <c r="C105" s="29">
        <v>15</v>
      </c>
      <c r="D105" s="29">
        <v>161.35182423512475</v>
      </c>
      <c r="E105" s="29">
        <v>0</v>
      </c>
      <c r="F105" s="29">
        <v>0</v>
      </c>
      <c r="G105" s="29">
        <v>0</v>
      </c>
      <c r="H105" s="29">
        <v>0</v>
      </c>
      <c r="I105" s="29" t="s">
        <v>916</v>
      </c>
      <c r="J105" s="29"/>
      <c r="K105" s="29"/>
      <c r="L105" s="29">
        <v>172.95065339001337</v>
      </c>
      <c r="M105" s="29">
        <v>9.0841359807823424E-4</v>
      </c>
      <c r="N105" s="29">
        <v>9.0185707609954967E-4</v>
      </c>
      <c r="O105" s="29">
        <v>0</v>
      </c>
      <c r="P105" s="29">
        <v>0</v>
      </c>
      <c r="Q105" s="29">
        <v>0</v>
      </c>
      <c r="R105" s="29">
        <v>0</v>
      </c>
      <c r="S105" s="29">
        <v>0</v>
      </c>
      <c r="T105" s="29">
        <v>0</v>
      </c>
      <c r="U105" s="29">
        <v>0</v>
      </c>
      <c r="V105" s="29" t="s">
        <v>329</v>
      </c>
      <c r="W105" s="29" t="s">
        <v>329</v>
      </c>
      <c r="X105" s="29" t="s">
        <v>329</v>
      </c>
      <c r="Y105" s="29" t="s">
        <v>329</v>
      </c>
      <c r="Z105" s="29">
        <v>0</v>
      </c>
      <c r="AA105" s="29">
        <v>0</v>
      </c>
      <c r="AB105" s="29">
        <v>0</v>
      </c>
      <c r="AC105" s="29">
        <v>0</v>
      </c>
      <c r="AD105" s="29">
        <v>0</v>
      </c>
      <c r="AE105" s="29">
        <v>0</v>
      </c>
      <c r="AF105" s="29">
        <v>0</v>
      </c>
      <c r="AG105" s="29">
        <v>0</v>
      </c>
      <c r="AH105" s="29">
        <v>0</v>
      </c>
      <c r="AI105" s="29">
        <v>0</v>
      </c>
      <c r="AJ105" s="29">
        <v>0</v>
      </c>
      <c r="AK105" s="29">
        <v>0</v>
      </c>
      <c r="AL105" s="29">
        <v>0</v>
      </c>
      <c r="AM105" s="29">
        <v>89.129577990245409</v>
      </c>
      <c r="AN105" s="29">
        <v>0.32098656860632729</v>
      </c>
      <c r="AO105" s="29">
        <v>0</v>
      </c>
      <c r="AP105" s="29">
        <v>0</v>
      </c>
      <c r="AQ105" s="29">
        <v>89.450564558851738</v>
      </c>
      <c r="AR105" s="29">
        <v>0</v>
      </c>
      <c r="AS105" s="33">
        <v>9999</v>
      </c>
      <c r="AT105" s="29">
        <v>89.129577990245409</v>
      </c>
      <c r="AU105" s="29">
        <v>0.37995249140204834</v>
      </c>
      <c r="AV105" s="29">
        <v>0</v>
      </c>
      <c r="AW105" s="29">
        <v>0</v>
      </c>
      <c r="AX105" s="29">
        <v>89.50953048164746</v>
      </c>
      <c r="AY105" s="29">
        <v>0</v>
      </c>
      <c r="AZ105" s="33">
        <v>9999</v>
      </c>
      <c r="BA105" s="29">
        <v>89.129577990245409</v>
      </c>
      <c r="BB105" s="29">
        <v>0.70093906000837558</v>
      </c>
      <c r="BC105" s="29">
        <v>0</v>
      </c>
      <c r="BD105" s="29">
        <v>0</v>
      </c>
      <c r="BE105" s="29">
        <v>89.830517050253789</v>
      </c>
      <c r="BF105" s="29">
        <v>0</v>
      </c>
      <c r="BG105" s="29">
        <v>-0.2982140969008828</v>
      </c>
      <c r="BH105" s="33">
        <v>9999</v>
      </c>
      <c r="BI105" s="29">
        <v>0</v>
      </c>
      <c r="BJ105" s="29">
        <v>0</v>
      </c>
      <c r="BK105" s="29">
        <v>0</v>
      </c>
      <c r="BL105" s="29">
        <v>0</v>
      </c>
      <c r="BM105" s="29">
        <v>0</v>
      </c>
      <c r="BN105" s="29">
        <v>89.129577990245409</v>
      </c>
      <c r="BO105" s="29">
        <v>0</v>
      </c>
      <c r="BP105" s="29">
        <v>0.70093906000837558</v>
      </c>
      <c r="BQ105" s="29">
        <v>0</v>
      </c>
      <c r="BR105" s="29">
        <v>0</v>
      </c>
      <c r="BS105" s="29">
        <v>0</v>
      </c>
      <c r="BT105" s="29">
        <v>0</v>
      </c>
      <c r="BU105" s="29">
        <v>0</v>
      </c>
      <c r="BV105" s="29">
        <v>67.182507617688017</v>
      </c>
      <c r="BW105" s="29">
        <v>0</v>
      </c>
      <c r="BX105" s="29">
        <v>0</v>
      </c>
      <c r="BY105" s="29"/>
      <c r="BZ105" s="29">
        <v>0</v>
      </c>
      <c r="CA105" s="29">
        <v>0</v>
      </c>
      <c r="CB105" s="29">
        <v>157.01302466794181</v>
      </c>
      <c r="CC105" s="29">
        <v>0</v>
      </c>
      <c r="CD105" s="33">
        <v>9999</v>
      </c>
      <c r="CE105" s="29">
        <v>-28.880971115044478</v>
      </c>
      <c r="CF105" s="29">
        <v>1.6431104047578586</v>
      </c>
      <c r="CG105" s="29">
        <v>0</v>
      </c>
      <c r="CH105" s="29">
        <v>1.6431104047578586</v>
      </c>
      <c r="CI105" s="29">
        <v>8.2151560360256337E-2</v>
      </c>
      <c r="CJ105" s="29">
        <v>0</v>
      </c>
      <c r="CK105" s="29">
        <v>8.2151560360256337E-2</v>
      </c>
      <c r="CL105" s="29"/>
      <c r="CM105" s="29">
        <v>0</v>
      </c>
      <c r="CN105" s="29"/>
      <c r="CO105" s="29">
        <v>0</v>
      </c>
      <c r="CP105" s="29">
        <v>0</v>
      </c>
      <c r="CQ105" s="29">
        <v>0</v>
      </c>
      <c r="CR105" s="29">
        <v>0</v>
      </c>
      <c r="CS105" s="29">
        <v>0</v>
      </c>
      <c r="CT105" s="29">
        <v>0</v>
      </c>
      <c r="CU105" s="29">
        <v>0</v>
      </c>
      <c r="CV105" s="29">
        <v>9999</v>
      </c>
      <c r="CW105" s="33">
        <v>9999</v>
      </c>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row>
    <row r="106" spans="1:131">
      <c r="A106" s="7" t="s">
        <v>802</v>
      </c>
      <c r="B106" s="7" t="s">
        <v>386</v>
      </c>
      <c r="C106" s="29">
        <v>15</v>
      </c>
      <c r="D106" s="29">
        <v>130.34737827858635</v>
      </c>
      <c r="E106" s="29">
        <v>0</v>
      </c>
      <c r="F106" s="29">
        <v>80.823411921055211</v>
      </c>
      <c r="G106" s="29">
        <v>0</v>
      </c>
      <c r="H106" s="29">
        <v>0</v>
      </c>
      <c r="I106" s="29" t="s">
        <v>385</v>
      </c>
      <c r="J106" s="29"/>
      <c r="K106" s="29"/>
      <c r="L106" s="29">
        <v>140.40411659670912</v>
      </c>
      <c r="M106" s="29">
        <v>4.9049505856757158E-2</v>
      </c>
      <c r="N106" s="29">
        <v>4.8695488519418989E-2</v>
      </c>
      <c r="O106" s="29">
        <v>0</v>
      </c>
      <c r="P106" s="29">
        <v>0</v>
      </c>
      <c r="Q106" s="29">
        <v>0</v>
      </c>
      <c r="R106" s="29">
        <v>16.117268016782123</v>
      </c>
      <c r="S106" s="29">
        <v>37.244554964156372</v>
      </c>
      <c r="T106" s="29">
        <v>0</v>
      </c>
      <c r="U106" s="29">
        <v>47.09234977280488</v>
      </c>
      <c r="V106" s="29" t="s">
        <v>329</v>
      </c>
      <c r="W106" s="29" t="s">
        <v>329</v>
      </c>
      <c r="X106" s="29" t="s">
        <v>329</v>
      </c>
      <c r="Y106" s="29" t="s">
        <v>329</v>
      </c>
      <c r="Z106" s="29">
        <v>0</v>
      </c>
      <c r="AA106" s="29">
        <v>0</v>
      </c>
      <c r="AB106" s="29">
        <v>0</v>
      </c>
      <c r="AC106" s="29">
        <v>0</v>
      </c>
      <c r="AD106" s="29">
        <v>0</v>
      </c>
      <c r="AE106" s="29">
        <v>0</v>
      </c>
      <c r="AF106" s="29">
        <v>0</v>
      </c>
      <c r="AG106" s="29">
        <v>0</v>
      </c>
      <c r="AH106" s="29">
        <v>16.117268016782123</v>
      </c>
      <c r="AI106" s="29">
        <v>37.244554964156372</v>
      </c>
      <c r="AJ106" s="29">
        <v>0</v>
      </c>
      <c r="AK106" s="29">
        <v>47.09234977280488</v>
      </c>
      <c r="AL106" s="29">
        <v>100.45417275374338</v>
      </c>
      <c r="AM106" s="29">
        <v>72.973800428606467</v>
      </c>
      <c r="AN106" s="29">
        <v>17.33156858297107</v>
      </c>
      <c r="AO106" s="29">
        <v>0</v>
      </c>
      <c r="AP106" s="29">
        <v>0</v>
      </c>
      <c r="AQ106" s="29">
        <v>90.30536901157754</v>
      </c>
      <c r="AR106" s="29">
        <v>16.117268016782123</v>
      </c>
      <c r="AS106" s="33">
        <v>5.6030196257546239</v>
      </c>
      <c r="AT106" s="29">
        <v>72.973800428606467</v>
      </c>
      <c r="AU106" s="29">
        <v>20.515414995702468</v>
      </c>
      <c r="AV106" s="29">
        <v>0</v>
      </c>
      <c r="AW106" s="29">
        <v>0</v>
      </c>
      <c r="AX106" s="29">
        <v>93.489215424308938</v>
      </c>
      <c r="AY106" s="29">
        <v>37.244554964156372</v>
      </c>
      <c r="AZ106" s="33">
        <v>2.5101445168100849</v>
      </c>
      <c r="BA106" s="29">
        <v>72.973800428606467</v>
      </c>
      <c r="BB106" s="29">
        <v>37.846983578673537</v>
      </c>
      <c r="BC106" s="29">
        <v>0</v>
      </c>
      <c r="BD106" s="29">
        <v>0</v>
      </c>
      <c r="BE106" s="29">
        <v>110.82078400728001</v>
      </c>
      <c r="BF106" s="29">
        <v>53.361822980938499</v>
      </c>
      <c r="BG106" s="29">
        <v>8.1308801120507237</v>
      </c>
      <c r="BH106" s="33">
        <v>2.0767803237694213</v>
      </c>
      <c r="BI106" s="29">
        <v>8.4465955837811517</v>
      </c>
      <c r="BJ106" s="29">
        <v>19.518797674182171</v>
      </c>
      <c r="BK106" s="29">
        <v>0</v>
      </c>
      <c r="BL106" s="29">
        <v>24.679743068531998</v>
      </c>
      <c r="BM106" s="29">
        <v>52.645136326495319</v>
      </c>
      <c r="BN106" s="29">
        <v>72.973800428606467</v>
      </c>
      <c r="BO106" s="29">
        <v>0</v>
      </c>
      <c r="BP106" s="29">
        <v>37.846983578673537</v>
      </c>
      <c r="BQ106" s="29">
        <v>0</v>
      </c>
      <c r="BR106" s="29">
        <v>0</v>
      </c>
      <c r="BS106" s="29">
        <v>0</v>
      </c>
      <c r="BT106" s="29">
        <v>0</v>
      </c>
      <c r="BU106" s="29">
        <v>0</v>
      </c>
      <c r="BV106" s="29">
        <v>27.182103604974447</v>
      </c>
      <c r="BW106" s="29">
        <v>0</v>
      </c>
      <c r="BX106" s="29">
        <v>100.45417275374338</v>
      </c>
      <c r="BY106" s="29"/>
      <c r="BZ106" s="29">
        <v>0</v>
      </c>
      <c r="CA106" s="29">
        <v>0</v>
      </c>
      <c r="CB106" s="29">
        <v>138.00288761225445</v>
      </c>
      <c r="CC106" s="29">
        <v>100.45417275374338</v>
      </c>
      <c r="CD106" s="33">
        <v>1.3737894985264496</v>
      </c>
      <c r="CE106" s="29">
        <v>18.565266211362406</v>
      </c>
      <c r="CF106" s="29">
        <v>1.3338553175000847</v>
      </c>
      <c r="CG106" s="29">
        <v>0</v>
      </c>
      <c r="CH106" s="29">
        <v>1.3338553175000847</v>
      </c>
      <c r="CI106" s="29">
        <v>6.6691955383436835E-2</v>
      </c>
      <c r="CJ106" s="29">
        <v>0</v>
      </c>
      <c r="CK106" s="29">
        <v>6.6691955383436835E-2</v>
      </c>
      <c r="CL106" s="29"/>
      <c r="CM106" s="29">
        <v>0</v>
      </c>
      <c r="CN106" s="29"/>
      <c r="CO106" s="29">
        <v>0</v>
      </c>
      <c r="CP106" s="29">
        <v>0</v>
      </c>
      <c r="CQ106" s="29">
        <v>0</v>
      </c>
      <c r="CR106" s="29">
        <v>0</v>
      </c>
      <c r="CS106" s="29">
        <v>0</v>
      </c>
      <c r="CT106" s="29">
        <v>0</v>
      </c>
      <c r="CU106" s="29">
        <v>0</v>
      </c>
      <c r="CV106" s="29">
        <v>9999</v>
      </c>
      <c r="CW106" s="33">
        <v>9999</v>
      </c>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row>
    <row r="107" spans="1:131">
      <c r="A107" s="7" t="s">
        <v>804</v>
      </c>
      <c r="B107" s="7" t="s">
        <v>386</v>
      </c>
      <c r="C107" s="29">
        <v>15</v>
      </c>
      <c r="D107" s="29">
        <v>439.7271685801071</v>
      </c>
      <c r="E107" s="29">
        <v>0</v>
      </c>
      <c r="F107" s="29">
        <v>5447.8150000000014</v>
      </c>
      <c r="G107" s="29">
        <v>0</v>
      </c>
      <c r="H107" s="29">
        <v>0</v>
      </c>
      <c r="I107" s="29" t="s">
        <v>385</v>
      </c>
      <c r="J107" s="29"/>
      <c r="K107" s="29"/>
      <c r="L107" s="29">
        <v>473.65359751316743</v>
      </c>
      <c r="M107" s="29">
        <v>0.16546861636563115</v>
      </c>
      <c r="N107" s="29">
        <v>0.16427433809604239</v>
      </c>
      <c r="O107" s="29">
        <v>0</v>
      </c>
      <c r="P107" s="29">
        <v>0</v>
      </c>
      <c r="Q107" s="29">
        <v>0</v>
      </c>
      <c r="R107" s="29">
        <v>1086.3670856485116</v>
      </c>
      <c r="S107" s="29">
        <v>2510.4290994327353</v>
      </c>
      <c r="T107" s="29">
        <v>0</v>
      </c>
      <c r="U107" s="29">
        <v>3174.209098325623</v>
      </c>
      <c r="V107" s="29" t="s">
        <v>329</v>
      </c>
      <c r="W107" s="29" t="s">
        <v>329</v>
      </c>
      <c r="X107" s="29" t="s">
        <v>329</v>
      </c>
      <c r="Y107" s="29" t="s">
        <v>329</v>
      </c>
      <c r="Z107" s="29">
        <v>0</v>
      </c>
      <c r="AA107" s="29">
        <v>0</v>
      </c>
      <c r="AB107" s="29">
        <v>0</v>
      </c>
      <c r="AC107" s="29">
        <v>0</v>
      </c>
      <c r="AD107" s="29">
        <v>0</v>
      </c>
      <c r="AE107" s="29">
        <v>0</v>
      </c>
      <c r="AF107" s="29">
        <v>0</v>
      </c>
      <c r="AG107" s="29">
        <v>0</v>
      </c>
      <c r="AH107" s="29">
        <v>1086.3670856485116</v>
      </c>
      <c r="AI107" s="29">
        <v>2510.4290994327353</v>
      </c>
      <c r="AJ107" s="29">
        <v>0</v>
      </c>
      <c r="AK107" s="29">
        <v>3174.209098325623</v>
      </c>
      <c r="AL107" s="29">
        <v>6771.0052834068701</v>
      </c>
      <c r="AM107" s="29">
        <v>246.17727695619104</v>
      </c>
      <c r="AN107" s="29">
        <v>58.468084902738894</v>
      </c>
      <c r="AO107" s="29">
        <v>0</v>
      </c>
      <c r="AP107" s="29">
        <v>0</v>
      </c>
      <c r="AQ107" s="29">
        <v>304.64536185892996</v>
      </c>
      <c r="AR107" s="29">
        <v>1086.3670856485116</v>
      </c>
      <c r="AS107" s="109">
        <v>0.28042580255187921</v>
      </c>
      <c r="AT107" s="29">
        <v>246.17727695619104</v>
      </c>
      <c r="AU107" s="29">
        <v>69.208797809691958</v>
      </c>
      <c r="AV107" s="29">
        <v>0</v>
      </c>
      <c r="AW107" s="29">
        <v>0</v>
      </c>
      <c r="AX107" s="29">
        <v>315.386074765883</v>
      </c>
      <c r="AY107" s="29">
        <v>2510.4290994327353</v>
      </c>
      <c r="AZ107" s="109">
        <v>0.12563034536093795</v>
      </c>
      <c r="BA107" s="29">
        <v>246.17727695619104</v>
      </c>
      <c r="BB107" s="29">
        <v>127.67688271243085</v>
      </c>
      <c r="BC107" s="29">
        <v>0</v>
      </c>
      <c r="BD107" s="29">
        <v>0</v>
      </c>
      <c r="BE107" s="29">
        <v>373.85415966862189</v>
      </c>
      <c r="BF107" s="29">
        <v>3596.7961850812471</v>
      </c>
      <c r="BG107" s="29">
        <v>538.92522237210085</v>
      </c>
      <c r="BH107" s="109">
        <v>0.10394087972493136</v>
      </c>
      <c r="BI107" s="29">
        <v>168.76635600599803</v>
      </c>
      <c r="BJ107" s="29">
        <v>389.99337951201534</v>
      </c>
      <c r="BK107" s="29">
        <v>0</v>
      </c>
      <c r="BL107" s="29">
        <v>493.11113140519336</v>
      </c>
      <c r="BM107" s="29">
        <v>1051.8708669232069</v>
      </c>
      <c r="BN107" s="29">
        <v>246.17727695619104</v>
      </c>
      <c r="BO107" s="29">
        <v>0</v>
      </c>
      <c r="BP107" s="29">
        <v>127.67688271243085</v>
      </c>
      <c r="BQ107" s="29">
        <v>0</v>
      </c>
      <c r="BR107" s="29">
        <v>0</v>
      </c>
      <c r="BS107" s="29">
        <v>0</v>
      </c>
      <c r="BT107" s="29">
        <v>0</v>
      </c>
      <c r="BU107" s="29">
        <v>0</v>
      </c>
      <c r="BV107" s="29">
        <v>89.447722420806159</v>
      </c>
      <c r="BW107" s="29">
        <v>0</v>
      </c>
      <c r="BX107" s="29">
        <v>6771.0052834068701</v>
      </c>
      <c r="BY107" s="29"/>
      <c r="BZ107" s="29">
        <v>0</v>
      </c>
      <c r="CA107" s="29">
        <v>0</v>
      </c>
      <c r="CB107" s="29">
        <v>463.30188208942809</v>
      </c>
      <c r="CC107" s="29">
        <v>6771.0052834068701</v>
      </c>
      <c r="CD107" s="109">
        <v>6.8424386438569587E-2</v>
      </c>
      <c r="CE107" s="29">
        <v>1018.1407135600798</v>
      </c>
      <c r="CF107" s="29">
        <v>4.4997638602769605</v>
      </c>
      <c r="CG107" s="29">
        <v>0</v>
      </c>
      <c r="CH107" s="29">
        <v>4.4997638602769605</v>
      </c>
      <c r="CI107" s="29">
        <v>0.22498545881875459</v>
      </c>
      <c r="CJ107" s="29">
        <v>0</v>
      </c>
      <c r="CK107" s="29">
        <v>0.22498545881875459</v>
      </c>
      <c r="CL107" s="29"/>
      <c r="CM107" s="29">
        <v>0</v>
      </c>
      <c r="CN107" s="29"/>
      <c r="CO107" s="29">
        <v>0</v>
      </c>
      <c r="CP107" s="29">
        <v>0</v>
      </c>
      <c r="CQ107" s="29">
        <v>0</v>
      </c>
      <c r="CR107" s="29">
        <v>0</v>
      </c>
      <c r="CS107" s="29">
        <v>0</v>
      </c>
      <c r="CT107" s="29">
        <v>0</v>
      </c>
      <c r="CU107" s="29">
        <v>0</v>
      </c>
      <c r="CV107" s="29">
        <v>9999</v>
      </c>
      <c r="CW107" s="33">
        <v>9999</v>
      </c>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row>
    <row r="108" spans="1:131">
      <c r="A108" s="7" t="s">
        <v>803</v>
      </c>
      <c r="B108" s="7" t="s">
        <v>386</v>
      </c>
      <c r="C108" s="29">
        <v>15</v>
      </c>
      <c r="D108" s="29">
        <v>2718.146476067137</v>
      </c>
      <c r="E108" s="29">
        <v>0</v>
      </c>
      <c r="F108" s="29">
        <v>3764.9764753308682</v>
      </c>
      <c r="G108" s="29">
        <v>0</v>
      </c>
      <c r="H108" s="29">
        <v>0</v>
      </c>
      <c r="I108" s="29" t="s">
        <v>917</v>
      </c>
      <c r="J108" s="29"/>
      <c r="K108" s="29"/>
      <c r="L108" s="29">
        <v>2928.732581154939</v>
      </c>
      <c r="M108" s="29">
        <v>1.0688519069170466</v>
      </c>
      <c r="N108" s="29">
        <v>1.0611374131726929</v>
      </c>
      <c r="O108" s="29">
        <v>0</v>
      </c>
      <c r="P108" s="29">
        <v>0</v>
      </c>
      <c r="Q108" s="29">
        <v>0</v>
      </c>
      <c r="R108" s="29">
        <v>750.78660362739924</v>
      </c>
      <c r="S108" s="29">
        <v>1734.9536469851312</v>
      </c>
      <c r="T108" s="29">
        <v>0</v>
      </c>
      <c r="U108" s="29">
        <v>2193.6909720644285</v>
      </c>
      <c r="V108" s="29" t="s">
        <v>329</v>
      </c>
      <c r="W108" s="29" t="s">
        <v>329</v>
      </c>
      <c r="X108" s="29" t="s">
        <v>329</v>
      </c>
      <c r="Y108" s="29" t="s">
        <v>329</v>
      </c>
      <c r="Z108" s="29">
        <v>0</v>
      </c>
      <c r="AA108" s="29">
        <v>0</v>
      </c>
      <c r="AB108" s="29">
        <v>0</v>
      </c>
      <c r="AC108" s="29">
        <v>0</v>
      </c>
      <c r="AD108" s="29">
        <v>0</v>
      </c>
      <c r="AE108" s="29">
        <v>0</v>
      </c>
      <c r="AF108" s="29">
        <v>0</v>
      </c>
      <c r="AG108" s="29">
        <v>0</v>
      </c>
      <c r="AH108" s="29">
        <v>750.78660362739924</v>
      </c>
      <c r="AI108" s="29">
        <v>1734.9536469851312</v>
      </c>
      <c r="AJ108" s="29">
        <v>0</v>
      </c>
      <c r="AK108" s="29">
        <v>2193.6909720644285</v>
      </c>
      <c r="AL108" s="29">
        <v>4679.4312226769589</v>
      </c>
      <c r="AM108" s="29">
        <v>1510.9535390621104</v>
      </c>
      <c r="AN108" s="29">
        <v>377.67720196553574</v>
      </c>
      <c r="AO108" s="29">
        <v>0</v>
      </c>
      <c r="AP108" s="29">
        <v>0</v>
      </c>
      <c r="AQ108" s="29">
        <v>1888.6307410276461</v>
      </c>
      <c r="AR108" s="29">
        <v>750.78660362739924</v>
      </c>
      <c r="AS108" s="33">
        <v>2.515536015031159</v>
      </c>
      <c r="AT108" s="29">
        <v>1510.9535390621104</v>
      </c>
      <c r="AU108" s="29">
        <v>447.057315998023</v>
      </c>
      <c r="AV108" s="29">
        <v>0</v>
      </c>
      <c r="AW108" s="29">
        <v>0</v>
      </c>
      <c r="AX108" s="29">
        <v>1958.0108550601335</v>
      </c>
      <c r="AY108" s="29">
        <v>1734.9536469851312</v>
      </c>
      <c r="AZ108" s="33">
        <v>1.1285666671629031</v>
      </c>
      <c r="BA108" s="29">
        <v>1510.9535390621104</v>
      </c>
      <c r="BB108" s="29">
        <v>824.7345179635588</v>
      </c>
      <c r="BC108" s="29">
        <v>0</v>
      </c>
      <c r="BD108" s="29">
        <v>0</v>
      </c>
      <c r="BE108" s="29">
        <v>2335.6880570256694</v>
      </c>
      <c r="BF108" s="29">
        <v>2485.7402506125304</v>
      </c>
      <c r="BG108" s="29">
        <v>41.731262833836738</v>
      </c>
      <c r="BH108" s="109">
        <v>0.93963480554740764</v>
      </c>
      <c r="BI108" s="29">
        <v>18.862832603311666</v>
      </c>
      <c r="BJ108" s="29">
        <v>43.589137125609867</v>
      </c>
      <c r="BK108" s="29">
        <v>0</v>
      </c>
      <c r="BL108" s="29">
        <v>55.114496435505217</v>
      </c>
      <c r="BM108" s="29">
        <v>117.56646616442676</v>
      </c>
      <c r="BN108" s="29">
        <v>1510.9535390621104</v>
      </c>
      <c r="BO108" s="29">
        <v>0</v>
      </c>
      <c r="BP108" s="29">
        <v>824.7345179635588</v>
      </c>
      <c r="BQ108" s="29">
        <v>0</v>
      </c>
      <c r="BR108" s="29">
        <v>0</v>
      </c>
      <c r="BS108" s="29">
        <v>0</v>
      </c>
      <c r="BT108" s="29">
        <v>0</v>
      </c>
      <c r="BU108" s="29">
        <v>0</v>
      </c>
      <c r="BV108" s="29">
        <v>773.32124224702795</v>
      </c>
      <c r="BW108" s="29">
        <v>0</v>
      </c>
      <c r="BX108" s="29">
        <v>4679.4312226769589</v>
      </c>
      <c r="BY108" s="29"/>
      <c r="BZ108" s="29">
        <v>0</v>
      </c>
      <c r="CA108" s="29">
        <v>0</v>
      </c>
      <c r="CB108" s="29">
        <v>3109.0092992726968</v>
      </c>
      <c r="CC108" s="29">
        <v>4679.4312226769589</v>
      </c>
      <c r="CD108" s="109">
        <v>0.66439897315001628</v>
      </c>
      <c r="CE108" s="29">
        <v>77.416764305108458</v>
      </c>
      <c r="CF108" s="29">
        <v>27.822884332785804</v>
      </c>
      <c r="CG108" s="29">
        <v>0</v>
      </c>
      <c r="CH108" s="29">
        <v>27.822884332785804</v>
      </c>
      <c r="CI108" s="29">
        <v>1.3911479760485963</v>
      </c>
      <c r="CJ108" s="29">
        <v>0</v>
      </c>
      <c r="CK108" s="29">
        <v>1.3911479760485963</v>
      </c>
      <c r="CL108" s="29"/>
      <c r="CM108" s="29">
        <v>0</v>
      </c>
      <c r="CN108" s="29"/>
      <c r="CO108" s="29">
        <v>0</v>
      </c>
      <c r="CP108" s="29">
        <v>0</v>
      </c>
      <c r="CQ108" s="29">
        <v>0</v>
      </c>
      <c r="CR108" s="29">
        <v>0</v>
      </c>
      <c r="CS108" s="29">
        <v>0</v>
      </c>
      <c r="CT108" s="29">
        <v>0</v>
      </c>
      <c r="CU108" s="29">
        <v>0</v>
      </c>
      <c r="CV108" s="29">
        <v>9999</v>
      </c>
      <c r="CW108" s="33">
        <v>9999</v>
      </c>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row>
    <row r="109" spans="1:131">
      <c r="A109" s="7" t="s">
        <v>802</v>
      </c>
      <c r="B109" s="7" t="s">
        <v>387</v>
      </c>
      <c r="C109" s="29">
        <v>15</v>
      </c>
      <c r="D109" s="29">
        <v>26.709265500390853</v>
      </c>
      <c r="E109" s="29">
        <v>0</v>
      </c>
      <c r="F109" s="29">
        <v>0</v>
      </c>
      <c r="G109" s="29">
        <v>0</v>
      </c>
      <c r="H109" s="29">
        <v>0</v>
      </c>
      <c r="I109" s="29" t="s">
        <v>384</v>
      </c>
      <c r="J109" s="29"/>
      <c r="K109" s="29"/>
      <c r="L109" s="29">
        <v>28.625711264427284</v>
      </c>
      <c r="M109" s="29">
        <v>0</v>
      </c>
      <c r="N109" s="29">
        <v>0</v>
      </c>
      <c r="O109" s="29">
        <v>0</v>
      </c>
      <c r="P109" s="29">
        <v>0</v>
      </c>
      <c r="Q109" s="29">
        <v>0</v>
      </c>
      <c r="R109" s="29">
        <v>0</v>
      </c>
      <c r="S109" s="29">
        <v>0</v>
      </c>
      <c r="T109" s="29">
        <v>0</v>
      </c>
      <c r="U109" s="29">
        <v>0</v>
      </c>
      <c r="V109" s="29" t="s">
        <v>329</v>
      </c>
      <c r="W109" s="29" t="s">
        <v>329</v>
      </c>
      <c r="X109" s="29" t="s">
        <v>329</v>
      </c>
      <c r="Y109" s="29" t="s">
        <v>329</v>
      </c>
      <c r="Z109" s="29">
        <v>0</v>
      </c>
      <c r="AA109" s="29">
        <v>0</v>
      </c>
      <c r="AB109" s="29">
        <v>0</v>
      </c>
      <c r="AC109" s="29">
        <v>0</v>
      </c>
      <c r="AD109" s="29">
        <v>0</v>
      </c>
      <c r="AE109" s="29">
        <v>0</v>
      </c>
      <c r="AF109" s="29">
        <v>0</v>
      </c>
      <c r="AG109" s="29">
        <v>0</v>
      </c>
      <c r="AH109" s="29">
        <v>0</v>
      </c>
      <c r="AI109" s="29">
        <v>0</v>
      </c>
      <c r="AJ109" s="29">
        <v>0</v>
      </c>
      <c r="AK109" s="29">
        <v>0</v>
      </c>
      <c r="AL109" s="29">
        <v>0</v>
      </c>
      <c r="AM109" s="29">
        <v>14.903992276151502</v>
      </c>
      <c r="AN109" s="29">
        <v>0</v>
      </c>
      <c r="AO109" s="29">
        <v>0</v>
      </c>
      <c r="AP109" s="29">
        <v>0</v>
      </c>
      <c r="AQ109" s="29">
        <v>14.903992276151502</v>
      </c>
      <c r="AR109" s="29">
        <v>0</v>
      </c>
      <c r="AS109" s="33">
        <v>9999</v>
      </c>
      <c r="AT109" s="29">
        <v>14.903992276151502</v>
      </c>
      <c r="AU109" s="29">
        <v>0</v>
      </c>
      <c r="AV109" s="29">
        <v>0</v>
      </c>
      <c r="AW109" s="29">
        <v>0</v>
      </c>
      <c r="AX109" s="29">
        <v>14.903992276151502</v>
      </c>
      <c r="AY109" s="29">
        <v>0</v>
      </c>
      <c r="AZ109" s="33">
        <v>9999</v>
      </c>
      <c r="BA109" s="29">
        <v>14.903992276151502</v>
      </c>
      <c r="BB109" s="29">
        <v>0</v>
      </c>
      <c r="BC109" s="29">
        <v>0</v>
      </c>
      <c r="BD109" s="29">
        <v>0</v>
      </c>
      <c r="BE109" s="29">
        <v>14.903992276151502</v>
      </c>
      <c r="BF109" s="29">
        <v>0</v>
      </c>
      <c r="BG109" s="29">
        <v>0</v>
      </c>
      <c r="BH109" s="33">
        <v>9999</v>
      </c>
      <c r="BI109" s="29">
        <v>0</v>
      </c>
      <c r="BJ109" s="29">
        <v>0</v>
      </c>
      <c r="BK109" s="29">
        <v>0</v>
      </c>
      <c r="BL109" s="29">
        <v>0</v>
      </c>
      <c r="BM109" s="29">
        <v>0</v>
      </c>
      <c r="BN109" s="29">
        <v>14.903992276151502</v>
      </c>
      <c r="BO109" s="29">
        <v>0</v>
      </c>
      <c r="BP109" s="29">
        <v>0</v>
      </c>
      <c r="BQ109" s="29">
        <v>0</v>
      </c>
      <c r="BR109" s="29">
        <v>0</v>
      </c>
      <c r="BS109" s="29">
        <v>0</v>
      </c>
      <c r="BT109" s="29">
        <v>0</v>
      </c>
      <c r="BU109" s="29">
        <v>0</v>
      </c>
      <c r="BV109" s="29">
        <v>0</v>
      </c>
      <c r="BW109" s="29">
        <v>0</v>
      </c>
      <c r="BX109" s="29">
        <v>0</v>
      </c>
      <c r="BY109" s="29"/>
      <c r="BZ109" s="29">
        <v>0</v>
      </c>
      <c r="CA109" s="29">
        <v>0</v>
      </c>
      <c r="CB109" s="29">
        <v>14.903992276151502</v>
      </c>
      <c r="CC109" s="29">
        <v>0</v>
      </c>
      <c r="CD109" s="33">
        <v>9999</v>
      </c>
      <c r="CE109" s="29">
        <v>0</v>
      </c>
      <c r="CF109" s="29">
        <v>0.27196132771895482</v>
      </c>
      <c r="CG109" s="29">
        <v>0</v>
      </c>
      <c r="CH109" s="29">
        <v>0.27196132771895482</v>
      </c>
      <c r="CI109" s="29">
        <v>1.359721285060296E-2</v>
      </c>
      <c r="CJ109" s="29">
        <v>0</v>
      </c>
      <c r="CK109" s="29">
        <v>1.359721285060296E-2</v>
      </c>
      <c r="CL109" s="29"/>
      <c r="CM109" s="29">
        <v>0</v>
      </c>
      <c r="CN109" s="29"/>
      <c r="CO109" s="29">
        <v>0</v>
      </c>
      <c r="CP109" s="29">
        <v>0</v>
      </c>
      <c r="CQ109" s="29">
        <v>0</v>
      </c>
      <c r="CR109" s="29">
        <v>0</v>
      </c>
      <c r="CS109" s="29">
        <v>0</v>
      </c>
      <c r="CT109" s="29">
        <v>0</v>
      </c>
      <c r="CU109" s="29">
        <v>0</v>
      </c>
      <c r="CV109" s="29">
        <v>9999</v>
      </c>
      <c r="CW109" s="33">
        <v>9999</v>
      </c>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row>
    <row r="110" spans="1:131">
      <c r="A110" s="7" t="s">
        <v>804</v>
      </c>
      <c r="B110" s="7" t="s">
        <v>387</v>
      </c>
      <c r="C110" s="29">
        <v>15</v>
      </c>
      <c r="D110" s="29">
        <v>121.69574768633242</v>
      </c>
      <c r="E110" s="29">
        <v>0</v>
      </c>
      <c r="F110" s="29">
        <v>0</v>
      </c>
      <c r="G110" s="29">
        <v>0</v>
      </c>
      <c r="H110" s="29">
        <v>0</v>
      </c>
      <c r="I110" s="29" t="s">
        <v>384</v>
      </c>
      <c r="J110" s="29"/>
      <c r="K110" s="29"/>
      <c r="L110" s="29">
        <v>130.42767257402002</v>
      </c>
      <c r="M110" s="29">
        <v>0</v>
      </c>
      <c r="N110" s="29">
        <v>0</v>
      </c>
      <c r="O110" s="29">
        <v>0</v>
      </c>
      <c r="P110" s="29">
        <v>0</v>
      </c>
      <c r="Q110" s="29">
        <v>0</v>
      </c>
      <c r="R110" s="29">
        <v>0</v>
      </c>
      <c r="S110" s="29">
        <v>0</v>
      </c>
      <c r="T110" s="29">
        <v>0</v>
      </c>
      <c r="U110" s="29">
        <v>0</v>
      </c>
      <c r="V110" s="29" t="s">
        <v>329</v>
      </c>
      <c r="W110" s="29" t="s">
        <v>329</v>
      </c>
      <c r="X110" s="29" t="s">
        <v>329</v>
      </c>
      <c r="Y110" s="29" t="s">
        <v>329</v>
      </c>
      <c r="Z110" s="29">
        <v>0</v>
      </c>
      <c r="AA110" s="29">
        <v>0</v>
      </c>
      <c r="AB110" s="29">
        <v>0</v>
      </c>
      <c r="AC110" s="29">
        <v>0</v>
      </c>
      <c r="AD110" s="29">
        <v>0</v>
      </c>
      <c r="AE110" s="29">
        <v>0</v>
      </c>
      <c r="AF110" s="29">
        <v>0</v>
      </c>
      <c r="AG110" s="29">
        <v>0</v>
      </c>
      <c r="AH110" s="29">
        <v>0</v>
      </c>
      <c r="AI110" s="29">
        <v>0</v>
      </c>
      <c r="AJ110" s="29">
        <v>0</v>
      </c>
      <c r="AK110" s="29">
        <v>0</v>
      </c>
      <c r="AL110" s="29">
        <v>0</v>
      </c>
      <c r="AM110" s="29">
        <v>67.907239288592123</v>
      </c>
      <c r="AN110" s="29">
        <v>0</v>
      </c>
      <c r="AO110" s="29">
        <v>0</v>
      </c>
      <c r="AP110" s="29">
        <v>0</v>
      </c>
      <c r="AQ110" s="29">
        <v>67.907239288592123</v>
      </c>
      <c r="AR110" s="29">
        <v>0</v>
      </c>
      <c r="AS110" s="33">
        <v>9999</v>
      </c>
      <c r="AT110" s="29">
        <v>67.907239288592123</v>
      </c>
      <c r="AU110" s="29">
        <v>0</v>
      </c>
      <c r="AV110" s="29">
        <v>0</v>
      </c>
      <c r="AW110" s="29">
        <v>0</v>
      </c>
      <c r="AX110" s="29">
        <v>67.907239288592123</v>
      </c>
      <c r="AY110" s="29">
        <v>0</v>
      </c>
      <c r="AZ110" s="33">
        <v>9999</v>
      </c>
      <c r="BA110" s="29">
        <v>67.907239288592123</v>
      </c>
      <c r="BB110" s="29">
        <v>0</v>
      </c>
      <c r="BC110" s="29">
        <v>0</v>
      </c>
      <c r="BD110" s="29">
        <v>0</v>
      </c>
      <c r="BE110" s="29">
        <v>67.907239288592123</v>
      </c>
      <c r="BF110" s="29">
        <v>0</v>
      </c>
      <c r="BG110" s="29">
        <v>0</v>
      </c>
      <c r="BH110" s="33">
        <v>9999</v>
      </c>
      <c r="BI110" s="29">
        <v>0</v>
      </c>
      <c r="BJ110" s="29">
        <v>0</v>
      </c>
      <c r="BK110" s="29">
        <v>0</v>
      </c>
      <c r="BL110" s="29">
        <v>0</v>
      </c>
      <c r="BM110" s="29">
        <v>0</v>
      </c>
      <c r="BN110" s="29">
        <v>67.907239288592123</v>
      </c>
      <c r="BO110" s="29">
        <v>0</v>
      </c>
      <c r="BP110" s="29">
        <v>0</v>
      </c>
      <c r="BQ110" s="29">
        <v>0</v>
      </c>
      <c r="BR110" s="29">
        <v>0</v>
      </c>
      <c r="BS110" s="29">
        <v>0</v>
      </c>
      <c r="BT110" s="29">
        <v>0</v>
      </c>
      <c r="BU110" s="29">
        <v>0</v>
      </c>
      <c r="BV110" s="29">
        <v>0</v>
      </c>
      <c r="BW110" s="29">
        <v>0</v>
      </c>
      <c r="BX110" s="29">
        <v>0</v>
      </c>
      <c r="BY110" s="29"/>
      <c r="BZ110" s="29">
        <v>0</v>
      </c>
      <c r="CA110" s="29">
        <v>0</v>
      </c>
      <c r="CB110" s="29">
        <v>67.907239288592123</v>
      </c>
      <c r="CC110" s="29">
        <v>0</v>
      </c>
      <c r="CD110" s="33">
        <v>9999</v>
      </c>
      <c r="CE110" s="29">
        <v>0</v>
      </c>
      <c r="CF110" s="29">
        <v>1.2391406689203646</v>
      </c>
      <c r="CG110" s="29">
        <v>0</v>
      </c>
      <c r="CH110" s="29">
        <v>1.2391406689203646</v>
      </c>
      <c r="CI110" s="29">
        <v>6.1953144472659497E-2</v>
      </c>
      <c r="CJ110" s="29">
        <v>0</v>
      </c>
      <c r="CK110" s="29">
        <v>6.1953144472659497E-2</v>
      </c>
      <c r="CL110" s="29"/>
      <c r="CM110" s="29">
        <v>0</v>
      </c>
      <c r="CN110" s="29"/>
      <c r="CO110" s="29">
        <v>0</v>
      </c>
      <c r="CP110" s="29">
        <v>0</v>
      </c>
      <c r="CQ110" s="29">
        <v>0</v>
      </c>
      <c r="CR110" s="29">
        <v>0</v>
      </c>
      <c r="CS110" s="29">
        <v>0</v>
      </c>
      <c r="CT110" s="29">
        <v>0</v>
      </c>
      <c r="CU110" s="29">
        <v>0</v>
      </c>
      <c r="CV110" s="29">
        <v>9999</v>
      </c>
      <c r="CW110" s="33">
        <v>9999</v>
      </c>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row>
    <row r="111" spans="1:131">
      <c r="A111" s="7" t="s">
        <v>803</v>
      </c>
      <c r="B111" s="7" t="s">
        <v>387</v>
      </c>
      <c r="C111" s="29">
        <v>15</v>
      </c>
      <c r="D111" s="29">
        <v>11.354406504777598</v>
      </c>
      <c r="E111" s="29">
        <v>0</v>
      </c>
      <c r="F111" s="29">
        <v>0</v>
      </c>
      <c r="G111" s="29">
        <v>0</v>
      </c>
      <c r="H111" s="29">
        <v>0</v>
      </c>
      <c r="I111" s="29" t="s">
        <v>916</v>
      </c>
      <c r="J111" s="29"/>
      <c r="K111" s="29"/>
      <c r="L111" s="29">
        <v>12.170621764991571</v>
      </c>
      <c r="M111" s="29">
        <v>6.3925507603914382E-5</v>
      </c>
      <c r="N111" s="29">
        <v>6.3464121957012686E-5</v>
      </c>
      <c r="O111" s="29">
        <v>0</v>
      </c>
      <c r="P111" s="29">
        <v>0</v>
      </c>
      <c r="Q111" s="29">
        <v>0</v>
      </c>
      <c r="R111" s="29">
        <v>0</v>
      </c>
      <c r="S111" s="29">
        <v>0</v>
      </c>
      <c r="T111" s="29">
        <v>0</v>
      </c>
      <c r="U111" s="29">
        <v>0</v>
      </c>
      <c r="V111" s="29" t="s">
        <v>329</v>
      </c>
      <c r="W111" s="29" t="s">
        <v>329</v>
      </c>
      <c r="X111" s="29" t="s">
        <v>329</v>
      </c>
      <c r="Y111" s="29" t="s">
        <v>329</v>
      </c>
      <c r="Z111" s="29">
        <v>0</v>
      </c>
      <c r="AA111" s="29">
        <v>0</v>
      </c>
      <c r="AB111" s="29">
        <v>0</v>
      </c>
      <c r="AC111" s="29">
        <v>0</v>
      </c>
      <c r="AD111" s="29">
        <v>0</v>
      </c>
      <c r="AE111" s="29">
        <v>0</v>
      </c>
      <c r="AF111" s="29">
        <v>0</v>
      </c>
      <c r="AG111" s="29">
        <v>0</v>
      </c>
      <c r="AH111" s="29">
        <v>0</v>
      </c>
      <c r="AI111" s="29">
        <v>0</v>
      </c>
      <c r="AJ111" s="29">
        <v>0</v>
      </c>
      <c r="AK111" s="29">
        <v>0</v>
      </c>
      <c r="AL111" s="29">
        <v>0</v>
      </c>
      <c r="AM111" s="29">
        <v>6.2720918396670946</v>
      </c>
      <c r="AN111" s="29">
        <v>2.2587981262727649E-2</v>
      </c>
      <c r="AO111" s="29">
        <v>0</v>
      </c>
      <c r="AP111" s="29">
        <v>0</v>
      </c>
      <c r="AQ111" s="29">
        <v>6.2946798209298223</v>
      </c>
      <c r="AR111" s="29">
        <v>0</v>
      </c>
      <c r="AS111" s="33">
        <v>9999</v>
      </c>
      <c r="AT111" s="29">
        <v>6.2720918396670946</v>
      </c>
      <c r="AU111" s="29">
        <v>2.6737441986371575E-2</v>
      </c>
      <c r="AV111" s="29">
        <v>0</v>
      </c>
      <c r="AW111" s="29">
        <v>0</v>
      </c>
      <c r="AX111" s="29">
        <v>6.2988292816534663</v>
      </c>
      <c r="AY111" s="29">
        <v>0</v>
      </c>
      <c r="AZ111" s="33">
        <v>9999</v>
      </c>
      <c r="BA111" s="29">
        <v>6.2720918396670946</v>
      </c>
      <c r="BB111" s="29">
        <v>4.9325423249099221E-2</v>
      </c>
      <c r="BC111" s="29">
        <v>0</v>
      </c>
      <c r="BD111" s="29">
        <v>0</v>
      </c>
      <c r="BE111" s="29">
        <v>6.321417262916194</v>
      </c>
      <c r="BF111" s="29">
        <v>0</v>
      </c>
      <c r="BG111" s="29">
        <v>-0.29821409690088163</v>
      </c>
      <c r="BH111" s="33">
        <v>9999</v>
      </c>
      <c r="BI111" s="29">
        <v>0</v>
      </c>
      <c r="BJ111" s="29">
        <v>0</v>
      </c>
      <c r="BK111" s="29">
        <v>0</v>
      </c>
      <c r="BL111" s="29">
        <v>0</v>
      </c>
      <c r="BM111" s="29">
        <v>0</v>
      </c>
      <c r="BN111" s="29">
        <v>6.2720918396670946</v>
      </c>
      <c r="BO111" s="29">
        <v>0</v>
      </c>
      <c r="BP111" s="29">
        <v>4.9325423249099221E-2</v>
      </c>
      <c r="BQ111" s="29">
        <v>0</v>
      </c>
      <c r="BR111" s="29">
        <v>0</v>
      </c>
      <c r="BS111" s="29">
        <v>0</v>
      </c>
      <c r="BT111" s="29">
        <v>0</v>
      </c>
      <c r="BU111" s="29">
        <v>0</v>
      </c>
      <c r="BV111" s="29">
        <v>58.126245227067194</v>
      </c>
      <c r="BW111" s="29">
        <v>0</v>
      </c>
      <c r="BX111" s="29">
        <v>0</v>
      </c>
      <c r="BY111" s="29"/>
      <c r="BZ111" s="29">
        <v>0</v>
      </c>
      <c r="CA111" s="29">
        <v>0</v>
      </c>
      <c r="CB111" s="29">
        <v>64.447662489983387</v>
      </c>
      <c r="CC111" s="29">
        <v>0</v>
      </c>
      <c r="CD111" s="33">
        <v>9999</v>
      </c>
      <c r="CE111" s="29">
        <v>-351.7207581892219</v>
      </c>
      <c r="CF111" s="29">
        <v>0.11562647993780178</v>
      </c>
      <c r="CG111" s="29">
        <v>0</v>
      </c>
      <c r="CH111" s="29">
        <v>0.11562647993780178</v>
      </c>
      <c r="CI111" s="29">
        <v>5.7810453383709956E-3</v>
      </c>
      <c r="CJ111" s="29">
        <v>0</v>
      </c>
      <c r="CK111" s="29">
        <v>5.7810453383709956E-3</v>
      </c>
      <c r="CL111" s="29"/>
      <c r="CM111" s="29">
        <v>0</v>
      </c>
      <c r="CN111" s="29"/>
      <c r="CO111" s="29">
        <v>0</v>
      </c>
      <c r="CP111" s="29">
        <v>0</v>
      </c>
      <c r="CQ111" s="29">
        <v>0</v>
      </c>
      <c r="CR111" s="29">
        <v>0</v>
      </c>
      <c r="CS111" s="29">
        <v>0</v>
      </c>
      <c r="CT111" s="29">
        <v>0</v>
      </c>
      <c r="CU111" s="29">
        <v>0</v>
      </c>
      <c r="CV111" s="29">
        <v>9999</v>
      </c>
      <c r="CW111" s="33">
        <v>9999</v>
      </c>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row>
    <row r="112" spans="1:131">
      <c r="A112" s="7"/>
      <c r="B112" s="7"/>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row>
    <row r="113" spans="1:131">
      <c r="A113" s="7"/>
      <c r="B113" s="7"/>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row>
    <row r="114" spans="1:131" ht="13.5" thickBot="1">
      <c r="A114" s="27" t="s">
        <v>330</v>
      </c>
      <c r="B114" s="28"/>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29"/>
      <c r="CC114" s="29"/>
      <c r="CD114" s="29"/>
      <c r="CE114" s="29"/>
      <c r="CF114" s="29"/>
      <c r="CG114" s="29"/>
      <c r="CH114" s="29"/>
      <c r="CI114" s="29"/>
      <c r="CJ114" s="29"/>
      <c r="CK114" s="29"/>
      <c r="CL114" s="29"/>
      <c r="CM114" s="29"/>
      <c r="CN114" s="29"/>
      <c r="CO114" s="29"/>
      <c r="CP114" s="29"/>
      <c r="CQ114" s="29"/>
      <c r="CR114" s="29"/>
      <c r="CS114" s="29"/>
      <c r="CT114" s="29"/>
      <c r="CU114" s="29"/>
      <c r="CV114" s="29"/>
      <c r="CW114" s="29"/>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row>
    <row r="115" spans="1:131" ht="26.25" thickBot="1">
      <c r="A115" s="102" t="s">
        <v>233</v>
      </c>
      <c r="B115" s="103"/>
      <c r="C115" s="104" t="s">
        <v>234</v>
      </c>
      <c r="D115" s="105"/>
      <c r="E115" s="105"/>
      <c r="F115" s="105"/>
      <c r="G115" s="105"/>
      <c r="H115" s="105"/>
      <c r="I115" s="105"/>
      <c r="J115" s="105"/>
      <c r="K115" s="106"/>
      <c r="L115" s="104" t="s">
        <v>235</v>
      </c>
      <c r="M115" s="105"/>
      <c r="N115" s="105"/>
      <c r="O115" s="105"/>
      <c r="P115" s="105"/>
      <c r="Q115" s="106"/>
      <c r="R115" s="104" t="s">
        <v>236</v>
      </c>
      <c r="S115" s="105"/>
      <c r="T115" s="105"/>
      <c r="U115" s="106"/>
      <c r="V115" s="104" t="s">
        <v>237</v>
      </c>
      <c r="W115" s="105"/>
      <c r="X115" s="105"/>
      <c r="Y115" s="106"/>
      <c r="Z115" s="104" t="s">
        <v>238</v>
      </c>
      <c r="AA115" s="105"/>
      <c r="AB115" s="105"/>
      <c r="AC115" s="106"/>
      <c r="AD115" s="104" t="s">
        <v>239</v>
      </c>
      <c r="AE115" s="105"/>
      <c r="AF115" s="105"/>
      <c r="AG115" s="106"/>
      <c r="AH115" s="104" t="s">
        <v>240</v>
      </c>
      <c r="AI115" s="105"/>
      <c r="AJ115" s="105"/>
      <c r="AK115" s="105"/>
      <c r="AL115" s="106"/>
      <c r="AM115" s="104" t="s">
        <v>241</v>
      </c>
      <c r="AN115" s="105"/>
      <c r="AO115" s="105"/>
      <c r="AP115" s="105"/>
      <c r="AQ115" s="105"/>
      <c r="AR115" s="105"/>
      <c r="AS115" s="106"/>
      <c r="AT115" s="104" t="s">
        <v>242</v>
      </c>
      <c r="AU115" s="105"/>
      <c r="AV115" s="105"/>
      <c r="AW115" s="105"/>
      <c r="AX115" s="105"/>
      <c r="AY115" s="105"/>
      <c r="AZ115" s="106"/>
      <c r="BA115" s="104" t="s">
        <v>243</v>
      </c>
      <c r="BB115" s="105"/>
      <c r="BC115" s="105"/>
      <c r="BD115" s="105"/>
      <c r="BE115" s="105"/>
      <c r="BF115" s="106"/>
      <c r="BG115" s="104" t="s">
        <v>244</v>
      </c>
      <c r="BH115" s="106"/>
      <c r="BI115" s="104" t="s">
        <v>245</v>
      </c>
      <c r="BJ115" s="105"/>
      <c r="BK115" s="105"/>
      <c r="BL115" s="105"/>
      <c r="BM115" s="106"/>
      <c r="BN115" s="104" t="s">
        <v>246</v>
      </c>
      <c r="BO115" s="105"/>
      <c r="BP115" s="105"/>
      <c r="BQ115" s="105"/>
      <c r="BR115" s="105"/>
      <c r="BS115" s="105"/>
      <c r="BT115" s="105"/>
      <c r="BU115" s="105"/>
      <c r="BV115" s="105"/>
      <c r="BW115" s="105"/>
      <c r="BX115" s="105"/>
      <c r="BY115" s="105"/>
      <c r="BZ115" s="105"/>
      <c r="CA115" s="105"/>
      <c r="CB115" s="105"/>
      <c r="CC115" s="106"/>
      <c r="CD115" s="104" t="s">
        <v>247</v>
      </c>
      <c r="CE115" s="106"/>
      <c r="CF115" s="104" t="s">
        <v>248</v>
      </c>
      <c r="CG115" s="105"/>
      <c r="CH115" s="105"/>
      <c r="CI115" s="105"/>
      <c r="CJ115" s="105"/>
      <c r="CK115" s="106"/>
      <c r="CL115" s="107"/>
      <c r="CM115" s="104" t="s">
        <v>5</v>
      </c>
      <c r="CN115" s="105"/>
      <c r="CO115" s="105"/>
      <c r="CP115" s="106"/>
      <c r="CQ115" s="104" t="s">
        <v>249</v>
      </c>
      <c r="CR115" s="105"/>
      <c r="CS115" s="105"/>
      <c r="CT115" s="105"/>
      <c r="CU115" s="106"/>
      <c r="CV115" s="104" t="s">
        <v>250</v>
      </c>
      <c r="CW115" s="106"/>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row>
    <row r="116" spans="1:131" ht="216.75">
      <c r="A116" s="30" t="s">
        <v>21</v>
      </c>
      <c r="B116" s="31" t="s">
        <v>22</v>
      </c>
      <c r="C116" s="32" t="s">
        <v>138</v>
      </c>
      <c r="D116" s="32" t="s">
        <v>251</v>
      </c>
      <c r="E116" s="32" t="s">
        <v>252</v>
      </c>
      <c r="F116" s="32" t="s">
        <v>253</v>
      </c>
      <c r="G116" s="32" t="s">
        <v>254</v>
      </c>
      <c r="H116" s="32" t="s">
        <v>255</v>
      </c>
      <c r="I116" s="32" t="s">
        <v>256</v>
      </c>
      <c r="J116" s="32" t="s">
        <v>257</v>
      </c>
      <c r="K116" s="32" t="s">
        <v>258</v>
      </c>
      <c r="L116" s="32" t="s">
        <v>259</v>
      </c>
      <c r="M116" s="32" t="s">
        <v>260</v>
      </c>
      <c r="N116" s="32" t="s">
        <v>261</v>
      </c>
      <c r="O116" s="32" t="s">
        <v>262</v>
      </c>
      <c r="P116" s="32" t="s">
        <v>263</v>
      </c>
      <c r="Q116" s="32" t="s">
        <v>264</v>
      </c>
      <c r="R116" s="32" t="s">
        <v>265</v>
      </c>
      <c r="S116" s="32" t="s">
        <v>266</v>
      </c>
      <c r="T116" s="32" t="s">
        <v>267</v>
      </c>
      <c r="U116" s="32" t="s">
        <v>173</v>
      </c>
      <c r="V116" s="32" t="s">
        <v>265</v>
      </c>
      <c r="W116" s="32" t="s">
        <v>266</v>
      </c>
      <c r="X116" s="32" t="s">
        <v>267</v>
      </c>
      <c r="Y116" s="32" t="s">
        <v>173</v>
      </c>
      <c r="Z116" s="32" t="s">
        <v>265</v>
      </c>
      <c r="AA116" s="32" t="s">
        <v>266</v>
      </c>
      <c r="AB116" s="32" t="s">
        <v>267</v>
      </c>
      <c r="AC116" s="32" t="s">
        <v>173</v>
      </c>
      <c r="AD116" s="32" t="s">
        <v>265</v>
      </c>
      <c r="AE116" s="32" t="s">
        <v>266</v>
      </c>
      <c r="AF116" s="32" t="s">
        <v>267</v>
      </c>
      <c r="AG116" s="32" t="s">
        <v>173</v>
      </c>
      <c r="AH116" s="32" t="s">
        <v>265</v>
      </c>
      <c r="AI116" s="32" t="s">
        <v>266</v>
      </c>
      <c r="AJ116" s="32" t="s">
        <v>267</v>
      </c>
      <c r="AK116" s="32" t="s">
        <v>173</v>
      </c>
      <c r="AL116" s="32" t="s">
        <v>268</v>
      </c>
      <c r="AM116" s="32" t="s">
        <v>269</v>
      </c>
      <c r="AN116" s="32" t="s">
        <v>270</v>
      </c>
      <c r="AO116" s="32" t="s">
        <v>271</v>
      </c>
      <c r="AP116" s="32" t="s">
        <v>272</v>
      </c>
      <c r="AQ116" s="32" t="s">
        <v>273</v>
      </c>
      <c r="AR116" s="32" t="s">
        <v>274</v>
      </c>
      <c r="AS116" s="32" t="s">
        <v>275</v>
      </c>
      <c r="AT116" s="32" t="s">
        <v>276</v>
      </c>
      <c r="AU116" s="32" t="s">
        <v>277</v>
      </c>
      <c r="AV116" s="32" t="s">
        <v>278</v>
      </c>
      <c r="AW116" s="32" t="s">
        <v>279</v>
      </c>
      <c r="AX116" s="32" t="s">
        <v>280</v>
      </c>
      <c r="AY116" s="32" t="s">
        <v>281</v>
      </c>
      <c r="AZ116" s="32" t="s">
        <v>282</v>
      </c>
      <c r="BA116" s="32" t="s">
        <v>283</v>
      </c>
      <c r="BB116" s="32" t="s">
        <v>284</v>
      </c>
      <c r="BC116" s="32" t="s">
        <v>285</v>
      </c>
      <c r="BD116" s="32" t="s">
        <v>286</v>
      </c>
      <c r="BE116" s="32" t="s">
        <v>287</v>
      </c>
      <c r="BF116" s="32" t="s">
        <v>288</v>
      </c>
      <c r="BG116" s="32" t="s">
        <v>289</v>
      </c>
      <c r="BH116" s="32" t="s">
        <v>290</v>
      </c>
      <c r="BI116" s="32" t="s">
        <v>291</v>
      </c>
      <c r="BJ116" s="32" t="s">
        <v>292</v>
      </c>
      <c r="BK116" s="32" t="s">
        <v>293</v>
      </c>
      <c r="BL116" s="32" t="s">
        <v>294</v>
      </c>
      <c r="BM116" s="32" t="s">
        <v>295</v>
      </c>
      <c r="BN116" s="32" t="s">
        <v>296</v>
      </c>
      <c r="BO116" s="32" t="s">
        <v>297</v>
      </c>
      <c r="BP116" s="32" t="s">
        <v>298</v>
      </c>
      <c r="BQ116" s="32" t="s">
        <v>299</v>
      </c>
      <c r="BR116" s="32" t="s">
        <v>300</v>
      </c>
      <c r="BS116" s="32" t="s">
        <v>301</v>
      </c>
      <c r="BT116" s="32" t="s">
        <v>302</v>
      </c>
      <c r="BU116" s="32" t="s">
        <v>303</v>
      </c>
      <c r="BV116" s="32" t="s">
        <v>304</v>
      </c>
      <c r="BW116" s="32" t="s">
        <v>305</v>
      </c>
      <c r="BX116" s="32" t="s">
        <v>306</v>
      </c>
      <c r="BY116" s="32" t="s">
        <v>307</v>
      </c>
      <c r="BZ116" s="32" t="s">
        <v>308</v>
      </c>
      <c r="CA116" s="32" t="s">
        <v>309</v>
      </c>
      <c r="CB116" s="32" t="s">
        <v>310</v>
      </c>
      <c r="CC116" s="32" t="s">
        <v>311</v>
      </c>
      <c r="CD116" s="32" t="s">
        <v>23</v>
      </c>
      <c r="CE116" s="32" t="s">
        <v>24</v>
      </c>
      <c r="CF116" s="32" t="s">
        <v>312</v>
      </c>
      <c r="CG116" s="32" t="s">
        <v>313</v>
      </c>
      <c r="CH116" s="32" t="s">
        <v>314</v>
      </c>
      <c r="CI116" s="32" t="s">
        <v>315</v>
      </c>
      <c r="CJ116" s="32" t="s">
        <v>316</v>
      </c>
      <c r="CK116" s="32" t="s">
        <v>317</v>
      </c>
      <c r="CL116" s="32"/>
      <c r="CM116" s="32" t="s">
        <v>318</v>
      </c>
      <c r="CN116" s="32" t="s">
        <v>319</v>
      </c>
      <c r="CO116" s="32" t="s">
        <v>320</v>
      </c>
      <c r="CP116" s="32" t="s">
        <v>321</v>
      </c>
      <c r="CQ116" s="32" t="s">
        <v>322</v>
      </c>
      <c r="CR116" s="32" t="s">
        <v>323</v>
      </c>
      <c r="CS116" s="32" t="s">
        <v>324</v>
      </c>
      <c r="CT116" s="32" t="s">
        <v>325</v>
      </c>
      <c r="CU116" s="32" t="s">
        <v>326</v>
      </c>
      <c r="CV116" s="32" t="s">
        <v>327</v>
      </c>
      <c r="CW116" s="32" t="s">
        <v>328</v>
      </c>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row>
    <row r="117" spans="1:131">
      <c r="A117" s="7" t="s">
        <v>802</v>
      </c>
      <c r="B117" s="7"/>
      <c r="C117" s="29">
        <v>15</v>
      </c>
      <c r="D117" s="29">
        <v>157.05664377897719</v>
      </c>
      <c r="E117" s="29">
        <v>0</v>
      </c>
      <c r="F117" s="29">
        <v>80.823411921055211</v>
      </c>
      <c r="G117" s="29">
        <v>0</v>
      </c>
      <c r="H117" s="29">
        <v>0</v>
      </c>
      <c r="I117" s="29"/>
      <c r="J117" s="29"/>
      <c r="K117" s="29"/>
      <c r="L117" s="29">
        <v>169.0298278611364</v>
      </c>
      <c r="M117" s="29">
        <v>4.9049505856757158E-2</v>
      </c>
      <c r="N117" s="29">
        <v>4.8695488519418989E-2</v>
      </c>
      <c r="O117" s="29">
        <v>0</v>
      </c>
      <c r="P117" s="29">
        <v>0</v>
      </c>
      <c r="Q117" s="29">
        <v>0</v>
      </c>
      <c r="R117" s="29">
        <v>16.117268016782123</v>
      </c>
      <c r="S117" s="29">
        <v>37.244554964156372</v>
      </c>
      <c r="T117" s="29">
        <v>0</v>
      </c>
      <c r="U117" s="29">
        <v>47.09234977280488</v>
      </c>
      <c r="V117" s="29">
        <v>4.8494047152633124</v>
      </c>
      <c r="W117" s="29">
        <v>11.315277668947729</v>
      </c>
      <c r="X117" s="29">
        <v>0</v>
      </c>
      <c r="Y117" s="29">
        <v>0</v>
      </c>
      <c r="Z117" s="29">
        <v>0</v>
      </c>
      <c r="AA117" s="29">
        <v>0</v>
      </c>
      <c r="AB117" s="29">
        <v>0</v>
      </c>
      <c r="AC117" s="29">
        <v>0</v>
      </c>
      <c r="AD117" s="29">
        <v>0</v>
      </c>
      <c r="AE117" s="29">
        <v>0</v>
      </c>
      <c r="AF117" s="29">
        <v>0</v>
      </c>
      <c r="AG117" s="29">
        <v>0</v>
      </c>
      <c r="AH117" s="29">
        <v>20.966672732045435</v>
      </c>
      <c r="AI117" s="29">
        <v>48.559832633104101</v>
      </c>
      <c r="AJ117" s="29">
        <v>0</v>
      </c>
      <c r="AK117" s="29">
        <v>47.09234977280488</v>
      </c>
      <c r="AL117" s="29">
        <v>116.61885513795443</v>
      </c>
      <c r="AM117" s="29">
        <v>87.877792704757965</v>
      </c>
      <c r="AN117" s="29">
        <v>17.33156858297107</v>
      </c>
      <c r="AO117" s="29">
        <v>0</v>
      </c>
      <c r="AP117" s="29">
        <v>0</v>
      </c>
      <c r="AQ117" s="29">
        <v>105.20936128772904</v>
      </c>
      <c r="AR117" s="29">
        <v>20.966672732045435</v>
      </c>
      <c r="AS117" s="33">
        <v>5.0179331090014676</v>
      </c>
      <c r="AT117" s="29">
        <v>87.877792704757965</v>
      </c>
      <c r="AU117" s="29">
        <v>20.515414995702468</v>
      </c>
      <c r="AV117" s="29">
        <v>0</v>
      </c>
      <c r="AW117" s="29">
        <v>0</v>
      </c>
      <c r="AX117" s="29">
        <v>108.39320770046044</v>
      </c>
      <c r="AY117" s="29">
        <v>48.559832633104101</v>
      </c>
      <c r="AZ117" s="33">
        <v>2.2321577695588446</v>
      </c>
      <c r="BA117" s="29">
        <v>87.877792704757965</v>
      </c>
      <c r="BB117" s="29">
        <v>37.846983578673537</v>
      </c>
      <c r="BC117" s="29">
        <v>0</v>
      </c>
      <c r="BD117" s="29">
        <v>0</v>
      </c>
      <c r="BE117" s="29">
        <v>125.72477628343151</v>
      </c>
      <c r="BF117" s="29">
        <v>69.526505365149546</v>
      </c>
      <c r="BG117" s="29">
        <v>13.790670511348194</v>
      </c>
      <c r="BH117" s="33">
        <v>1.8082999515527438</v>
      </c>
      <c r="BI117" s="29">
        <v>9.1271729830954431</v>
      </c>
      <c r="BJ117" s="29">
        <v>21.138976037676045</v>
      </c>
      <c r="BK117" s="29">
        <v>0</v>
      </c>
      <c r="BL117" s="29">
        <v>20.500154127931285</v>
      </c>
      <c r="BM117" s="29">
        <v>50.766303148702775</v>
      </c>
      <c r="BN117" s="29">
        <v>87.877792704757965</v>
      </c>
      <c r="BO117" s="29">
        <v>0</v>
      </c>
      <c r="BP117" s="29">
        <v>37.846983578673537</v>
      </c>
      <c r="BQ117" s="29">
        <v>0</v>
      </c>
      <c r="BR117" s="29">
        <v>0</v>
      </c>
      <c r="BS117" s="29">
        <v>0</v>
      </c>
      <c r="BT117" s="29">
        <v>0</v>
      </c>
      <c r="BU117" s="29">
        <v>0</v>
      </c>
      <c r="BV117" s="29">
        <v>27.182103604974447</v>
      </c>
      <c r="BW117" s="29">
        <v>0</v>
      </c>
      <c r="BX117" s="29">
        <v>100.45417275374338</v>
      </c>
      <c r="BY117" s="29">
        <v>16.164682384211044</v>
      </c>
      <c r="BZ117" s="29">
        <v>0</v>
      </c>
      <c r="CA117" s="29">
        <v>0</v>
      </c>
      <c r="CB117" s="29">
        <v>152.90687988840597</v>
      </c>
      <c r="CC117" s="29">
        <v>116.61885513795443</v>
      </c>
      <c r="CD117" s="33">
        <v>1.3111677327609208</v>
      </c>
      <c r="CE117" s="29">
        <v>22.457961847090477</v>
      </c>
      <c r="CF117" s="29">
        <v>1.6058166452190394</v>
      </c>
      <c r="CG117" s="29">
        <v>0</v>
      </c>
      <c r="CH117" s="29">
        <v>1.6058166452190394</v>
      </c>
      <c r="CI117" s="29">
        <v>8.0289168234039796E-2</v>
      </c>
      <c r="CJ117" s="29">
        <v>0</v>
      </c>
      <c r="CK117" s="29">
        <v>8.0289168234039796E-2</v>
      </c>
      <c r="CL117" s="29"/>
      <c r="CM117" s="29">
        <v>0</v>
      </c>
      <c r="CN117" s="29"/>
      <c r="CO117" s="29">
        <v>0</v>
      </c>
      <c r="CP117" s="29">
        <v>0</v>
      </c>
      <c r="CQ117" s="29">
        <v>0</v>
      </c>
      <c r="CR117" s="29">
        <v>0</v>
      </c>
      <c r="CS117" s="29">
        <v>0</v>
      </c>
      <c r="CT117" s="29">
        <v>0</v>
      </c>
      <c r="CU117" s="29">
        <v>0</v>
      </c>
      <c r="CV117" s="29">
        <v>9999</v>
      </c>
      <c r="CW117" s="33">
        <v>9999</v>
      </c>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row>
    <row r="118" spans="1:131">
      <c r="A118" s="7" t="s">
        <v>492</v>
      </c>
      <c r="B118" s="7"/>
      <c r="C118" s="29">
        <v>15</v>
      </c>
      <c r="D118" s="29">
        <v>115.19308695364367</v>
      </c>
      <c r="E118" s="29">
        <v>0</v>
      </c>
      <c r="F118" s="29">
        <v>89.471516996608102</v>
      </c>
      <c r="G118" s="29">
        <v>0</v>
      </c>
      <c r="H118" s="29">
        <v>0</v>
      </c>
      <c r="I118" s="29"/>
      <c r="J118" s="29"/>
      <c r="K118" s="29"/>
      <c r="L118" s="29">
        <v>124.08062075865485</v>
      </c>
      <c r="M118" s="29">
        <v>4.3346970370706665E-2</v>
      </c>
      <c r="N118" s="29">
        <v>4.3034111377241398E-2</v>
      </c>
      <c r="O118" s="29">
        <v>0</v>
      </c>
      <c r="P118" s="29">
        <v>0</v>
      </c>
      <c r="Q118" s="29">
        <v>0</v>
      </c>
      <c r="R118" s="29">
        <v>17.841815694577807</v>
      </c>
      <c r="S118" s="29">
        <v>41.2297223453211</v>
      </c>
      <c r="T118" s="29">
        <v>0</v>
      </c>
      <c r="U118" s="29">
        <v>52.131231198494987</v>
      </c>
      <c r="V118" s="29">
        <v>5.3682910197964864</v>
      </c>
      <c r="W118" s="29">
        <v>12.526012379525135</v>
      </c>
      <c r="X118" s="29">
        <v>0</v>
      </c>
      <c r="Y118" s="29">
        <v>0</v>
      </c>
      <c r="Z118" s="29">
        <v>0</v>
      </c>
      <c r="AA118" s="29">
        <v>0</v>
      </c>
      <c r="AB118" s="29">
        <v>0</v>
      </c>
      <c r="AC118" s="29">
        <v>0</v>
      </c>
      <c r="AD118" s="29">
        <v>0</v>
      </c>
      <c r="AE118" s="29">
        <v>0</v>
      </c>
      <c r="AF118" s="29">
        <v>0</v>
      </c>
      <c r="AG118" s="29">
        <v>0</v>
      </c>
      <c r="AH118" s="29">
        <v>23.210106714374295</v>
      </c>
      <c r="AI118" s="29">
        <v>53.755734724846235</v>
      </c>
      <c r="AJ118" s="29">
        <v>0</v>
      </c>
      <c r="AK118" s="29">
        <v>52.131231198494987</v>
      </c>
      <c r="AL118" s="29">
        <v>129.09707263771551</v>
      </c>
      <c r="AM118" s="29">
        <v>64.489807534950558</v>
      </c>
      <c r="AN118" s="29">
        <v>15.316586308492258</v>
      </c>
      <c r="AO118" s="29">
        <v>0</v>
      </c>
      <c r="AP118" s="29">
        <v>0</v>
      </c>
      <c r="AQ118" s="29">
        <v>79.80639384344282</v>
      </c>
      <c r="AR118" s="29">
        <v>23.210106714374295</v>
      </c>
      <c r="AS118" s="33">
        <v>3.4384328700228584</v>
      </c>
      <c r="AT118" s="29">
        <v>64.489807534950558</v>
      </c>
      <c r="AU118" s="29">
        <v>18.130276145054321</v>
      </c>
      <c r="AV118" s="29">
        <v>0</v>
      </c>
      <c r="AW118" s="29">
        <v>0</v>
      </c>
      <c r="AX118" s="29">
        <v>82.620083680004882</v>
      </c>
      <c r="AY118" s="29">
        <v>53.755734724846235</v>
      </c>
      <c r="AZ118" s="33">
        <v>1.536953854372999</v>
      </c>
      <c r="BA118" s="29">
        <v>64.489807534950558</v>
      </c>
      <c r="BB118" s="29">
        <v>33.446862453546579</v>
      </c>
      <c r="BC118" s="29">
        <v>0</v>
      </c>
      <c r="BD118" s="29">
        <v>0</v>
      </c>
      <c r="BE118" s="29">
        <v>97.936669988497144</v>
      </c>
      <c r="BF118" s="29">
        <v>76.965841439220526</v>
      </c>
      <c r="BG118" s="29">
        <v>25.807435735748005</v>
      </c>
      <c r="BH118" s="33">
        <v>1.2724692949123042</v>
      </c>
      <c r="BI118" s="29">
        <v>13.763956586579184</v>
      </c>
      <c r="BJ118" s="29">
        <v>31.877992123759906</v>
      </c>
      <c r="BK118" s="29">
        <v>0</v>
      </c>
      <c r="BL118" s="29">
        <v>30.914636104479055</v>
      </c>
      <c r="BM118" s="29">
        <v>76.556584814818137</v>
      </c>
      <c r="BN118" s="29">
        <v>64.489807534950558</v>
      </c>
      <c r="BO118" s="29">
        <v>0</v>
      </c>
      <c r="BP118" s="29">
        <v>33.446862453546579</v>
      </c>
      <c r="BQ118" s="29">
        <v>0</v>
      </c>
      <c r="BR118" s="29">
        <v>0</v>
      </c>
      <c r="BS118" s="29">
        <v>0</v>
      </c>
      <c r="BT118" s="29">
        <v>0</v>
      </c>
      <c r="BU118" s="29">
        <v>0</v>
      </c>
      <c r="BV118" s="29">
        <v>22.841441765412654</v>
      </c>
      <c r="BW118" s="29">
        <v>0</v>
      </c>
      <c r="BX118" s="29">
        <v>111.2027692383939</v>
      </c>
      <c r="BY118" s="29">
        <v>17.894303399321622</v>
      </c>
      <c r="BZ118" s="29">
        <v>0</v>
      </c>
      <c r="CA118" s="29">
        <v>0</v>
      </c>
      <c r="CB118" s="29">
        <v>120.7781117539098</v>
      </c>
      <c r="CC118" s="29">
        <v>129.09707263771551</v>
      </c>
      <c r="CD118" s="109">
        <v>0.93556042198453893</v>
      </c>
      <c r="CE118" s="29">
        <v>43.176739339049384</v>
      </c>
      <c r="CF118" s="29">
        <v>1.1787802224710189</v>
      </c>
      <c r="CG118" s="29">
        <v>0</v>
      </c>
      <c r="CH118" s="29">
        <v>1.1787802224710189</v>
      </c>
      <c r="CI118" s="29">
        <v>5.8938294860361055E-2</v>
      </c>
      <c r="CJ118" s="29">
        <v>0</v>
      </c>
      <c r="CK118" s="29">
        <v>5.8938294860361055E-2</v>
      </c>
      <c r="CL118" s="29"/>
      <c r="CM118" s="29">
        <v>0</v>
      </c>
      <c r="CN118" s="29"/>
      <c r="CO118" s="29">
        <v>0</v>
      </c>
      <c r="CP118" s="29">
        <v>0</v>
      </c>
      <c r="CQ118" s="29">
        <v>0</v>
      </c>
      <c r="CR118" s="29">
        <v>0</v>
      </c>
      <c r="CS118" s="29">
        <v>0</v>
      </c>
      <c r="CT118" s="29">
        <v>0</v>
      </c>
      <c r="CU118" s="29">
        <v>0</v>
      </c>
      <c r="CV118" s="29">
        <v>9999</v>
      </c>
      <c r="CW118" s="33">
        <v>9999</v>
      </c>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row>
    <row r="119" spans="1:131">
      <c r="A119" s="7" t="s">
        <v>487</v>
      </c>
      <c r="B119" s="7"/>
      <c r="C119" s="29">
        <v>14.999999999999998</v>
      </c>
      <c r="D119" s="29">
        <v>2610.3529029871902</v>
      </c>
      <c r="E119" s="29">
        <v>0</v>
      </c>
      <c r="F119" s="29">
        <v>2878.5049609349367</v>
      </c>
      <c r="G119" s="29">
        <v>0</v>
      </c>
      <c r="H119" s="29">
        <v>0</v>
      </c>
      <c r="I119" s="29"/>
      <c r="J119" s="29"/>
      <c r="K119" s="29"/>
      <c r="L119" s="29">
        <v>2811.7504025708308</v>
      </c>
      <c r="M119" s="29">
        <v>0.98227153967436376</v>
      </c>
      <c r="N119" s="29">
        <v>0.97518194419435811</v>
      </c>
      <c r="O119" s="29">
        <v>0</v>
      </c>
      <c r="P119" s="29">
        <v>0</v>
      </c>
      <c r="Q119" s="29">
        <v>0</v>
      </c>
      <c r="R119" s="29">
        <v>574.0123417251998</v>
      </c>
      <c r="S119" s="29">
        <v>1326.4552149426056</v>
      </c>
      <c r="T119" s="29">
        <v>0</v>
      </c>
      <c r="U119" s="29">
        <v>1677.1818860543383</v>
      </c>
      <c r="V119" s="29">
        <v>172.7102976560962</v>
      </c>
      <c r="W119" s="29">
        <v>402.99069453089112</v>
      </c>
      <c r="X119" s="29">
        <v>0</v>
      </c>
      <c r="Y119" s="29">
        <v>0</v>
      </c>
      <c r="Z119" s="29">
        <v>0</v>
      </c>
      <c r="AA119" s="29">
        <v>0</v>
      </c>
      <c r="AB119" s="29">
        <v>0</v>
      </c>
      <c r="AC119" s="29">
        <v>0</v>
      </c>
      <c r="AD119" s="29">
        <v>0</v>
      </c>
      <c r="AE119" s="29">
        <v>0</v>
      </c>
      <c r="AF119" s="29">
        <v>0</v>
      </c>
      <c r="AG119" s="29">
        <v>0</v>
      </c>
      <c r="AH119" s="29">
        <v>746.72263938129595</v>
      </c>
      <c r="AI119" s="29">
        <v>1729.4459094734966</v>
      </c>
      <c r="AJ119" s="29">
        <v>0</v>
      </c>
      <c r="AK119" s="29">
        <v>1677.1818860543383</v>
      </c>
      <c r="AL119" s="29">
        <v>4153.3504349091309</v>
      </c>
      <c r="AM119" s="29">
        <v>1461.3824559130057</v>
      </c>
      <c r="AN119" s="29">
        <v>347.08416037226038</v>
      </c>
      <c r="AO119" s="29">
        <v>0</v>
      </c>
      <c r="AP119" s="29">
        <v>0</v>
      </c>
      <c r="AQ119" s="29">
        <v>1808.4666162852661</v>
      </c>
      <c r="AR119" s="29">
        <v>746.72263938129595</v>
      </c>
      <c r="AS119" s="33">
        <v>2.4218719520593188</v>
      </c>
      <c r="AT119" s="29">
        <v>1461.3824559130057</v>
      </c>
      <c r="AU119" s="29">
        <v>410.84426688696317</v>
      </c>
      <c r="AV119" s="29">
        <v>0</v>
      </c>
      <c r="AW119" s="29">
        <v>0</v>
      </c>
      <c r="AX119" s="29">
        <v>1872.2267227999689</v>
      </c>
      <c r="AY119" s="29">
        <v>1729.4459094734966</v>
      </c>
      <c r="AZ119" s="33">
        <v>1.0825587042325826</v>
      </c>
      <c r="BA119" s="29">
        <v>1461.3824559130057</v>
      </c>
      <c r="BB119" s="29">
        <v>757.92842725922355</v>
      </c>
      <c r="BC119" s="29">
        <v>0</v>
      </c>
      <c r="BD119" s="29">
        <v>0</v>
      </c>
      <c r="BE119" s="29">
        <v>2219.3108831722293</v>
      </c>
      <c r="BF119" s="29">
        <v>2476.1685488547928</v>
      </c>
      <c r="BG119" s="29">
        <v>44.965269860468389</v>
      </c>
      <c r="BH119" s="109">
        <v>0.89626810105420407</v>
      </c>
      <c r="BI119" s="29">
        <v>19.541264674649639</v>
      </c>
      <c r="BJ119" s="29">
        <v>45.25851832417105</v>
      </c>
      <c r="BK119" s="29">
        <v>0</v>
      </c>
      <c r="BL119" s="29">
        <v>43.890801503047115</v>
      </c>
      <c r="BM119" s="29">
        <v>108.6905845018678</v>
      </c>
      <c r="BN119" s="29">
        <v>1461.3824559130057</v>
      </c>
      <c r="BO119" s="29">
        <v>0</v>
      </c>
      <c r="BP119" s="29">
        <v>757.92842725922355</v>
      </c>
      <c r="BQ119" s="29">
        <v>0</v>
      </c>
      <c r="BR119" s="29">
        <v>0</v>
      </c>
      <c r="BS119" s="29">
        <v>0</v>
      </c>
      <c r="BT119" s="29">
        <v>0</v>
      </c>
      <c r="BU119" s="29">
        <v>0</v>
      </c>
      <c r="BV119" s="29">
        <v>564.47242831536028</v>
      </c>
      <c r="BW119" s="29">
        <v>0</v>
      </c>
      <c r="BX119" s="29">
        <v>3577.6494427221437</v>
      </c>
      <c r="BY119" s="29">
        <v>575.70099218698738</v>
      </c>
      <c r="BZ119" s="29">
        <v>0</v>
      </c>
      <c r="CA119" s="29">
        <v>0</v>
      </c>
      <c r="CB119" s="29">
        <v>2783.7833114875893</v>
      </c>
      <c r="CC119" s="29">
        <v>4153.3504349091309</v>
      </c>
      <c r="CD119" s="109">
        <v>0.67025004393795984</v>
      </c>
      <c r="CE119" s="29">
        <v>74.084180782573597</v>
      </c>
      <c r="CF119" s="29">
        <v>26.711953444533744</v>
      </c>
      <c r="CG119" s="29">
        <v>0</v>
      </c>
      <c r="CH119" s="29">
        <v>26.711953444533744</v>
      </c>
      <c r="CI119" s="29">
        <v>1.3355814412211449</v>
      </c>
      <c r="CJ119" s="29">
        <v>0</v>
      </c>
      <c r="CK119" s="29">
        <v>1.3355814412211449</v>
      </c>
      <c r="CL119" s="29"/>
      <c r="CM119" s="29">
        <v>0</v>
      </c>
      <c r="CN119" s="29"/>
      <c r="CO119" s="29">
        <v>0</v>
      </c>
      <c r="CP119" s="29">
        <v>0</v>
      </c>
      <c r="CQ119" s="29">
        <v>0</v>
      </c>
      <c r="CR119" s="29">
        <v>0</v>
      </c>
      <c r="CS119" s="29">
        <v>0</v>
      </c>
      <c r="CT119" s="29">
        <v>0</v>
      </c>
      <c r="CU119" s="29">
        <v>0</v>
      </c>
      <c r="CV119" s="29">
        <v>9999</v>
      </c>
      <c r="CW119" s="33">
        <v>9999</v>
      </c>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row>
    <row r="120" spans="1:131">
      <c r="A120" s="7" t="s">
        <v>493</v>
      </c>
      <c r="B120" s="7"/>
      <c r="C120" s="29">
        <v>15.000000000000002</v>
      </c>
      <c r="D120" s="29">
        <v>80.622185985288496</v>
      </c>
      <c r="E120" s="29">
        <v>0</v>
      </c>
      <c r="F120" s="29">
        <v>89.471516996608102</v>
      </c>
      <c r="G120" s="29">
        <v>0</v>
      </c>
      <c r="H120" s="29">
        <v>0</v>
      </c>
      <c r="I120" s="29"/>
      <c r="J120" s="29"/>
      <c r="K120" s="29"/>
      <c r="L120" s="29">
        <v>86.842458591402192</v>
      </c>
      <c r="M120" s="29">
        <v>3.0337996719571263E-2</v>
      </c>
      <c r="N120" s="29">
        <v>3.0119030664129198E-2</v>
      </c>
      <c r="O120" s="29">
        <v>0</v>
      </c>
      <c r="P120" s="29">
        <v>0</v>
      </c>
      <c r="Q120" s="29">
        <v>0</v>
      </c>
      <c r="R120" s="29">
        <v>17.841815694577807</v>
      </c>
      <c r="S120" s="29">
        <v>41.2297223453211</v>
      </c>
      <c r="T120" s="29">
        <v>0</v>
      </c>
      <c r="U120" s="29">
        <v>52.131231198494987</v>
      </c>
      <c r="V120" s="29">
        <v>5.3682910197964864</v>
      </c>
      <c r="W120" s="29">
        <v>12.526012379525135</v>
      </c>
      <c r="X120" s="29">
        <v>0</v>
      </c>
      <c r="Y120" s="29">
        <v>0</v>
      </c>
      <c r="Z120" s="29">
        <v>0</v>
      </c>
      <c r="AA120" s="29">
        <v>0</v>
      </c>
      <c r="AB120" s="29">
        <v>0</v>
      </c>
      <c r="AC120" s="29">
        <v>0</v>
      </c>
      <c r="AD120" s="29">
        <v>0</v>
      </c>
      <c r="AE120" s="29">
        <v>0</v>
      </c>
      <c r="AF120" s="29">
        <v>0</v>
      </c>
      <c r="AG120" s="29">
        <v>0</v>
      </c>
      <c r="AH120" s="29">
        <v>23.210106714374295</v>
      </c>
      <c r="AI120" s="29">
        <v>53.755734724846235</v>
      </c>
      <c r="AJ120" s="29">
        <v>0</v>
      </c>
      <c r="AK120" s="29">
        <v>52.131231198494987</v>
      </c>
      <c r="AL120" s="29">
        <v>129.09707263771551</v>
      </c>
      <c r="AM120" s="29">
        <v>45.135601403469742</v>
      </c>
      <c r="AN120" s="29">
        <v>10.719885177859846</v>
      </c>
      <c r="AO120" s="29">
        <v>0</v>
      </c>
      <c r="AP120" s="29">
        <v>0</v>
      </c>
      <c r="AQ120" s="29">
        <v>55.855486581329586</v>
      </c>
      <c r="AR120" s="29">
        <v>23.210106714374295</v>
      </c>
      <c r="AS120" s="33">
        <v>2.4065157161357478</v>
      </c>
      <c r="AT120" s="29">
        <v>45.135601403469742</v>
      </c>
      <c r="AU120" s="29">
        <v>12.689151133507742</v>
      </c>
      <c r="AV120" s="29">
        <v>0</v>
      </c>
      <c r="AW120" s="29">
        <v>0</v>
      </c>
      <c r="AX120" s="29">
        <v>57.824752536977485</v>
      </c>
      <c r="AY120" s="29">
        <v>53.755734724846235</v>
      </c>
      <c r="AZ120" s="33">
        <v>1.0756945809216245</v>
      </c>
      <c r="BA120" s="29">
        <v>45.135601403469742</v>
      </c>
      <c r="BB120" s="29">
        <v>23.409036311367586</v>
      </c>
      <c r="BC120" s="29">
        <v>0</v>
      </c>
      <c r="BD120" s="29">
        <v>0</v>
      </c>
      <c r="BE120" s="29">
        <v>68.544637714837336</v>
      </c>
      <c r="BF120" s="29">
        <v>76.965841439220526</v>
      </c>
      <c r="BG120" s="29">
        <v>45.378764342202317</v>
      </c>
      <c r="BH120" s="109">
        <v>0.8905851795171581</v>
      </c>
      <c r="BI120" s="29">
        <v>19.665959543975941</v>
      </c>
      <c r="BJ120" s="29">
        <v>45.547317699354565</v>
      </c>
      <c r="BK120" s="29">
        <v>0</v>
      </c>
      <c r="BL120" s="29">
        <v>44.170873333052519</v>
      </c>
      <c r="BM120" s="29">
        <v>109.38415057638302</v>
      </c>
      <c r="BN120" s="29">
        <v>45.135601403469742</v>
      </c>
      <c r="BO120" s="29">
        <v>0</v>
      </c>
      <c r="BP120" s="29">
        <v>23.409036311367586</v>
      </c>
      <c r="BQ120" s="29">
        <v>0</v>
      </c>
      <c r="BR120" s="29">
        <v>0</v>
      </c>
      <c r="BS120" s="29">
        <v>0</v>
      </c>
      <c r="BT120" s="29">
        <v>0</v>
      </c>
      <c r="BU120" s="29">
        <v>0</v>
      </c>
      <c r="BV120" s="29">
        <v>12.915385607085229</v>
      </c>
      <c r="BW120" s="29">
        <v>0</v>
      </c>
      <c r="BX120" s="29">
        <v>111.2027692383939</v>
      </c>
      <c r="BY120" s="29">
        <v>17.894303399321622</v>
      </c>
      <c r="BZ120" s="29">
        <v>0</v>
      </c>
      <c r="CA120" s="29">
        <v>0</v>
      </c>
      <c r="CB120" s="29">
        <v>81.460023321922563</v>
      </c>
      <c r="CC120" s="29">
        <v>129.09707263771551</v>
      </c>
      <c r="CD120" s="109">
        <v>0.63099822217133794</v>
      </c>
      <c r="CE120" s="29">
        <v>78.606411348488919</v>
      </c>
      <c r="CF120" s="29">
        <v>0.8250133826895939</v>
      </c>
      <c r="CG120" s="29">
        <v>0</v>
      </c>
      <c r="CH120" s="29">
        <v>0.8250133826895939</v>
      </c>
      <c r="CI120" s="29">
        <v>4.1250167830916049E-2</v>
      </c>
      <c r="CJ120" s="29">
        <v>0</v>
      </c>
      <c r="CK120" s="29">
        <v>4.1250167830916049E-2</v>
      </c>
      <c r="CL120" s="29"/>
      <c r="CM120" s="29">
        <v>0</v>
      </c>
      <c r="CN120" s="29"/>
      <c r="CO120" s="29">
        <v>0</v>
      </c>
      <c r="CP120" s="29">
        <v>0</v>
      </c>
      <c r="CQ120" s="29">
        <v>0</v>
      </c>
      <c r="CR120" s="29">
        <v>0</v>
      </c>
      <c r="CS120" s="29">
        <v>0</v>
      </c>
      <c r="CT120" s="29">
        <v>0</v>
      </c>
      <c r="CU120" s="29">
        <v>0</v>
      </c>
      <c r="CV120" s="29">
        <v>9999</v>
      </c>
      <c r="CW120" s="33">
        <v>9999</v>
      </c>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row>
    <row r="121" spans="1:131">
      <c r="A121" s="7" t="s">
        <v>488</v>
      </c>
      <c r="B121" s="7"/>
      <c r="C121" s="29">
        <v>15</v>
      </c>
      <c r="D121" s="29">
        <v>2563.9872349710072</v>
      </c>
      <c r="E121" s="29">
        <v>0</v>
      </c>
      <c r="F121" s="29">
        <v>2911.5329115654022</v>
      </c>
      <c r="G121" s="29">
        <v>0</v>
      </c>
      <c r="H121" s="29">
        <v>0</v>
      </c>
      <c r="I121" s="29"/>
      <c r="J121" s="29"/>
      <c r="K121" s="29"/>
      <c r="L121" s="29">
        <v>2761.80746743703</v>
      </c>
      <c r="M121" s="29">
        <v>0.96482421441975341</v>
      </c>
      <c r="N121" s="29">
        <v>0.95786054590929459</v>
      </c>
      <c r="O121" s="29">
        <v>0</v>
      </c>
      <c r="P121" s="29">
        <v>0</v>
      </c>
      <c r="Q121" s="29">
        <v>0</v>
      </c>
      <c r="R121" s="29">
        <v>580.59855628486491</v>
      </c>
      <c r="S121" s="29">
        <v>1341.6749550324121</v>
      </c>
      <c r="T121" s="29">
        <v>0</v>
      </c>
      <c r="U121" s="29">
        <v>1696.4258621053375</v>
      </c>
      <c r="V121" s="29">
        <v>174.69197469392412</v>
      </c>
      <c r="W121" s="29">
        <v>407.61460761915629</v>
      </c>
      <c r="X121" s="29">
        <v>0</v>
      </c>
      <c r="Y121" s="29">
        <v>0</v>
      </c>
      <c r="Z121" s="29">
        <v>0</v>
      </c>
      <c r="AA121" s="29">
        <v>0</v>
      </c>
      <c r="AB121" s="29">
        <v>0</v>
      </c>
      <c r="AC121" s="29">
        <v>0</v>
      </c>
      <c r="AD121" s="29">
        <v>0</v>
      </c>
      <c r="AE121" s="29">
        <v>0</v>
      </c>
      <c r="AF121" s="29">
        <v>0</v>
      </c>
      <c r="AG121" s="29">
        <v>0</v>
      </c>
      <c r="AH121" s="29">
        <v>755.29053097878909</v>
      </c>
      <c r="AI121" s="29">
        <v>1749.2895626515683</v>
      </c>
      <c r="AJ121" s="29">
        <v>0</v>
      </c>
      <c r="AK121" s="29">
        <v>1696.4258621053375</v>
      </c>
      <c r="AL121" s="29">
        <v>4201.0059557356944</v>
      </c>
      <c r="AM121" s="29">
        <v>1435.4250561613921</v>
      </c>
      <c r="AN121" s="29">
        <v>340.91917442677959</v>
      </c>
      <c r="AO121" s="29">
        <v>0</v>
      </c>
      <c r="AP121" s="29">
        <v>0</v>
      </c>
      <c r="AQ121" s="29">
        <v>1776.3442305881717</v>
      </c>
      <c r="AR121" s="29">
        <v>755.29053097878909</v>
      </c>
      <c r="AS121" s="33">
        <v>2.3518687944971166</v>
      </c>
      <c r="AT121" s="29">
        <v>1435.4250561613921</v>
      </c>
      <c r="AU121" s="29">
        <v>403.5467597681627</v>
      </c>
      <c r="AV121" s="29">
        <v>0</v>
      </c>
      <c r="AW121" s="29">
        <v>0</v>
      </c>
      <c r="AX121" s="29">
        <v>1838.9718159295549</v>
      </c>
      <c r="AY121" s="29">
        <v>1749.2895626515683</v>
      </c>
      <c r="AZ121" s="33">
        <v>1.0512678147704984</v>
      </c>
      <c r="BA121" s="29">
        <v>1435.4250561613921</v>
      </c>
      <c r="BB121" s="29">
        <v>744.46593419494229</v>
      </c>
      <c r="BC121" s="29">
        <v>0</v>
      </c>
      <c r="BD121" s="29">
        <v>0</v>
      </c>
      <c r="BE121" s="29">
        <v>2179.8909903563344</v>
      </c>
      <c r="BF121" s="29">
        <v>2504.5800936303576</v>
      </c>
      <c r="BG121" s="29">
        <v>46.894029419671732</v>
      </c>
      <c r="BH121" s="109">
        <v>0.87036186061696663</v>
      </c>
      <c r="BI121" s="29">
        <v>20.122908613768498</v>
      </c>
      <c r="BJ121" s="29">
        <v>46.605633944118807</v>
      </c>
      <c r="BK121" s="29">
        <v>0</v>
      </c>
      <c r="BL121" s="29">
        <v>45.197207158072814</v>
      </c>
      <c r="BM121" s="29">
        <v>111.92574971596011</v>
      </c>
      <c r="BN121" s="29">
        <v>1435.4250561613921</v>
      </c>
      <c r="BO121" s="29">
        <v>0</v>
      </c>
      <c r="BP121" s="29">
        <v>744.46593419494229</v>
      </c>
      <c r="BQ121" s="29">
        <v>0</v>
      </c>
      <c r="BR121" s="29">
        <v>0</v>
      </c>
      <c r="BS121" s="29">
        <v>0</v>
      </c>
      <c r="BT121" s="29">
        <v>0</v>
      </c>
      <c r="BU121" s="29">
        <v>0</v>
      </c>
      <c r="BV121" s="29">
        <v>407.54477972865828</v>
      </c>
      <c r="BW121" s="29">
        <v>0</v>
      </c>
      <c r="BX121" s="29">
        <v>3618.6993734226144</v>
      </c>
      <c r="BY121" s="29">
        <v>582.30658231308041</v>
      </c>
      <c r="BZ121" s="29">
        <v>0</v>
      </c>
      <c r="CA121" s="29">
        <v>0</v>
      </c>
      <c r="CB121" s="29">
        <v>2587.4357700849928</v>
      </c>
      <c r="CC121" s="29">
        <v>4201.0059557356944</v>
      </c>
      <c r="CD121" s="109">
        <v>0.61590861744728764</v>
      </c>
      <c r="CE121" s="29">
        <v>81.233181270377628</v>
      </c>
      <c r="CF121" s="29">
        <v>26.237489794788154</v>
      </c>
      <c r="CG121" s="29">
        <v>0</v>
      </c>
      <c r="CH121" s="29">
        <v>26.237489794788154</v>
      </c>
      <c r="CI121" s="29">
        <v>1.3118585470325892</v>
      </c>
      <c r="CJ121" s="29">
        <v>0</v>
      </c>
      <c r="CK121" s="29">
        <v>1.3118585470325892</v>
      </c>
      <c r="CL121" s="29"/>
      <c r="CM121" s="29">
        <v>0</v>
      </c>
      <c r="CN121" s="29"/>
      <c r="CO121" s="29">
        <v>0</v>
      </c>
      <c r="CP121" s="29">
        <v>0</v>
      </c>
      <c r="CQ121" s="29">
        <v>0</v>
      </c>
      <c r="CR121" s="29">
        <v>0</v>
      </c>
      <c r="CS121" s="29">
        <v>0</v>
      </c>
      <c r="CT121" s="29">
        <v>0</v>
      </c>
      <c r="CU121" s="29">
        <v>0</v>
      </c>
      <c r="CV121" s="29">
        <v>9999</v>
      </c>
      <c r="CW121" s="33">
        <v>9999</v>
      </c>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row>
    <row r="122" spans="1:131">
      <c r="A122" s="7" t="s">
        <v>489</v>
      </c>
      <c r="B122" s="7"/>
      <c r="C122" s="29">
        <v>15</v>
      </c>
      <c r="D122" s="29">
        <v>2547.0813552674795</v>
      </c>
      <c r="E122" s="29">
        <v>0</v>
      </c>
      <c r="F122" s="29">
        <v>3231.068075449366</v>
      </c>
      <c r="G122" s="29">
        <v>0</v>
      </c>
      <c r="H122" s="29">
        <v>0</v>
      </c>
      <c r="I122" s="29"/>
      <c r="J122" s="29"/>
      <c r="K122" s="29"/>
      <c r="L122" s="29">
        <v>2743.9389887282687</v>
      </c>
      <c r="M122" s="29">
        <v>0.98227153967436376</v>
      </c>
      <c r="N122" s="29">
        <v>0.97518194419435811</v>
      </c>
      <c r="O122" s="29">
        <v>0</v>
      </c>
      <c r="P122" s="29">
        <v>0</v>
      </c>
      <c r="Q122" s="29">
        <v>0</v>
      </c>
      <c r="R122" s="29">
        <v>644.31813647450815</v>
      </c>
      <c r="S122" s="29">
        <v>1488.9212131572401</v>
      </c>
      <c r="T122" s="29">
        <v>0</v>
      </c>
      <c r="U122" s="29">
        <v>1882.6053532289247</v>
      </c>
      <c r="V122" s="29">
        <v>193.86408452696196</v>
      </c>
      <c r="W122" s="29">
        <v>452.34953056291124</v>
      </c>
      <c r="X122" s="29">
        <v>0</v>
      </c>
      <c r="Y122" s="29">
        <v>0</v>
      </c>
      <c r="Z122" s="29">
        <v>0</v>
      </c>
      <c r="AA122" s="29">
        <v>0</v>
      </c>
      <c r="AB122" s="29">
        <v>0</v>
      </c>
      <c r="AC122" s="29">
        <v>0</v>
      </c>
      <c r="AD122" s="29">
        <v>0</v>
      </c>
      <c r="AE122" s="29">
        <v>0</v>
      </c>
      <c r="AF122" s="29">
        <v>0</v>
      </c>
      <c r="AG122" s="29">
        <v>0</v>
      </c>
      <c r="AH122" s="29">
        <v>838.18222100147011</v>
      </c>
      <c r="AI122" s="29">
        <v>1941.2707437201514</v>
      </c>
      <c r="AJ122" s="29">
        <v>0</v>
      </c>
      <c r="AK122" s="29">
        <v>1882.6053532289247</v>
      </c>
      <c r="AL122" s="29">
        <v>4662.0583179505466</v>
      </c>
      <c r="AM122" s="29">
        <v>1426.076406089175</v>
      </c>
      <c r="AN122" s="29">
        <v>347.08416037226038</v>
      </c>
      <c r="AO122" s="29">
        <v>0</v>
      </c>
      <c r="AP122" s="29">
        <v>0</v>
      </c>
      <c r="AQ122" s="29">
        <v>1773.1605664614353</v>
      </c>
      <c r="AR122" s="29">
        <v>838.18222100147011</v>
      </c>
      <c r="AS122" s="33">
        <v>2.1154833901664509</v>
      </c>
      <c r="AT122" s="29">
        <v>1426.076406089175</v>
      </c>
      <c r="AU122" s="29">
        <v>410.84426688696317</v>
      </c>
      <c r="AV122" s="29">
        <v>0</v>
      </c>
      <c r="AW122" s="29">
        <v>0</v>
      </c>
      <c r="AX122" s="29">
        <v>1836.9206729761381</v>
      </c>
      <c r="AY122" s="29">
        <v>1941.2707437201514</v>
      </c>
      <c r="AZ122" s="109">
        <v>0.94624651348526367</v>
      </c>
      <c r="BA122" s="29">
        <v>1426.076406089175</v>
      </c>
      <c r="BB122" s="29">
        <v>757.92842725922355</v>
      </c>
      <c r="BC122" s="29">
        <v>0</v>
      </c>
      <c r="BD122" s="29">
        <v>0</v>
      </c>
      <c r="BE122" s="29">
        <v>2184.0048333483983</v>
      </c>
      <c r="BF122" s="29">
        <v>2779.4529647216214</v>
      </c>
      <c r="BG122" s="29">
        <v>54.209410052406042</v>
      </c>
      <c r="BH122" s="109">
        <v>0.7857678690983495</v>
      </c>
      <c r="BI122" s="29">
        <v>22.476780704300648</v>
      </c>
      <c r="BJ122" s="29">
        <v>52.057316059673298</v>
      </c>
      <c r="BK122" s="29">
        <v>0</v>
      </c>
      <c r="BL122" s="29">
        <v>50.484138910403807</v>
      </c>
      <c r="BM122" s="29">
        <v>125.01823567437776</v>
      </c>
      <c r="BN122" s="29">
        <v>1426.076406089175</v>
      </c>
      <c r="BO122" s="29">
        <v>0</v>
      </c>
      <c r="BP122" s="29">
        <v>757.92842725922355</v>
      </c>
      <c r="BQ122" s="29">
        <v>0</v>
      </c>
      <c r="BR122" s="29">
        <v>0</v>
      </c>
      <c r="BS122" s="29">
        <v>0</v>
      </c>
      <c r="BT122" s="29">
        <v>0</v>
      </c>
      <c r="BU122" s="29">
        <v>0</v>
      </c>
      <c r="BV122" s="29">
        <v>634.45895436834246</v>
      </c>
      <c r="BW122" s="29">
        <v>0</v>
      </c>
      <c r="BX122" s="29">
        <v>4015.8447028606729</v>
      </c>
      <c r="BY122" s="29">
        <v>646.2136150898732</v>
      </c>
      <c r="BZ122" s="29">
        <v>0</v>
      </c>
      <c r="CA122" s="29">
        <v>0</v>
      </c>
      <c r="CB122" s="29">
        <v>2818.4637877167406</v>
      </c>
      <c r="CC122" s="29">
        <v>4662.0583179505466</v>
      </c>
      <c r="CD122" s="109">
        <v>0.60455352453757916</v>
      </c>
      <c r="CE122" s="29">
        <v>87.679832343793066</v>
      </c>
      <c r="CF122" s="29">
        <v>26.067704574251859</v>
      </c>
      <c r="CG122" s="29">
        <v>0</v>
      </c>
      <c r="CH122" s="29">
        <v>26.067704574251859</v>
      </c>
      <c r="CI122" s="29">
        <v>1.3033710196459278</v>
      </c>
      <c r="CJ122" s="29">
        <v>0</v>
      </c>
      <c r="CK122" s="29">
        <v>1.3033710196459278</v>
      </c>
      <c r="CL122" s="29"/>
      <c r="CM122" s="29">
        <v>0</v>
      </c>
      <c r="CN122" s="29"/>
      <c r="CO122" s="29">
        <v>0</v>
      </c>
      <c r="CP122" s="29">
        <v>0</v>
      </c>
      <c r="CQ122" s="29">
        <v>0</v>
      </c>
      <c r="CR122" s="29">
        <v>0</v>
      </c>
      <c r="CS122" s="29">
        <v>0</v>
      </c>
      <c r="CT122" s="29">
        <v>0</v>
      </c>
      <c r="CU122" s="29">
        <v>0</v>
      </c>
      <c r="CV122" s="29">
        <v>9999</v>
      </c>
      <c r="CW122" s="33">
        <v>9999</v>
      </c>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row>
    <row r="123" spans="1:131">
      <c r="A123" s="7" t="s">
        <v>803</v>
      </c>
      <c r="B123" s="7"/>
      <c r="C123" s="29">
        <v>15</v>
      </c>
      <c r="D123" s="29">
        <v>2729.5008825719146</v>
      </c>
      <c r="E123" s="29">
        <v>0</v>
      </c>
      <c r="F123" s="29">
        <v>3764.9764753308682</v>
      </c>
      <c r="G123" s="29">
        <v>0</v>
      </c>
      <c r="H123" s="29">
        <v>0</v>
      </c>
      <c r="I123" s="29"/>
      <c r="J123" s="29"/>
      <c r="K123" s="29"/>
      <c r="L123" s="29">
        <v>2940.9032029199307</v>
      </c>
      <c r="M123" s="29">
        <v>1.0689158324246504</v>
      </c>
      <c r="N123" s="29">
        <v>1.06120087729465</v>
      </c>
      <c r="O123" s="29">
        <v>0</v>
      </c>
      <c r="P123" s="29">
        <v>0</v>
      </c>
      <c r="Q123" s="29">
        <v>0</v>
      </c>
      <c r="R123" s="29">
        <v>750.78660362739924</v>
      </c>
      <c r="S123" s="29">
        <v>1734.9536469851312</v>
      </c>
      <c r="T123" s="29">
        <v>0</v>
      </c>
      <c r="U123" s="29">
        <v>2193.6909720644285</v>
      </c>
      <c r="V123" s="29">
        <v>225.8985885198521</v>
      </c>
      <c r="W123" s="29">
        <v>527.09670654632157</v>
      </c>
      <c r="X123" s="29">
        <v>0</v>
      </c>
      <c r="Y123" s="29">
        <v>0</v>
      </c>
      <c r="Z123" s="29">
        <v>0</v>
      </c>
      <c r="AA123" s="29">
        <v>0</v>
      </c>
      <c r="AB123" s="29">
        <v>0</v>
      </c>
      <c r="AC123" s="29">
        <v>0</v>
      </c>
      <c r="AD123" s="29">
        <v>0</v>
      </c>
      <c r="AE123" s="29">
        <v>0</v>
      </c>
      <c r="AF123" s="29">
        <v>0</v>
      </c>
      <c r="AG123" s="29">
        <v>0</v>
      </c>
      <c r="AH123" s="29">
        <v>976.68519214725131</v>
      </c>
      <c r="AI123" s="29">
        <v>2262.0503535314529</v>
      </c>
      <c r="AJ123" s="29">
        <v>0</v>
      </c>
      <c r="AK123" s="29">
        <v>2193.6909720644285</v>
      </c>
      <c r="AL123" s="29">
        <v>5432.4265177431325</v>
      </c>
      <c r="AM123" s="29">
        <v>1517.2256309017775</v>
      </c>
      <c r="AN123" s="29">
        <v>377.69978994679849</v>
      </c>
      <c r="AO123" s="29">
        <v>0</v>
      </c>
      <c r="AP123" s="29">
        <v>0</v>
      </c>
      <c r="AQ123" s="29">
        <v>1894.9254208485761</v>
      </c>
      <c r="AR123" s="29">
        <v>976.68519214725131</v>
      </c>
      <c r="AS123" s="33">
        <v>1.9401598755506524</v>
      </c>
      <c r="AT123" s="29">
        <v>1517.2256309017775</v>
      </c>
      <c r="AU123" s="29">
        <v>447.08405344000937</v>
      </c>
      <c r="AV123" s="29">
        <v>0</v>
      </c>
      <c r="AW123" s="29">
        <v>0</v>
      </c>
      <c r="AX123" s="29">
        <v>1964.309684341787</v>
      </c>
      <c r="AY123" s="29">
        <v>2262.0503535314529</v>
      </c>
      <c r="AZ123" s="109">
        <v>0.86837575532974276</v>
      </c>
      <c r="BA123" s="29">
        <v>1517.2256309017775</v>
      </c>
      <c r="BB123" s="29">
        <v>824.78384338680792</v>
      </c>
      <c r="BC123" s="29">
        <v>0</v>
      </c>
      <c r="BD123" s="29">
        <v>0</v>
      </c>
      <c r="BE123" s="29">
        <v>2342.0094742885854</v>
      </c>
      <c r="BF123" s="29">
        <v>3238.7355456787041</v>
      </c>
      <c r="BG123" s="29">
        <v>60.397360677173857</v>
      </c>
      <c r="BH123" s="109">
        <v>0.72312463961851436</v>
      </c>
      <c r="BI123" s="29">
        <v>24.436780471691222</v>
      </c>
      <c r="BJ123" s="29">
        <v>56.596770740049969</v>
      </c>
      <c r="BK123" s="29">
        <v>0</v>
      </c>
      <c r="BL123" s="29">
        <v>54.886410829281076</v>
      </c>
      <c r="BM123" s="29">
        <v>135.91996204102225</v>
      </c>
      <c r="BN123" s="29">
        <v>1517.2256309017775</v>
      </c>
      <c r="BO123" s="29">
        <v>0</v>
      </c>
      <c r="BP123" s="29">
        <v>824.78384338680792</v>
      </c>
      <c r="BQ123" s="29">
        <v>0</v>
      </c>
      <c r="BR123" s="29">
        <v>0</v>
      </c>
      <c r="BS123" s="29">
        <v>0</v>
      </c>
      <c r="BT123" s="29">
        <v>0</v>
      </c>
      <c r="BU123" s="29">
        <v>0</v>
      </c>
      <c r="BV123" s="29">
        <v>831.44748747409517</v>
      </c>
      <c r="BW123" s="29">
        <v>0</v>
      </c>
      <c r="BX123" s="29">
        <v>4679.4312226769589</v>
      </c>
      <c r="BY123" s="29">
        <v>752.99529506617364</v>
      </c>
      <c r="BZ123" s="29">
        <v>0</v>
      </c>
      <c r="CA123" s="29">
        <v>0</v>
      </c>
      <c r="CB123" s="29">
        <v>3173.4569617626803</v>
      </c>
      <c r="CC123" s="29">
        <v>5432.4265177431325</v>
      </c>
      <c r="CD123" s="109">
        <v>0.58416933048200215</v>
      </c>
      <c r="CE123" s="29">
        <v>94.480855798810595</v>
      </c>
      <c r="CF123" s="29">
        <v>27.938510812723607</v>
      </c>
      <c r="CG123" s="29">
        <v>0</v>
      </c>
      <c r="CH123" s="29">
        <v>27.938510812723607</v>
      </c>
      <c r="CI123" s="29">
        <v>1.3969290213869674</v>
      </c>
      <c r="CJ123" s="29">
        <v>0</v>
      </c>
      <c r="CK123" s="29">
        <v>1.3969290213869674</v>
      </c>
      <c r="CL123" s="29"/>
      <c r="CM123" s="29">
        <v>0</v>
      </c>
      <c r="CN123" s="29"/>
      <c r="CO123" s="29">
        <v>0</v>
      </c>
      <c r="CP123" s="29">
        <v>0</v>
      </c>
      <c r="CQ123" s="29">
        <v>0</v>
      </c>
      <c r="CR123" s="29">
        <v>0</v>
      </c>
      <c r="CS123" s="29">
        <v>0</v>
      </c>
      <c r="CT123" s="29">
        <v>0</v>
      </c>
      <c r="CU123" s="29">
        <v>0</v>
      </c>
      <c r="CV123" s="29">
        <v>9999</v>
      </c>
      <c r="CW123" s="33">
        <v>9999</v>
      </c>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row>
    <row r="124" spans="1:131">
      <c r="A124" s="7" t="s">
        <v>491</v>
      </c>
      <c r="B124" s="7"/>
      <c r="C124" s="29">
        <v>15</v>
      </c>
      <c r="D124" s="29">
        <v>2526.2848116203695</v>
      </c>
      <c r="E124" s="29">
        <v>0</v>
      </c>
      <c r="F124" s="29">
        <v>3514.1785459794187</v>
      </c>
      <c r="G124" s="29">
        <v>0</v>
      </c>
      <c r="H124" s="29">
        <v>0</v>
      </c>
      <c r="I124" s="29"/>
      <c r="J124" s="29"/>
      <c r="K124" s="29"/>
      <c r="L124" s="29">
        <v>2721.7747534126584</v>
      </c>
      <c r="M124" s="29">
        <v>0.99094554744612473</v>
      </c>
      <c r="N124" s="29">
        <v>0.9837933468678256</v>
      </c>
      <c r="O124" s="29">
        <v>0</v>
      </c>
      <c r="P124" s="29">
        <v>0</v>
      </c>
      <c r="Q124" s="29">
        <v>0</v>
      </c>
      <c r="R124" s="29">
        <v>700.77414623003619</v>
      </c>
      <c r="S124" s="29">
        <v>1619.3824647916547</v>
      </c>
      <c r="T124" s="29">
        <v>0</v>
      </c>
      <c r="U124" s="29">
        <v>2047.5617314076517</v>
      </c>
      <c r="V124" s="29">
        <v>210.85071275876513</v>
      </c>
      <c r="W124" s="29">
        <v>491.98499643711864</v>
      </c>
      <c r="X124" s="29">
        <v>0</v>
      </c>
      <c r="Y124" s="29">
        <v>0</v>
      </c>
      <c r="Z124" s="29">
        <v>0</v>
      </c>
      <c r="AA124" s="29">
        <v>0</v>
      </c>
      <c r="AB124" s="29">
        <v>0</v>
      </c>
      <c r="AC124" s="29">
        <v>0</v>
      </c>
      <c r="AD124" s="29">
        <v>0</v>
      </c>
      <c r="AE124" s="29">
        <v>0</v>
      </c>
      <c r="AF124" s="29">
        <v>0</v>
      </c>
      <c r="AG124" s="29">
        <v>0</v>
      </c>
      <c r="AH124" s="29">
        <v>911.62485898880129</v>
      </c>
      <c r="AI124" s="29">
        <v>2111.3674612287732</v>
      </c>
      <c r="AJ124" s="29">
        <v>0</v>
      </c>
      <c r="AK124" s="29">
        <v>2047.5617314076517</v>
      </c>
      <c r="AL124" s="29">
        <v>5070.5540516252258</v>
      </c>
      <c r="AM124" s="29">
        <v>1414.5140056525217</v>
      </c>
      <c r="AN124" s="29">
        <v>350.1491078770228</v>
      </c>
      <c r="AO124" s="29">
        <v>0</v>
      </c>
      <c r="AP124" s="29">
        <v>0</v>
      </c>
      <c r="AQ124" s="29">
        <v>1764.6631135295445</v>
      </c>
      <c r="AR124" s="29">
        <v>911.62485898880129</v>
      </c>
      <c r="AS124" s="33">
        <v>1.9357338669844479</v>
      </c>
      <c r="AT124" s="29">
        <v>1414.5140056525217</v>
      </c>
      <c r="AU124" s="29">
        <v>414.47225183819404</v>
      </c>
      <c r="AV124" s="29">
        <v>0</v>
      </c>
      <c r="AW124" s="29">
        <v>0</v>
      </c>
      <c r="AX124" s="29">
        <v>1828.9862574907158</v>
      </c>
      <c r="AY124" s="29">
        <v>2111.3674612287732</v>
      </c>
      <c r="AZ124" s="109">
        <v>0.8662567227526955</v>
      </c>
      <c r="BA124" s="29">
        <v>1414.5140056525217</v>
      </c>
      <c r="BB124" s="29">
        <v>764.62135971521684</v>
      </c>
      <c r="BC124" s="29">
        <v>0</v>
      </c>
      <c r="BD124" s="29">
        <v>0</v>
      </c>
      <c r="BE124" s="29">
        <v>2179.1353653677388</v>
      </c>
      <c r="BF124" s="29">
        <v>3022.9923202175746</v>
      </c>
      <c r="BG124" s="29">
        <v>61.053872278282462</v>
      </c>
      <c r="BH124" s="109">
        <v>0.72085375500090565</v>
      </c>
      <c r="BI124" s="29">
        <v>24.645299058410128</v>
      </c>
      <c r="BJ124" s="29">
        <v>57.079709916969783</v>
      </c>
      <c r="BK124" s="29">
        <v>0</v>
      </c>
      <c r="BL124" s="29">
        <v>55.35475553735148</v>
      </c>
      <c r="BM124" s="29">
        <v>137.07976451273137</v>
      </c>
      <c r="BN124" s="29">
        <v>1414.5140056525217</v>
      </c>
      <c r="BO124" s="29">
        <v>0</v>
      </c>
      <c r="BP124" s="29">
        <v>764.62135971521684</v>
      </c>
      <c r="BQ124" s="29">
        <v>0</v>
      </c>
      <c r="BR124" s="29">
        <v>0</v>
      </c>
      <c r="BS124" s="29">
        <v>0</v>
      </c>
      <c r="BT124" s="29">
        <v>0</v>
      </c>
      <c r="BU124" s="29">
        <v>0</v>
      </c>
      <c r="BV124" s="29">
        <v>535.82751024533798</v>
      </c>
      <c r="BW124" s="29">
        <v>0</v>
      </c>
      <c r="BX124" s="29">
        <v>4367.7183424293426</v>
      </c>
      <c r="BY124" s="29">
        <v>702.83570919588374</v>
      </c>
      <c r="BZ124" s="29">
        <v>0</v>
      </c>
      <c r="CA124" s="29">
        <v>0</v>
      </c>
      <c r="CB124" s="29">
        <v>2714.9628756130764</v>
      </c>
      <c r="CC124" s="29">
        <v>5070.5540516252258</v>
      </c>
      <c r="CD124" s="109">
        <v>0.53543712343286631</v>
      </c>
      <c r="CE124" s="29">
        <v>101.92281262146766</v>
      </c>
      <c r="CF124" s="29">
        <v>25.857119181105364</v>
      </c>
      <c r="CG124" s="29">
        <v>0</v>
      </c>
      <c r="CH124" s="29">
        <v>25.857119181105364</v>
      </c>
      <c r="CI124" s="29">
        <v>1.2928430078710127</v>
      </c>
      <c r="CJ124" s="29">
        <v>0</v>
      </c>
      <c r="CK124" s="29">
        <v>1.2928430078710127</v>
      </c>
      <c r="CL124" s="29"/>
      <c r="CM124" s="29">
        <v>0</v>
      </c>
      <c r="CN124" s="29"/>
      <c r="CO124" s="29">
        <v>0</v>
      </c>
      <c r="CP124" s="29">
        <v>0</v>
      </c>
      <c r="CQ124" s="29">
        <v>0</v>
      </c>
      <c r="CR124" s="29">
        <v>0</v>
      </c>
      <c r="CS124" s="29">
        <v>0</v>
      </c>
      <c r="CT124" s="29">
        <v>0</v>
      </c>
      <c r="CU124" s="29">
        <v>0</v>
      </c>
      <c r="CV124" s="29">
        <v>9999</v>
      </c>
      <c r="CW124" s="33">
        <v>9999</v>
      </c>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row>
    <row r="125" spans="1:131">
      <c r="A125" s="7" t="s">
        <v>501</v>
      </c>
      <c r="B125" s="7"/>
      <c r="C125" s="29">
        <v>15</v>
      </c>
      <c r="D125" s="29">
        <v>2457.1871752453799</v>
      </c>
      <c r="E125" s="29">
        <v>0</v>
      </c>
      <c r="F125" s="29">
        <v>3479.0632416243566</v>
      </c>
      <c r="G125" s="29">
        <v>0</v>
      </c>
      <c r="H125" s="29">
        <v>0</v>
      </c>
      <c r="I125" s="29"/>
      <c r="J125" s="29"/>
      <c r="K125" s="29"/>
      <c r="L125" s="29">
        <v>2646.6539113541521</v>
      </c>
      <c r="M125" s="29">
        <v>0.90369566752319297</v>
      </c>
      <c r="N125" s="29">
        <v>0.89717319745152924</v>
      </c>
      <c r="O125" s="29">
        <v>0</v>
      </c>
      <c r="P125" s="29">
        <v>0</v>
      </c>
      <c r="Q125" s="29">
        <v>0</v>
      </c>
      <c r="R125" s="29">
        <v>693.77168545376719</v>
      </c>
      <c r="S125" s="29">
        <v>1603.2008430059691</v>
      </c>
      <c r="T125" s="29">
        <v>0</v>
      </c>
      <c r="U125" s="29">
        <v>2027.1015435021682</v>
      </c>
      <c r="V125" s="29">
        <v>208.74379449746141</v>
      </c>
      <c r="W125" s="29">
        <v>487.0688538274099</v>
      </c>
      <c r="X125" s="29">
        <v>0</v>
      </c>
      <c r="Y125" s="29">
        <v>0</v>
      </c>
      <c r="Z125" s="29">
        <v>0</v>
      </c>
      <c r="AA125" s="29">
        <v>0</v>
      </c>
      <c r="AB125" s="29">
        <v>0</v>
      </c>
      <c r="AC125" s="29">
        <v>0</v>
      </c>
      <c r="AD125" s="29">
        <v>0</v>
      </c>
      <c r="AE125" s="29">
        <v>0</v>
      </c>
      <c r="AF125" s="29">
        <v>0</v>
      </c>
      <c r="AG125" s="29">
        <v>0</v>
      </c>
      <c r="AH125" s="29">
        <v>902.5154799512286</v>
      </c>
      <c r="AI125" s="29">
        <v>2090.2696968333789</v>
      </c>
      <c r="AJ125" s="29">
        <v>0</v>
      </c>
      <c r="AK125" s="29">
        <v>2027.1015435021682</v>
      </c>
      <c r="AL125" s="29">
        <v>5019.8867202867759</v>
      </c>
      <c r="AM125" s="29">
        <v>1365.33031965593</v>
      </c>
      <c r="AN125" s="29">
        <v>319.31949499251374</v>
      </c>
      <c r="AO125" s="29">
        <v>0</v>
      </c>
      <c r="AP125" s="29">
        <v>0</v>
      </c>
      <c r="AQ125" s="29">
        <v>1684.6498146484437</v>
      </c>
      <c r="AR125" s="29">
        <v>902.5154799512286</v>
      </c>
      <c r="AS125" s="33">
        <v>1.8666159773120803</v>
      </c>
      <c r="AT125" s="29">
        <v>1365.33031965593</v>
      </c>
      <c r="AU125" s="29">
        <v>377.97917278105683</v>
      </c>
      <c r="AV125" s="29">
        <v>0</v>
      </c>
      <c r="AW125" s="29">
        <v>0</v>
      </c>
      <c r="AX125" s="29">
        <v>1743.3094924369868</v>
      </c>
      <c r="AY125" s="29">
        <v>2090.2696968333789</v>
      </c>
      <c r="AZ125" s="109">
        <v>0.83401175220498391</v>
      </c>
      <c r="BA125" s="29">
        <v>1365.33031965593</v>
      </c>
      <c r="BB125" s="29">
        <v>697.29866777357063</v>
      </c>
      <c r="BC125" s="29">
        <v>0</v>
      </c>
      <c r="BD125" s="29">
        <v>0</v>
      </c>
      <c r="BE125" s="29">
        <v>2062.6289874295007</v>
      </c>
      <c r="BF125" s="29">
        <v>2992.7851767846078</v>
      </c>
      <c r="BG125" s="29">
        <v>63.818663431655771</v>
      </c>
      <c r="BH125" s="109">
        <v>0.6892004823565554</v>
      </c>
      <c r="BI125" s="29">
        <v>25.091557467563316</v>
      </c>
      <c r="BJ125" s="29">
        <v>58.113266072328351</v>
      </c>
      <c r="BK125" s="29">
        <v>0</v>
      </c>
      <c r="BL125" s="29">
        <v>56.357077525273652</v>
      </c>
      <c r="BM125" s="29">
        <v>139.56190106516533</v>
      </c>
      <c r="BN125" s="29">
        <v>1365.33031965593</v>
      </c>
      <c r="BO125" s="29">
        <v>0</v>
      </c>
      <c r="BP125" s="29">
        <v>697.29866777357063</v>
      </c>
      <c r="BQ125" s="29">
        <v>0</v>
      </c>
      <c r="BR125" s="29">
        <v>0</v>
      </c>
      <c r="BS125" s="29">
        <v>0</v>
      </c>
      <c r="BT125" s="29">
        <v>0</v>
      </c>
      <c r="BU125" s="29">
        <v>0</v>
      </c>
      <c r="BV125" s="29">
        <v>381.31374758700935</v>
      </c>
      <c r="BW125" s="29">
        <v>0</v>
      </c>
      <c r="BX125" s="29">
        <v>4324.0740719619043</v>
      </c>
      <c r="BY125" s="29">
        <v>695.81264832487136</v>
      </c>
      <c r="BZ125" s="29">
        <v>0</v>
      </c>
      <c r="CA125" s="29">
        <v>0</v>
      </c>
      <c r="CB125" s="29">
        <v>2443.9427350165101</v>
      </c>
      <c r="CC125" s="29">
        <v>5019.8867202867759</v>
      </c>
      <c r="CD125" s="109">
        <v>0.4868521684244087</v>
      </c>
      <c r="CE125" s="29">
        <v>109.5745313120063</v>
      </c>
      <c r="CF125" s="29">
        <v>25.14322784901783</v>
      </c>
      <c r="CG125" s="29">
        <v>0</v>
      </c>
      <c r="CH125" s="29">
        <v>25.14322784901783</v>
      </c>
      <c r="CI125" s="29">
        <v>1.2571606078932225</v>
      </c>
      <c r="CJ125" s="29">
        <v>0</v>
      </c>
      <c r="CK125" s="29">
        <v>1.2571606078932225</v>
      </c>
      <c r="CL125" s="29"/>
      <c r="CM125" s="29">
        <v>0</v>
      </c>
      <c r="CN125" s="29"/>
      <c r="CO125" s="29">
        <v>0</v>
      </c>
      <c r="CP125" s="29">
        <v>0</v>
      </c>
      <c r="CQ125" s="29">
        <v>0</v>
      </c>
      <c r="CR125" s="29">
        <v>0</v>
      </c>
      <c r="CS125" s="29">
        <v>0</v>
      </c>
      <c r="CT125" s="29">
        <v>0</v>
      </c>
      <c r="CU125" s="29">
        <v>0</v>
      </c>
      <c r="CV125" s="29">
        <v>9999</v>
      </c>
      <c r="CW125" s="33">
        <v>9999</v>
      </c>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row>
    <row r="126" spans="1:131">
      <c r="A126" s="7" t="s">
        <v>499</v>
      </c>
      <c r="B126" s="7"/>
      <c r="C126" s="29">
        <v>15</v>
      </c>
      <c r="D126" s="29">
        <v>2525.2177473878778</v>
      </c>
      <c r="E126" s="29">
        <v>0</v>
      </c>
      <c r="F126" s="29">
        <v>3612.3135270070575</v>
      </c>
      <c r="G126" s="29">
        <v>0</v>
      </c>
      <c r="H126" s="29">
        <v>0</v>
      </c>
      <c r="I126" s="29"/>
      <c r="J126" s="29"/>
      <c r="K126" s="29"/>
      <c r="L126" s="29">
        <v>2719.2631585375898</v>
      </c>
      <c r="M126" s="29">
        <v>0.88245981424829878</v>
      </c>
      <c r="N126" s="29">
        <v>0.87609061504249108</v>
      </c>
      <c r="O126" s="29">
        <v>0</v>
      </c>
      <c r="P126" s="29">
        <v>0</v>
      </c>
      <c r="Q126" s="29">
        <v>0</v>
      </c>
      <c r="R126" s="29">
        <v>720.3435723833046</v>
      </c>
      <c r="S126" s="29">
        <v>1664.6044321389425</v>
      </c>
      <c r="T126" s="29">
        <v>0</v>
      </c>
      <c r="U126" s="29">
        <v>2104.7407930391396</v>
      </c>
      <c r="V126" s="29">
        <v>216.73881162042346</v>
      </c>
      <c r="W126" s="29">
        <v>505.72389378098802</v>
      </c>
      <c r="X126" s="29">
        <v>0</v>
      </c>
      <c r="Y126" s="29">
        <v>0</v>
      </c>
      <c r="Z126" s="29">
        <v>0</v>
      </c>
      <c r="AA126" s="29">
        <v>0</v>
      </c>
      <c r="AB126" s="29">
        <v>0</v>
      </c>
      <c r="AC126" s="29">
        <v>0</v>
      </c>
      <c r="AD126" s="29">
        <v>0</v>
      </c>
      <c r="AE126" s="29">
        <v>0</v>
      </c>
      <c r="AF126" s="29">
        <v>0</v>
      </c>
      <c r="AG126" s="29">
        <v>0</v>
      </c>
      <c r="AH126" s="29">
        <v>937.08238400372807</v>
      </c>
      <c r="AI126" s="29">
        <v>2170.3283259199306</v>
      </c>
      <c r="AJ126" s="29">
        <v>0</v>
      </c>
      <c r="AK126" s="29">
        <v>2104.7407930391396</v>
      </c>
      <c r="AL126" s="29">
        <v>5212.1515029627981</v>
      </c>
      <c r="AM126" s="29">
        <v>1402.7156075304033</v>
      </c>
      <c r="AN126" s="29">
        <v>311.81583841080248</v>
      </c>
      <c r="AO126" s="29">
        <v>0</v>
      </c>
      <c r="AP126" s="29">
        <v>0</v>
      </c>
      <c r="AQ126" s="29">
        <v>1714.5314459412057</v>
      </c>
      <c r="AR126" s="29">
        <v>937.08238400372807</v>
      </c>
      <c r="AS126" s="33">
        <v>1.8296485722160205</v>
      </c>
      <c r="AT126" s="29">
        <v>1402.7156075304033</v>
      </c>
      <c r="AU126" s="29">
        <v>369.09707835191824</v>
      </c>
      <c r="AV126" s="29">
        <v>0</v>
      </c>
      <c r="AW126" s="29">
        <v>0</v>
      </c>
      <c r="AX126" s="29">
        <v>1771.8126858823216</v>
      </c>
      <c r="AY126" s="29">
        <v>2170.3283259199306</v>
      </c>
      <c r="AZ126" s="109">
        <v>0.81638002173302904</v>
      </c>
      <c r="BA126" s="29">
        <v>1402.7156075304033</v>
      </c>
      <c r="BB126" s="29">
        <v>680.91291676272067</v>
      </c>
      <c r="BC126" s="29">
        <v>0</v>
      </c>
      <c r="BD126" s="29">
        <v>0</v>
      </c>
      <c r="BE126" s="29">
        <v>2083.628524293124</v>
      </c>
      <c r="BF126" s="29">
        <v>3107.4107099236589</v>
      </c>
      <c r="BG126" s="29">
        <v>65.659682193230026</v>
      </c>
      <c r="BH126" s="109">
        <v>0.67053528445369659</v>
      </c>
      <c r="BI126" s="29">
        <v>25.356928696154899</v>
      </c>
      <c r="BJ126" s="29">
        <v>58.727878729793701</v>
      </c>
      <c r="BK126" s="29">
        <v>0</v>
      </c>
      <c r="BL126" s="29">
        <v>56.953116528513938</v>
      </c>
      <c r="BM126" s="29">
        <v>141.03792395446254</v>
      </c>
      <c r="BN126" s="29">
        <v>1402.7156075304033</v>
      </c>
      <c r="BO126" s="29">
        <v>0</v>
      </c>
      <c r="BP126" s="29">
        <v>680.91291676272067</v>
      </c>
      <c r="BQ126" s="29">
        <v>0</v>
      </c>
      <c r="BR126" s="29">
        <v>0</v>
      </c>
      <c r="BS126" s="29">
        <v>0</v>
      </c>
      <c r="BT126" s="29">
        <v>0</v>
      </c>
      <c r="BU126" s="29">
        <v>0</v>
      </c>
      <c r="BV126" s="29">
        <v>389.61664722366106</v>
      </c>
      <c r="BW126" s="29">
        <v>0</v>
      </c>
      <c r="BX126" s="29">
        <v>4489.6887975613863</v>
      </c>
      <c r="BY126" s="29">
        <v>722.46270540141154</v>
      </c>
      <c r="BZ126" s="29">
        <v>0</v>
      </c>
      <c r="CA126" s="29">
        <v>0</v>
      </c>
      <c r="CB126" s="29">
        <v>2473.2451715167849</v>
      </c>
      <c r="CC126" s="29">
        <v>5212.1515029627981</v>
      </c>
      <c r="CD126" s="109">
        <v>0.47451521125410345</v>
      </c>
      <c r="CE126" s="29">
        <v>112.06998870724475</v>
      </c>
      <c r="CF126" s="29">
        <v>25.833078009293764</v>
      </c>
      <c r="CG126" s="29">
        <v>0</v>
      </c>
      <c r="CH126" s="29">
        <v>25.833078009293764</v>
      </c>
      <c r="CI126" s="29">
        <v>1.2916500003053553</v>
      </c>
      <c r="CJ126" s="29">
        <v>0</v>
      </c>
      <c r="CK126" s="29">
        <v>1.2916500003053553</v>
      </c>
      <c r="CL126" s="29"/>
      <c r="CM126" s="29">
        <v>0</v>
      </c>
      <c r="CN126" s="29"/>
      <c r="CO126" s="29">
        <v>0</v>
      </c>
      <c r="CP126" s="29">
        <v>0</v>
      </c>
      <c r="CQ126" s="29">
        <v>0</v>
      </c>
      <c r="CR126" s="29">
        <v>0</v>
      </c>
      <c r="CS126" s="29">
        <v>0</v>
      </c>
      <c r="CT126" s="29">
        <v>0</v>
      </c>
      <c r="CU126" s="29">
        <v>0</v>
      </c>
      <c r="CV126" s="29">
        <v>9999</v>
      </c>
      <c r="CW126" s="33">
        <v>9999</v>
      </c>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row>
    <row r="127" spans="1:131">
      <c r="A127" s="7" t="s">
        <v>504</v>
      </c>
      <c r="B127" s="7"/>
      <c r="C127" s="29">
        <v>14.999999999999996</v>
      </c>
      <c r="D127" s="29">
        <v>2472.5282876676565</v>
      </c>
      <c r="E127" s="29">
        <v>0</v>
      </c>
      <c r="F127" s="29">
        <v>4405.939111130092</v>
      </c>
      <c r="G127" s="29">
        <v>0</v>
      </c>
      <c r="H127" s="29">
        <v>0</v>
      </c>
      <c r="I127" s="29"/>
      <c r="J127" s="29"/>
      <c r="K127" s="29"/>
      <c r="L127" s="29">
        <v>2664.0365823158331</v>
      </c>
      <c r="M127" s="29">
        <v>0.98227153967436376</v>
      </c>
      <c r="N127" s="29">
        <v>0.97518194419435811</v>
      </c>
      <c r="O127" s="29">
        <v>0</v>
      </c>
      <c r="P127" s="29">
        <v>0</v>
      </c>
      <c r="Q127" s="29">
        <v>0</v>
      </c>
      <c r="R127" s="29">
        <v>878.60311550652716</v>
      </c>
      <c r="S127" s="29">
        <v>2030.3181651560817</v>
      </c>
      <c r="T127" s="29">
        <v>0</v>
      </c>
      <c r="U127" s="29">
        <v>2567.1525213719342</v>
      </c>
      <c r="V127" s="29">
        <v>264.3563466678055</v>
      </c>
      <c r="W127" s="29">
        <v>616.8314755582129</v>
      </c>
      <c r="X127" s="29">
        <v>0</v>
      </c>
      <c r="Y127" s="29">
        <v>0</v>
      </c>
      <c r="Z127" s="29">
        <v>0</v>
      </c>
      <c r="AA127" s="29">
        <v>0</v>
      </c>
      <c r="AB127" s="29">
        <v>0</v>
      </c>
      <c r="AC127" s="29">
        <v>0</v>
      </c>
      <c r="AD127" s="29">
        <v>0</v>
      </c>
      <c r="AE127" s="29">
        <v>0</v>
      </c>
      <c r="AF127" s="29">
        <v>0</v>
      </c>
      <c r="AG127" s="29">
        <v>0</v>
      </c>
      <c r="AH127" s="29">
        <v>1142.9594621743327</v>
      </c>
      <c r="AI127" s="29">
        <v>2647.1496407142945</v>
      </c>
      <c r="AJ127" s="29">
        <v>0</v>
      </c>
      <c r="AK127" s="29">
        <v>2567.1525213719342</v>
      </c>
      <c r="AL127" s="29">
        <v>6357.2616242605618</v>
      </c>
      <c r="AM127" s="29">
        <v>1384.4751743497659</v>
      </c>
      <c r="AN127" s="29">
        <v>347.08416037226038</v>
      </c>
      <c r="AO127" s="29">
        <v>0</v>
      </c>
      <c r="AP127" s="29">
        <v>0</v>
      </c>
      <c r="AQ127" s="29">
        <v>1731.5593347220263</v>
      </c>
      <c r="AR127" s="29">
        <v>1142.9594621743327</v>
      </c>
      <c r="AS127" s="33">
        <v>1.5149787827364922</v>
      </c>
      <c r="AT127" s="29">
        <v>1384.4751743497659</v>
      </c>
      <c r="AU127" s="29">
        <v>410.84426688696317</v>
      </c>
      <c r="AV127" s="29">
        <v>0</v>
      </c>
      <c r="AW127" s="29">
        <v>0</v>
      </c>
      <c r="AX127" s="29">
        <v>1795.3194412367291</v>
      </c>
      <c r="AY127" s="29">
        <v>2647.1496407142945</v>
      </c>
      <c r="AZ127" s="109">
        <v>0.67820852044929669</v>
      </c>
      <c r="BA127" s="29">
        <v>1384.4751743497659</v>
      </c>
      <c r="BB127" s="29">
        <v>757.92842725922355</v>
      </c>
      <c r="BC127" s="29">
        <v>0</v>
      </c>
      <c r="BD127" s="29">
        <v>0</v>
      </c>
      <c r="BE127" s="29">
        <v>2142.4036016089894</v>
      </c>
      <c r="BF127" s="29">
        <v>3790.1091028886271</v>
      </c>
      <c r="BG127" s="29">
        <v>83.750036657343799</v>
      </c>
      <c r="BH127" s="109">
        <v>0.56526172293461396</v>
      </c>
      <c r="BI127" s="29">
        <v>31.568995088028082</v>
      </c>
      <c r="BJ127" s="29">
        <v>73.115326282883046</v>
      </c>
      <c r="BK127" s="29">
        <v>0</v>
      </c>
      <c r="BL127" s="29">
        <v>70.9057740186487</v>
      </c>
      <c r="BM127" s="29">
        <v>175.59009538955985</v>
      </c>
      <c r="BN127" s="29">
        <v>1384.4751743497659</v>
      </c>
      <c r="BO127" s="29">
        <v>0</v>
      </c>
      <c r="BP127" s="29">
        <v>757.92842725922355</v>
      </c>
      <c r="BQ127" s="29">
        <v>0</v>
      </c>
      <c r="BR127" s="29">
        <v>0</v>
      </c>
      <c r="BS127" s="29">
        <v>0</v>
      </c>
      <c r="BT127" s="29">
        <v>0</v>
      </c>
      <c r="BU127" s="29">
        <v>0</v>
      </c>
      <c r="BV127" s="29">
        <v>716.92430377759456</v>
      </c>
      <c r="BW127" s="29">
        <v>0</v>
      </c>
      <c r="BX127" s="29">
        <v>5476.0738020345434</v>
      </c>
      <c r="BY127" s="29">
        <v>881.1878222260184</v>
      </c>
      <c r="BZ127" s="29">
        <v>0</v>
      </c>
      <c r="CA127" s="29">
        <v>0</v>
      </c>
      <c r="CB127" s="29">
        <v>2859.327905386584</v>
      </c>
      <c r="CC127" s="29">
        <v>6357.2616242605618</v>
      </c>
      <c r="CD127" s="109">
        <v>0.44977351482198341</v>
      </c>
      <c r="CE127" s="29">
        <v>134.8540761670649</v>
      </c>
      <c r="CF127" s="29">
        <v>25.308584064192448</v>
      </c>
      <c r="CG127" s="29">
        <v>0</v>
      </c>
      <c r="CH127" s="29">
        <v>25.308584064192448</v>
      </c>
      <c r="CI127" s="29">
        <v>1.265417376600021</v>
      </c>
      <c r="CJ127" s="29">
        <v>0</v>
      </c>
      <c r="CK127" s="29">
        <v>1.265417376600021</v>
      </c>
      <c r="CL127" s="29"/>
      <c r="CM127" s="29">
        <v>0</v>
      </c>
      <c r="CN127" s="29"/>
      <c r="CO127" s="29">
        <v>0</v>
      </c>
      <c r="CP127" s="29">
        <v>0</v>
      </c>
      <c r="CQ127" s="29">
        <v>0</v>
      </c>
      <c r="CR127" s="29">
        <v>0</v>
      </c>
      <c r="CS127" s="29">
        <v>0</v>
      </c>
      <c r="CT127" s="29">
        <v>0</v>
      </c>
      <c r="CU127" s="29">
        <v>0</v>
      </c>
      <c r="CV127" s="29">
        <v>9999</v>
      </c>
      <c r="CW127" s="33">
        <v>9999</v>
      </c>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row>
    <row r="128" spans="1:131">
      <c r="A128" s="7" t="s">
        <v>500</v>
      </c>
      <c r="B128" s="7"/>
      <c r="C128" s="29">
        <v>15.000000000000002</v>
      </c>
      <c r="D128" s="29">
        <v>1944.8389232042909</v>
      </c>
      <c r="E128" s="29">
        <v>0</v>
      </c>
      <c r="F128" s="29">
        <v>3618.3551360186466</v>
      </c>
      <c r="G128" s="29">
        <v>0</v>
      </c>
      <c r="H128" s="29">
        <v>0</v>
      </c>
      <c r="I128" s="29"/>
      <c r="J128" s="29"/>
      <c r="K128" s="29"/>
      <c r="L128" s="29">
        <v>2095.6932158169034</v>
      </c>
      <c r="M128" s="29">
        <v>0.77721691916961022</v>
      </c>
      <c r="N128" s="29">
        <v>0.77160731598498022</v>
      </c>
      <c r="O128" s="29">
        <v>0</v>
      </c>
      <c r="P128" s="29">
        <v>0</v>
      </c>
      <c r="Q128" s="29">
        <v>0</v>
      </c>
      <c r="R128" s="29">
        <v>721.54834992706265</v>
      </c>
      <c r="S128" s="29">
        <v>1667.3884897969369</v>
      </c>
      <c r="T128" s="29">
        <v>0</v>
      </c>
      <c r="U128" s="29">
        <v>2108.2609805442426</v>
      </c>
      <c r="V128" s="29">
        <v>217.10130816111879</v>
      </c>
      <c r="W128" s="29">
        <v>506.56971904261053</v>
      </c>
      <c r="X128" s="29">
        <v>0</v>
      </c>
      <c r="Y128" s="29">
        <v>0</v>
      </c>
      <c r="Z128" s="29">
        <v>0</v>
      </c>
      <c r="AA128" s="29">
        <v>0</v>
      </c>
      <c r="AB128" s="29">
        <v>0</v>
      </c>
      <c r="AC128" s="29">
        <v>0</v>
      </c>
      <c r="AD128" s="29">
        <v>0</v>
      </c>
      <c r="AE128" s="29">
        <v>0</v>
      </c>
      <c r="AF128" s="29">
        <v>0</v>
      </c>
      <c r="AG128" s="29">
        <v>0</v>
      </c>
      <c r="AH128" s="29">
        <v>938.64965808818147</v>
      </c>
      <c r="AI128" s="29">
        <v>2173.9582088395473</v>
      </c>
      <c r="AJ128" s="29">
        <v>0</v>
      </c>
      <c r="AK128" s="29">
        <v>2108.2609805442426</v>
      </c>
      <c r="AL128" s="29">
        <v>5220.8688474719711</v>
      </c>
      <c r="AM128" s="29">
        <v>1081.2020139868205</v>
      </c>
      <c r="AN128" s="29">
        <v>274.62842088097972</v>
      </c>
      <c r="AO128" s="29">
        <v>0</v>
      </c>
      <c r="AP128" s="29">
        <v>0</v>
      </c>
      <c r="AQ128" s="29">
        <v>1355.8304348678002</v>
      </c>
      <c r="AR128" s="29">
        <v>938.64965808818147</v>
      </c>
      <c r="AS128" s="33">
        <v>1.4444478013546846</v>
      </c>
      <c r="AT128" s="29">
        <v>1081.2020139868205</v>
      </c>
      <c r="AU128" s="29">
        <v>325.07825226641489</v>
      </c>
      <c r="AV128" s="29">
        <v>0</v>
      </c>
      <c r="AW128" s="29">
        <v>0</v>
      </c>
      <c r="AX128" s="29">
        <v>1406.2802662532354</v>
      </c>
      <c r="AY128" s="29">
        <v>2173.9582088395473</v>
      </c>
      <c r="AZ128" s="109">
        <v>0.64687548294863673</v>
      </c>
      <c r="BA128" s="29">
        <v>1081.2020139868205</v>
      </c>
      <c r="BB128" s="29">
        <v>599.70667314739467</v>
      </c>
      <c r="BC128" s="29">
        <v>0</v>
      </c>
      <c r="BD128" s="29">
        <v>0</v>
      </c>
      <c r="BE128" s="29">
        <v>1680.9086871342151</v>
      </c>
      <c r="BF128" s="29">
        <v>3112.607866927729</v>
      </c>
      <c r="BG128" s="29">
        <v>88.230312932125557</v>
      </c>
      <c r="BH128" s="109">
        <v>0.54003226843776519</v>
      </c>
      <c r="BI128" s="29">
        <v>32.956868050257455</v>
      </c>
      <c r="BJ128" s="29">
        <v>76.329707487911463</v>
      </c>
      <c r="BK128" s="29">
        <v>0</v>
      </c>
      <c r="BL128" s="29">
        <v>74.023016311348329</v>
      </c>
      <c r="BM128" s="29">
        <v>183.30959184951723</v>
      </c>
      <c r="BN128" s="29">
        <v>1081.2020139868205</v>
      </c>
      <c r="BO128" s="29">
        <v>0</v>
      </c>
      <c r="BP128" s="29">
        <v>599.70667314739467</v>
      </c>
      <c r="BQ128" s="29">
        <v>0</v>
      </c>
      <c r="BR128" s="29">
        <v>0</v>
      </c>
      <c r="BS128" s="29">
        <v>0</v>
      </c>
      <c r="BT128" s="29">
        <v>0</v>
      </c>
      <c r="BU128" s="29">
        <v>0</v>
      </c>
      <c r="BV128" s="29">
        <v>601.20205099647717</v>
      </c>
      <c r="BW128" s="29">
        <v>0</v>
      </c>
      <c r="BX128" s="29">
        <v>4497.1978202682421</v>
      </c>
      <c r="BY128" s="29">
        <v>723.67102720372941</v>
      </c>
      <c r="BZ128" s="29">
        <v>0</v>
      </c>
      <c r="CA128" s="29">
        <v>0</v>
      </c>
      <c r="CB128" s="29">
        <v>2282.1107381306924</v>
      </c>
      <c r="CC128" s="29">
        <v>5220.8688474719711</v>
      </c>
      <c r="CD128" s="109">
        <v>0.43711320946813809</v>
      </c>
      <c r="CE128" s="29">
        <v>141.14456252150947</v>
      </c>
      <c r="CF128" s="29">
        <v>19.909015096486019</v>
      </c>
      <c r="CG128" s="29">
        <v>0</v>
      </c>
      <c r="CH128" s="29">
        <v>19.909015096486019</v>
      </c>
      <c r="CI128" s="29">
        <v>0.9954542775130294</v>
      </c>
      <c r="CJ128" s="29">
        <v>0</v>
      </c>
      <c r="CK128" s="29">
        <v>0.9954542775130294</v>
      </c>
      <c r="CL128" s="29"/>
      <c r="CM128" s="29">
        <v>0</v>
      </c>
      <c r="CN128" s="29"/>
      <c r="CO128" s="29">
        <v>0</v>
      </c>
      <c r="CP128" s="29">
        <v>0</v>
      </c>
      <c r="CQ128" s="29">
        <v>0</v>
      </c>
      <c r="CR128" s="29">
        <v>0</v>
      </c>
      <c r="CS128" s="29">
        <v>0</v>
      </c>
      <c r="CT128" s="29">
        <v>0</v>
      </c>
      <c r="CU128" s="29">
        <v>0</v>
      </c>
      <c r="CV128" s="29">
        <v>9999</v>
      </c>
      <c r="CW128" s="33">
        <v>9999</v>
      </c>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row>
    <row r="129" spans="1:131">
      <c r="A129" s="7" t="s">
        <v>498</v>
      </c>
      <c r="B129" s="7"/>
      <c r="C129" s="29">
        <v>15</v>
      </c>
      <c r="D129" s="29">
        <v>2207.9344454579914</v>
      </c>
      <c r="E129" s="29">
        <v>0</v>
      </c>
      <c r="F129" s="29">
        <v>3914.8924998607772</v>
      </c>
      <c r="G129" s="29">
        <v>0</v>
      </c>
      <c r="H129" s="29">
        <v>0</v>
      </c>
      <c r="I129" s="29"/>
      <c r="J129" s="29"/>
      <c r="K129" s="29"/>
      <c r="L129" s="29">
        <v>2379.1718416984891</v>
      </c>
      <c r="M129" s="29">
        <v>0.88067350369815434</v>
      </c>
      <c r="N129" s="29">
        <v>0.87431719728083823</v>
      </c>
      <c r="O129" s="29">
        <v>0</v>
      </c>
      <c r="P129" s="29">
        <v>0</v>
      </c>
      <c r="Q129" s="29">
        <v>0</v>
      </c>
      <c r="R129" s="29">
        <v>780.68186157220248</v>
      </c>
      <c r="S129" s="29">
        <v>1804.0370410525059</v>
      </c>
      <c r="T129" s="29">
        <v>0</v>
      </c>
      <c r="U129" s="29">
        <v>2281.0406359292338</v>
      </c>
      <c r="V129" s="29">
        <v>234.89354999164664</v>
      </c>
      <c r="W129" s="29">
        <v>548.08494998050878</v>
      </c>
      <c r="X129" s="29">
        <v>0</v>
      </c>
      <c r="Y129" s="29">
        <v>0</v>
      </c>
      <c r="Z129" s="29">
        <v>0</v>
      </c>
      <c r="AA129" s="29">
        <v>0</v>
      </c>
      <c r="AB129" s="29">
        <v>0</v>
      </c>
      <c r="AC129" s="29">
        <v>0</v>
      </c>
      <c r="AD129" s="29">
        <v>0</v>
      </c>
      <c r="AE129" s="29">
        <v>0</v>
      </c>
      <c r="AF129" s="29">
        <v>0</v>
      </c>
      <c r="AG129" s="29">
        <v>0</v>
      </c>
      <c r="AH129" s="29">
        <v>1015.5754115638491</v>
      </c>
      <c r="AI129" s="29">
        <v>2352.1219910330146</v>
      </c>
      <c r="AJ129" s="29">
        <v>0</v>
      </c>
      <c r="AK129" s="29">
        <v>2281.0406359292338</v>
      </c>
      <c r="AL129" s="29">
        <v>5648.7380385260985</v>
      </c>
      <c r="AM129" s="29">
        <v>1227.4506116841014</v>
      </c>
      <c r="AN129" s="29">
        <v>311.18464828422452</v>
      </c>
      <c r="AO129" s="29">
        <v>0</v>
      </c>
      <c r="AP129" s="29">
        <v>0</v>
      </c>
      <c r="AQ129" s="29">
        <v>1538.635259968326</v>
      </c>
      <c r="AR129" s="29">
        <v>1015.5754115638491</v>
      </c>
      <c r="AS129" s="33">
        <v>1.5150379208167666</v>
      </c>
      <c r="AT129" s="29">
        <v>1227.4506116841014</v>
      </c>
      <c r="AU129" s="29">
        <v>368.34993724198659</v>
      </c>
      <c r="AV129" s="29">
        <v>0</v>
      </c>
      <c r="AW129" s="29">
        <v>0</v>
      </c>
      <c r="AX129" s="29">
        <v>1595.8005489260881</v>
      </c>
      <c r="AY129" s="29">
        <v>2352.1219910330146</v>
      </c>
      <c r="AZ129" s="109">
        <v>0.67845143874754466</v>
      </c>
      <c r="BA129" s="29">
        <v>1227.4506116841014</v>
      </c>
      <c r="BB129" s="29">
        <v>679.53458552621123</v>
      </c>
      <c r="BC129" s="29">
        <v>0</v>
      </c>
      <c r="BD129" s="29">
        <v>0</v>
      </c>
      <c r="BE129" s="29">
        <v>1906.9851972103127</v>
      </c>
      <c r="BF129" s="29">
        <v>3367.6974025968639</v>
      </c>
      <c r="BG129" s="29">
        <v>83.138057445731732</v>
      </c>
      <c r="BH129" s="109">
        <v>0.56625788164335011</v>
      </c>
      <c r="BI129" s="29">
        <v>31.409171487267386</v>
      </c>
      <c r="BJ129" s="29">
        <v>72.7451670591023</v>
      </c>
      <c r="BK129" s="29">
        <v>0</v>
      </c>
      <c r="BL129" s="29">
        <v>70.546801042575666</v>
      </c>
      <c r="BM129" s="29">
        <v>174.70113958894535</v>
      </c>
      <c r="BN129" s="29">
        <v>1227.4506116841014</v>
      </c>
      <c r="BO129" s="29">
        <v>0</v>
      </c>
      <c r="BP129" s="29">
        <v>679.53458552621123</v>
      </c>
      <c r="BQ129" s="29">
        <v>0</v>
      </c>
      <c r="BR129" s="29">
        <v>0</v>
      </c>
      <c r="BS129" s="29">
        <v>0</v>
      </c>
      <c r="BT129" s="29">
        <v>0</v>
      </c>
      <c r="BU129" s="29">
        <v>0</v>
      </c>
      <c r="BV129" s="29">
        <v>413.611454431006</v>
      </c>
      <c r="BW129" s="29">
        <v>0</v>
      </c>
      <c r="BX129" s="29">
        <v>4865.7595385539425</v>
      </c>
      <c r="BY129" s="29">
        <v>782.97849997215553</v>
      </c>
      <c r="BZ129" s="29">
        <v>0</v>
      </c>
      <c r="CA129" s="29">
        <v>0</v>
      </c>
      <c r="CB129" s="29">
        <v>2320.5966516413182</v>
      </c>
      <c r="CC129" s="29">
        <v>5648.7380385260985</v>
      </c>
      <c r="CD129" s="109">
        <v>0.41081682949610138</v>
      </c>
      <c r="CE129" s="29">
        <v>140.89290532225266</v>
      </c>
      <c r="CF129" s="29">
        <v>22.602054764727086</v>
      </c>
      <c r="CG129" s="29">
        <v>0</v>
      </c>
      <c r="CH129" s="29">
        <v>22.602054764727086</v>
      </c>
      <c r="CI129" s="29">
        <v>1.1301066248067824</v>
      </c>
      <c r="CJ129" s="29">
        <v>0</v>
      </c>
      <c r="CK129" s="29">
        <v>1.1301066248067824</v>
      </c>
      <c r="CL129" s="29"/>
      <c r="CM129" s="29">
        <v>0</v>
      </c>
      <c r="CN129" s="29"/>
      <c r="CO129" s="29">
        <v>0</v>
      </c>
      <c r="CP129" s="29">
        <v>0</v>
      </c>
      <c r="CQ129" s="29">
        <v>0</v>
      </c>
      <c r="CR129" s="29">
        <v>0</v>
      </c>
      <c r="CS129" s="29">
        <v>0</v>
      </c>
      <c r="CT129" s="29">
        <v>0</v>
      </c>
      <c r="CU129" s="29">
        <v>0</v>
      </c>
      <c r="CV129" s="29">
        <v>9999</v>
      </c>
      <c r="CW129" s="33">
        <v>9999</v>
      </c>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row>
    <row r="130" spans="1:131">
      <c r="A130" s="7" t="s">
        <v>490</v>
      </c>
      <c r="B130" s="7"/>
      <c r="C130" s="29">
        <v>14.999999999999996</v>
      </c>
      <c r="D130" s="29">
        <v>2340.2413242289317</v>
      </c>
      <c r="E130" s="29">
        <v>0</v>
      </c>
      <c r="F130" s="29">
        <v>4476.2075916098729</v>
      </c>
      <c r="G130" s="29">
        <v>0</v>
      </c>
      <c r="H130" s="29">
        <v>0</v>
      </c>
      <c r="I130" s="29"/>
      <c r="J130" s="29"/>
      <c r="K130" s="29"/>
      <c r="L130" s="29">
        <v>2521.5432350451379</v>
      </c>
      <c r="M130" s="29">
        <v>0.93249217108520432</v>
      </c>
      <c r="N130" s="29">
        <v>0.92576186076443701</v>
      </c>
      <c r="O130" s="29">
        <v>0</v>
      </c>
      <c r="P130" s="29">
        <v>0</v>
      </c>
      <c r="Q130" s="29">
        <v>0</v>
      </c>
      <c r="R130" s="29">
        <v>892.61558919584456</v>
      </c>
      <c r="S130" s="29">
        <v>2062.6988605668771</v>
      </c>
      <c r="T130" s="29">
        <v>0</v>
      </c>
      <c r="U130" s="29">
        <v>2608.0949634453959</v>
      </c>
      <c r="V130" s="29">
        <v>268.5724554965924</v>
      </c>
      <c r="W130" s="29">
        <v>626.66906282538218</v>
      </c>
      <c r="X130" s="29">
        <v>0</v>
      </c>
      <c r="Y130" s="29">
        <v>0</v>
      </c>
      <c r="Z130" s="29">
        <v>0</v>
      </c>
      <c r="AA130" s="29">
        <v>0</v>
      </c>
      <c r="AB130" s="29">
        <v>0</v>
      </c>
      <c r="AC130" s="29">
        <v>0</v>
      </c>
      <c r="AD130" s="29">
        <v>0</v>
      </c>
      <c r="AE130" s="29">
        <v>0</v>
      </c>
      <c r="AF130" s="29">
        <v>0</v>
      </c>
      <c r="AG130" s="29">
        <v>0</v>
      </c>
      <c r="AH130" s="29">
        <v>1161.188044692437</v>
      </c>
      <c r="AI130" s="29">
        <v>2689.3679233922594</v>
      </c>
      <c r="AJ130" s="29">
        <v>0</v>
      </c>
      <c r="AK130" s="29">
        <v>2608.0949634453959</v>
      </c>
      <c r="AL130" s="29">
        <v>6458.6509315300918</v>
      </c>
      <c r="AM130" s="29">
        <v>1310.4155147173942</v>
      </c>
      <c r="AN130" s="29">
        <v>329.49469589855954</v>
      </c>
      <c r="AO130" s="29">
        <v>0</v>
      </c>
      <c r="AP130" s="29">
        <v>0</v>
      </c>
      <c r="AQ130" s="29">
        <v>1639.9102106159537</v>
      </c>
      <c r="AR130" s="29">
        <v>1161.188044692437</v>
      </c>
      <c r="AS130" s="33">
        <v>1.4122692858505235</v>
      </c>
      <c r="AT130" s="29">
        <v>1310.4155147173942</v>
      </c>
      <c r="AU130" s="29">
        <v>390.02357997091025</v>
      </c>
      <c r="AV130" s="29">
        <v>0</v>
      </c>
      <c r="AW130" s="29">
        <v>0</v>
      </c>
      <c r="AX130" s="29">
        <v>1700.4390946883045</v>
      </c>
      <c r="AY130" s="29">
        <v>2689.3679233922594</v>
      </c>
      <c r="AZ130" s="109">
        <v>0.63228206148284827</v>
      </c>
      <c r="BA130" s="29">
        <v>1310.4155147173942</v>
      </c>
      <c r="BB130" s="29">
        <v>719.51827586946979</v>
      </c>
      <c r="BC130" s="29">
        <v>0</v>
      </c>
      <c r="BD130" s="29">
        <v>0</v>
      </c>
      <c r="BE130" s="29">
        <v>2029.933790586864</v>
      </c>
      <c r="BF130" s="29">
        <v>3850.5559680846964</v>
      </c>
      <c r="BG130" s="29">
        <v>91.367552432224244</v>
      </c>
      <c r="BH130" s="109">
        <v>0.52717940147136011</v>
      </c>
      <c r="BI130" s="29">
        <v>33.884903340798004</v>
      </c>
      <c r="BJ130" s="29">
        <v>78.479082305852216</v>
      </c>
      <c r="BK130" s="29">
        <v>0</v>
      </c>
      <c r="BL130" s="29">
        <v>76.107436813455294</v>
      </c>
      <c r="BM130" s="29">
        <v>188.47142246010549</v>
      </c>
      <c r="BN130" s="29">
        <v>1310.4155147173942</v>
      </c>
      <c r="BO130" s="29">
        <v>0</v>
      </c>
      <c r="BP130" s="29">
        <v>719.51827586946979</v>
      </c>
      <c r="BQ130" s="29">
        <v>0</v>
      </c>
      <c r="BR130" s="29">
        <v>0</v>
      </c>
      <c r="BS130" s="29">
        <v>0</v>
      </c>
      <c r="BT130" s="29">
        <v>0</v>
      </c>
      <c r="BU130" s="29">
        <v>0</v>
      </c>
      <c r="BV130" s="29">
        <v>547.87241511000252</v>
      </c>
      <c r="BW130" s="29">
        <v>0</v>
      </c>
      <c r="BX130" s="29">
        <v>5563.4094132081173</v>
      </c>
      <c r="BY130" s="29">
        <v>895.24151832197458</v>
      </c>
      <c r="BZ130" s="29">
        <v>0</v>
      </c>
      <c r="CA130" s="29">
        <v>0</v>
      </c>
      <c r="CB130" s="29">
        <v>2577.8062056968665</v>
      </c>
      <c r="CC130" s="29">
        <v>6458.6509315300918</v>
      </c>
      <c r="CD130" s="109">
        <v>0.39912455914166728</v>
      </c>
      <c r="CE130" s="29">
        <v>151.48739454562457</v>
      </c>
      <c r="CF130" s="29">
        <v>23.95488081408519</v>
      </c>
      <c r="CG130" s="29">
        <v>0</v>
      </c>
      <c r="CH130" s="29">
        <v>23.95488081408519</v>
      </c>
      <c r="CI130" s="29">
        <v>1.1977330366464405</v>
      </c>
      <c r="CJ130" s="29">
        <v>0</v>
      </c>
      <c r="CK130" s="29">
        <v>1.1977330366464405</v>
      </c>
      <c r="CL130" s="29"/>
      <c r="CM130" s="29">
        <v>0</v>
      </c>
      <c r="CN130" s="29"/>
      <c r="CO130" s="29">
        <v>0</v>
      </c>
      <c r="CP130" s="29">
        <v>0</v>
      </c>
      <c r="CQ130" s="29">
        <v>0</v>
      </c>
      <c r="CR130" s="29">
        <v>0</v>
      </c>
      <c r="CS130" s="29">
        <v>0</v>
      </c>
      <c r="CT130" s="29">
        <v>0</v>
      </c>
      <c r="CU130" s="29">
        <v>0</v>
      </c>
      <c r="CV130" s="29">
        <v>9999</v>
      </c>
      <c r="CW130" s="33">
        <v>9999</v>
      </c>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row>
    <row r="131" spans="1:131">
      <c r="A131" s="7" t="s">
        <v>496</v>
      </c>
      <c r="B131" s="7"/>
      <c r="C131" s="29">
        <v>15</v>
      </c>
      <c r="D131" s="29">
        <v>767.67373498047482</v>
      </c>
      <c r="E131" s="29">
        <v>0</v>
      </c>
      <c r="F131" s="29">
        <v>5356.8461304836164</v>
      </c>
      <c r="G131" s="29">
        <v>0</v>
      </c>
      <c r="H131" s="29">
        <v>0</v>
      </c>
      <c r="I131" s="29"/>
      <c r="J131" s="29"/>
      <c r="K131" s="29"/>
      <c r="L131" s="29">
        <v>826.55856987151878</v>
      </c>
      <c r="M131" s="29">
        <v>0.26492414811323056</v>
      </c>
      <c r="N131" s="29">
        <v>0.26301204441568216</v>
      </c>
      <c r="O131" s="29">
        <v>0</v>
      </c>
      <c r="P131" s="29">
        <v>0</v>
      </c>
      <c r="Q131" s="29">
        <v>0</v>
      </c>
      <c r="R131" s="29">
        <v>1068.2266778591036</v>
      </c>
      <c r="S131" s="29">
        <v>2468.5093761718622</v>
      </c>
      <c r="T131" s="29">
        <v>0</v>
      </c>
      <c r="U131" s="29">
        <v>3121.2054237729253</v>
      </c>
      <c r="V131" s="29">
        <v>321.410767829017</v>
      </c>
      <c r="W131" s="29">
        <v>749.95845826770631</v>
      </c>
      <c r="X131" s="29">
        <v>0</v>
      </c>
      <c r="Y131" s="29">
        <v>0</v>
      </c>
      <c r="Z131" s="29">
        <v>0</v>
      </c>
      <c r="AA131" s="29">
        <v>0</v>
      </c>
      <c r="AB131" s="29">
        <v>0</v>
      </c>
      <c r="AC131" s="29">
        <v>0</v>
      </c>
      <c r="AD131" s="29">
        <v>0</v>
      </c>
      <c r="AE131" s="29">
        <v>0</v>
      </c>
      <c r="AF131" s="29">
        <v>0</v>
      </c>
      <c r="AG131" s="29">
        <v>0</v>
      </c>
      <c r="AH131" s="29">
        <v>1389.6374456881206</v>
      </c>
      <c r="AI131" s="29">
        <v>3218.4678344395684</v>
      </c>
      <c r="AJ131" s="29">
        <v>0</v>
      </c>
      <c r="AK131" s="29">
        <v>3121.2054237729253</v>
      </c>
      <c r="AL131" s="29">
        <v>7729.3107039006145</v>
      </c>
      <c r="AM131" s="29">
        <v>429.65855348392478</v>
      </c>
      <c r="AN131" s="29">
        <v>93.610546367555301</v>
      </c>
      <c r="AO131" s="29">
        <v>0</v>
      </c>
      <c r="AP131" s="29">
        <v>0</v>
      </c>
      <c r="AQ131" s="29">
        <v>523.26909985148006</v>
      </c>
      <c r="AR131" s="29">
        <v>1389.6374456881206</v>
      </c>
      <c r="AS131" s="109">
        <v>0.3765508057336262</v>
      </c>
      <c r="AT131" s="29">
        <v>429.65855348392478</v>
      </c>
      <c r="AU131" s="29">
        <v>110.80700500425392</v>
      </c>
      <c r="AV131" s="29">
        <v>0</v>
      </c>
      <c r="AW131" s="29">
        <v>0</v>
      </c>
      <c r="AX131" s="29">
        <v>540.46555848817866</v>
      </c>
      <c r="AY131" s="29">
        <v>3218.4678344395684</v>
      </c>
      <c r="AZ131" s="109">
        <v>0.16792635076382234</v>
      </c>
      <c r="BA131" s="29">
        <v>429.65855348392478</v>
      </c>
      <c r="BB131" s="29">
        <v>204.41755137180922</v>
      </c>
      <c r="BC131" s="29">
        <v>0</v>
      </c>
      <c r="BD131" s="29">
        <v>0</v>
      </c>
      <c r="BE131" s="29">
        <v>634.076104855734</v>
      </c>
      <c r="BF131" s="29">
        <v>4608.1052801276892</v>
      </c>
      <c r="BG131" s="29">
        <v>392.02430752478864</v>
      </c>
      <c r="BH131" s="109">
        <v>0.13760017758061377</v>
      </c>
      <c r="BI131" s="29">
        <v>123.70805808937529</v>
      </c>
      <c r="BJ131" s="29">
        <v>286.51387241834141</v>
      </c>
      <c r="BK131" s="29">
        <v>0</v>
      </c>
      <c r="BL131" s="29">
        <v>277.85539535585576</v>
      </c>
      <c r="BM131" s="29">
        <v>688.07732586357247</v>
      </c>
      <c r="BN131" s="29">
        <v>429.65855348392478</v>
      </c>
      <c r="BO131" s="29">
        <v>0</v>
      </c>
      <c r="BP131" s="29">
        <v>204.41755137180922</v>
      </c>
      <c r="BQ131" s="29">
        <v>0</v>
      </c>
      <c r="BR131" s="29">
        <v>0</v>
      </c>
      <c r="BS131" s="29">
        <v>0</v>
      </c>
      <c r="BT131" s="29">
        <v>0</v>
      </c>
      <c r="BU131" s="29">
        <v>0</v>
      </c>
      <c r="BV131" s="29">
        <v>114.12742053331293</v>
      </c>
      <c r="BW131" s="29">
        <v>0</v>
      </c>
      <c r="BX131" s="29">
        <v>6657.9414778038908</v>
      </c>
      <c r="BY131" s="29">
        <v>1071.3692260967234</v>
      </c>
      <c r="BZ131" s="29">
        <v>0</v>
      </c>
      <c r="CA131" s="29">
        <v>0</v>
      </c>
      <c r="CB131" s="29">
        <v>748.20352538904694</v>
      </c>
      <c r="CC131" s="29">
        <v>7729.3107039006145</v>
      </c>
      <c r="CD131" s="109">
        <v>9.6800808513424652E-2</v>
      </c>
      <c r="CE131" s="29">
        <v>659.71987190261939</v>
      </c>
      <c r="CF131" s="29">
        <v>7.8524346443248207</v>
      </c>
      <c r="CG131" s="29">
        <v>0</v>
      </c>
      <c r="CH131" s="29">
        <v>7.8524346443248207</v>
      </c>
      <c r="CI131" s="29">
        <v>0.39261532068897148</v>
      </c>
      <c r="CJ131" s="29">
        <v>0</v>
      </c>
      <c r="CK131" s="29">
        <v>0.39261532068897148</v>
      </c>
      <c r="CL131" s="29"/>
      <c r="CM131" s="29">
        <v>0</v>
      </c>
      <c r="CN131" s="29"/>
      <c r="CO131" s="29">
        <v>0</v>
      </c>
      <c r="CP131" s="29">
        <v>0</v>
      </c>
      <c r="CQ131" s="29">
        <v>0</v>
      </c>
      <c r="CR131" s="29">
        <v>0</v>
      </c>
      <c r="CS131" s="29">
        <v>0</v>
      </c>
      <c r="CT131" s="29">
        <v>0</v>
      </c>
      <c r="CU131" s="29">
        <v>0</v>
      </c>
      <c r="CV131" s="29">
        <v>9999</v>
      </c>
      <c r="CW131" s="33">
        <v>9999</v>
      </c>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row>
    <row r="132" spans="1:131">
      <c r="A132" s="7" t="s">
        <v>497</v>
      </c>
      <c r="B132" s="7"/>
      <c r="C132" s="29">
        <v>15</v>
      </c>
      <c r="D132" s="29">
        <v>777.42534329299156</v>
      </c>
      <c r="E132" s="29">
        <v>0</v>
      </c>
      <c r="F132" s="29">
        <v>5356.8461304836164</v>
      </c>
      <c r="G132" s="29">
        <v>0</v>
      </c>
      <c r="H132" s="29">
        <v>0</v>
      </c>
      <c r="I132" s="29"/>
      <c r="J132" s="29"/>
      <c r="K132" s="29"/>
      <c r="L132" s="29">
        <v>836.5766382149352</v>
      </c>
      <c r="M132" s="29">
        <v>0.23474106182134899</v>
      </c>
      <c r="N132" s="29">
        <v>0.23304680610524417</v>
      </c>
      <c r="O132" s="29">
        <v>0</v>
      </c>
      <c r="P132" s="29">
        <v>0</v>
      </c>
      <c r="Q132" s="29">
        <v>0</v>
      </c>
      <c r="R132" s="29">
        <v>1068.2266778591036</v>
      </c>
      <c r="S132" s="29">
        <v>2468.5093761718622</v>
      </c>
      <c r="T132" s="29">
        <v>0</v>
      </c>
      <c r="U132" s="29">
        <v>3121.2054237729253</v>
      </c>
      <c r="V132" s="29">
        <v>321.410767829017</v>
      </c>
      <c r="W132" s="29">
        <v>749.95845826770631</v>
      </c>
      <c r="X132" s="29">
        <v>0</v>
      </c>
      <c r="Y132" s="29">
        <v>0</v>
      </c>
      <c r="Z132" s="29">
        <v>0</v>
      </c>
      <c r="AA132" s="29">
        <v>0</v>
      </c>
      <c r="AB132" s="29">
        <v>0</v>
      </c>
      <c r="AC132" s="29">
        <v>0</v>
      </c>
      <c r="AD132" s="29">
        <v>0</v>
      </c>
      <c r="AE132" s="29">
        <v>0</v>
      </c>
      <c r="AF132" s="29">
        <v>0</v>
      </c>
      <c r="AG132" s="29">
        <v>0</v>
      </c>
      <c r="AH132" s="29">
        <v>1389.6374456881206</v>
      </c>
      <c r="AI132" s="29">
        <v>3218.4678344395684</v>
      </c>
      <c r="AJ132" s="29">
        <v>0</v>
      </c>
      <c r="AK132" s="29">
        <v>3121.2054237729253</v>
      </c>
      <c r="AL132" s="29">
        <v>7729.3107039006145</v>
      </c>
      <c r="AM132" s="29">
        <v>434.95303532977255</v>
      </c>
      <c r="AN132" s="29">
        <v>82.945398554625541</v>
      </c>
      <c r="AO132" s="29">
        <v>0</v>
      </c>
      <c r="AP132" s="29">
        <v>0</v>
      </c>
      <c r="AQ132" s="29">
        <v>517.89843388439806</v>
      </c>
      <c r="AR132" s="29">
        <v>1389.6374456881206</v>
      </c>
      <c r="AS132" s="109">
        <v>0.37268600921152145</v>
      </c>
      <c r="AT132" s="29">
        <v>434.95303532977255</v>
      </c>
      <c r="AU132" s="29">
        <v>98.182646607302942</v>
      </c>
      <c r="AV132" s="29">
        <v>0</v>
      </c>
      <c r="AW132" s="29">
        <v>0</v>
      </c>
      <c r="AX132" s="29">
        <v>533.13568193707545</v>
      </c>
      <c r="AY132" s="29">
        <v>3218.4678344395684</v>
      </c>
      <c r="AZ132" s="109">
        <v>0.16564890791580969</v>
      </c>
      <c r="BA132" s="29">
        <v>434.95303532977255</v>
      </c>
      <c r="BB132" s="29">
        <v>181.12804516192847</v>
      </c>
      <c r="BC132" s="29">
        <v>0</v>
      </c>
      <c r="BD132" s="29">
        <v>0</v>
      </c>
      <c r="BE132" s="29">
        <v>616.08108049170096</v>
      </c>
      <c r="BF132" s="29">
        <v>4608.1052801276892</v>
      </c>
      <c r="BG132" s="29">
        <v>389.37823354575096</v>
      </c>
      <c r="BH132" s="109">
        <v>0.1336950965830862</v>
      </c>
      <c r="BI132" s="29">
        <v>122.22664476277905</v>
      </c>
      <c r="BJ132" s="29">
        <v>283.08284718513812</v>
      </c>
      <c r="BK132" s="29">
        <v>0</v>
      </c>
      <c r="BL132" s="29">
        <v>274.52805603856206</v>
      </c>
      <c r="BM132" s="29">
        <v>679.83754798647919</v>
      </c>
      <c r="BN132" s="29">
        <v>434.95303532977255</v>
      </c>
      <c r="BO132" s="29">
        <v>0</v>
      </c>
      <c r="BP132" s="29">
        <v>181.12804516192847</v>
      </c>
      <c r="BQ132" s="29">
        <v>0</v>
      </c>
      <c r="BR132" s="29">
        <v>0</v>
      </c>
      <c r="BS132" s="29">
        <v>0</v>
      </c>
      <c r="BT132" s="29">
        <v>0</v>
      </c>
      <c r="BU132" s="29">
        <v>0</v>
      </c>
      <c r="BV132" s="29">
        <v>100.74799334384093</v>
      </c>
      <c r="BW132" s="29">
        <v>0</v>
      </c>
      <c r="BX132" s="29">
        <v>6657.9414778038908</v>
      </c>
      <c r="BY132" s="29">
        <v>1071.3692260967234</v>
      </c>
      <c r="BZ132" s="29">
        <v>0</v>
      </c>
      <c r="CA132" s="29">
        <v>0</v>
      </c>
      <c r="CB132" s="29">
        <v>716.82907383554186</v>
      </c>
      <c r="CC132" s="29">
        <v>7729.3107039006145</v>
      </c>
      <c r="CD132" s="109">
        <v>9.2741655924608188E-2</v>
      </c>
      <c r="CE132" s="29">
        <v>655.04492129634014</v>
      </c>
      <c r="CF132" s="29">
        <v>7.9476538162509875</v>
      </c>
      <c r="CG132" s="29">
        <v>0</v>
      </c>
      <c r="CH132" s="29">
        <v>7.9476538162509875</v>
      </c>
      <c r="CI132" s="29">
        <v>0.3973739031520942</v>
      </c>
      <c r="CJ132" s="29">
        <v>0</v>
      </c>
      <c r="CK132" s="29">
        <v>0.3973739031520942</v>
      </c>
      <c r="CL132" s="29"/>
      <c r="CM132" s="29">
        <v>0</v>
      </c>
      <c r="CN132" s="29"/>
      <c r="CO132" s="29">
        <v>0</v>
      </c>
      <c r="CP132" s="29">
        <v>0</v>
      </c>
      <c r="CQ132" s="29">
        <v>0</v>
      </c>
      <c r="CR132" s="29">
        <v>0</v>
      </c>
      <c r="CS132" s="29">
        <v>0</v>
      </c>
      <c r="CT132" s="29">
        <v>0</v>
      </c>
      <c r="CU132" s="29">
        <v>0</v>
      </c>
      <c r="CV132" s="29">
        <v>9999</v>
      </c>
      <c r="CW132" s="33">
        <v>9999</v>
      </c>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row>
    <row r="133" spans="1:131">
      <c r="A133" s="7" t="s">
        <v>495</v>
      </c>
      <c r="B133" s="7"/>
      <c r="C133" s="29">
        <v>15.000000000000004</v>
      </c>
      <c r="D133" s="29">
        <v>652.13841457568014</v>
      </c>
      <c r="E133" s="29">
        <v>0</v>
      </c>
      <c r="F133" s="29">
        <v>5356.8461304836183</v>
      </c>
      <c r="G133" s="29">
        <v>0</v>
      </c>
      <c r="H133" s="29">
        <v>0</v>
      </c>
      <c r="I133" s="29"/>
      <c r="J133" s="29"/>
      <c r="K133" s="29"/>
      <c r="L133" s="29">
        <v>701.41408178007782</v>
      </c>
      <c r="M133" s="29">
        <v>0.17301276658821213</v>
      </c>
      <c r="N133" s="29">
        <v>0.17176403802544252</v>
      </c>
      <c r="O133" s="29">
        <v>0</v>
      </c>
      <c r="P133" s="29">
        <v>0</v>
      </c>
      <c r="Q133" s="29">
        <v>0</v>
      </c>
      <c r="R133" s="29">
        <v>1068.2266778591038</v>
      </c>
      <c r="S133" s="29">
        <v>2468.5093761718631</v>
      </c>
      <c r="T133" s="29">
        <v>0</v>
      </c>
      <c r="U133" s="29">
        <v>3121.2054237729262</v>
      </c>
      <c r="V133" s="29">
        <v>321.41076782901712</v>
      </c>
      <c r="W133" s="29">
        <v>749.95845826770653</v>
      </c>
      <c r="X133" s="29">
        <v>0</v>
      </c>
      <c r="Y133" s="29">
        <v>0</v>
      </c>
      <c r="Z133" s="29">
        <v>0</v>
      </c>
      <c r="AA133" s="29">
        <v>0</v>
      </c>
      <c r="AB133" s="29">
        <v>0</v>
      </c>
      <c r="AC133" s="29">
        <v>0</v>
      </c>
      <c r="AD133" s="29">
        <v>0</v>
      </c>
      <c r="AE133" s="29">
        <v>0</v>
      </c>
      <c r="AF133" s="29">
        <v>0</v>
      </c>
      <c r="AG133" s="29">
        <v>0</v>
      </c>
      <c r="AH133" s="29">
        <v>1389.6374456881208</v>
      </c>
      <c r="AI133" s="29">
        <v>3218.4678344395697</v>
      </c>
      <c r="AJ133" s="29">
        <v>0</v>
      </c>
      <c r="AK133" s="29">
        <v>3121.2054237729262</v>
      </c>
      <c r="AL133" s="29">
        <v>7729.3107039006172</v>
      </c>
      <c r="AM133" s="29">
        <v>364.74126001113211</v>
      </c>
      <c r="AN133" s="29">
        <v>61.133798954267618</v>
      </c>
      <c r="AO133" s="29">
        <v>0</v>
      </c>
      <c r="AP133" s="29">
        <v>0</v>
      </c>
      <c r="AQ133" s="29">
        <v>425.87505896539972</v>
      </c>
      <c r="AR133" s="29">
        <v>1389.6374456881208</v>
      </c>
      <c r="AS133" s="109">
        <v>0.30646486987439725</v>
      </c>
      <c r="AT133" s="29">
        <v>364.74126001113211</v>
      </c>
      <c r="AU133" s="29">
        <v>72.364209263951267</v>
      </c>
      <c r="AV133" s="29">
        <v>0</v>
      </c>
      <c r="AW133" s="29">
        <v>0</v>
      </c>
      <c r="AX133" s="29">
        <v>437.10546927508335</v>
      </c>
      <c r="AY133" s="29">
        <v>3218.4678344395697</v>
      </c>
      <c r="AZ133" s="109">
        <v>0.13581166311428938</v>
      </c>
      <c r="BA133" s="29">
        <v>364.74126001113211</v>
      </c>
      <c r="BB133" s="29">
        <v>133.4980082182189</v>
      </c>
      <c r="BC133" s="29">
        <v>0</v>
      </c>
      <c r="BD133" s="29">
        <v>0</v>
      </c>
      <c r="BE133" s="29">
        <v>498.23926822935096</v>
      </c>
      <c r="BF133" s="29">
        <v>4608.105280127691</v>
      </c>
      <c r="BG133" s="29">
        <v>469.40807670231948</v>
      </c>
      <c r="BH133" s="109">
        <v>0.10812237089677446</v>
      </c>
      <c r="BI133" s="29">
        <v>145.77973016515091</v>
      </c>
      <c r="BJ133" s="29">
        <v>337.63293721369587</v>
      </c>
      <c r="BK133" s="29">
        <v>0</v>
      </c>
      <c r="BL133" s="29">
        <v>327.42963704630995</v>
      </c>
      <c r="BM133" s="29">
        <v>810.84230442515684</v>
      </c>
      <c r="BN133" s="29">
        <v>364.74126001113211</v>
      </c>
      <c r="BO133" s="29">
        <v>0</v>
      </c>
      <c r="BP133" s="29">
        <v>133.4980082182189</v>
      </c>
      <c r="BQ133" s="29">
        <v>0</v>
      </c>
      <c r="BR133" s="29">
        <v>0</v>
      </c>
      <c r="BS133" s="29">
        <v>0</v>
      </c>
      <c r="BT133" s="29">
        <v>0</v>
      </c>
      <c r="BU133" s="29">
        <v>0</v>
      </c>
      <c r="BV133" s="29">
        <v>87.934812241673939</v>
      </c>
      <c r="BW133" s="29">
        <v>0</v>
      </c>
      <c r="BX133" s="29">
        <v>6657.9414778038936</v>
      </c>
      <c r="BY133" s="29">
        <v>1071.3692260967237</v>
      </c>
      <c r="BZ133" s="29">
        <v>0</v>
      </c>
      <c r="CA133" s="29">
        <v>0</v>
      </c>
      <c r="CB133" s="29">
        <v>586.17408047102492</v>
      </c>
      <c r="CC133" s="29">
        <v>7729.3107039006172</v>
      </c>
      <c r="CD133" s="109">
        <v>7.5837820851891821E-2</v>
      </c>
      <c r="CE133" s="29">
        <v>787.61292404503399</v>
      </c>
      <c r="CF133" s="29">
        <v>6.663613899013578</v>
      </c>
      <c r="CG133" s="29">
        <v>0</v>
      </c>
      <c r="CH133" s="29">
        <v>6.663613899013578</v>
      </c>
      <c r="CI133" s="29">
        <v>0.33317168884553694</v>
      </c>
      <c r="CJ133" s="29">
        <v>0</v>
      </c>
      <c r="CK133" s="29">
        <v>0.33317168884553694</v>
      </c>
      <c r="CL133" s="29"/>
      <c r="CM133" s="29">
        <v>0</v>
      </c>
      <c r="CN133" s="29"/>
      <c r="CO133" s="29">
        <v>0</v>
      </c>
      <c r="CP133" s="29">
        <v>0</v>
      </c>
      <c r="CQ133" s="29">
        <v>0</v>
      </c>
      <c r="CR133" s="29">
        <v>0</v>
      </c>
      <c r="CS133" s="29">
        <v>0</v>
      </c>
      <c r="CT133" s="29">
        <v>0</v>
      </c>
      <c r="CU133" s="29">
        <v>0</v>
      </c>
      <c r="CV133" s="29">
        <v>9999</v>
      </c>
      <c r="CW133" s="33">
        <v>9999</v>
      </c>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row>
    <row r="134" spans="1:131">
      <c r="A134" s="7" t="s">
        <v>804</v>
      </c>
      <c r="B134" s="7"/>
      <c r="C134" s="29">
        <v>15</v>
      </c>
      <c r="D134" s="29">
        <v>561.42291626643953</v>
      </c>
      <c r="E134" s="29">
        <v>0</v>
      </c>
      <c r="F134" s="29">
        <v>5447.8150000000014</v>
      </c>
      <c r="G134" s="29">
        <v>0</v>
      </c>
      <c r="H134" s="29">
        <v>0</v>
      </c>
      <c r="I134" s="29"/>
      <c r="J134" s="29"/>
      <c r="K134" s="29"/>
      <c r="L134" s="29">
        <v>604.08127008718748</v>
      </c>
      <c r="M134" s="29">
        <v>0.16546861636563115</v>
      </c>
      <c r="N134" s="29">
        <v>0.16427433809604239</v>
      </c>
      <c r="O134" s="29">
        <v>0</v>
      </c>
      <c r="P134" s="29">
        <v>0</v>
      </c>
      <c r="Q134" s="29">
        <v>0</v>
      </c>
      <c r="R134" s="29">
        <v>1086.3670856485116</v>
      </c>
      <c r="S134" s="29">
        <v>2510.4290994327353</v>
      </c>
      <c r="T134" s="29">
        <v>0</v>
      </c>
      <c r="U134" s="29">
        <v>3174.209098325623</v>
      </c>
      <c r="V134" s="29">
        <v>326.86890000000011</v>
      </c>
      <c r="W134" s="29">
        <v>762.69410000000016</v>
      </c>
      <c r="X134" s="29">
        <v>0</v>
      </c>
      <c r="Y134" s="29">
        <v>0</v>
      </c>
      <c r="Z134" s="29">
        <v>0</v>
      </c>
      <c r="AA134" s="29">
        <v>0</v>
      </c>
      <c r="AB134" s="29">
        <v>0</v>
      </c>
      <c r="AC134" s="29">
        <v>0</v>
      </c>
      <c r="AD134" s="29">
        <v>0</v>
      </c>
      <c r="AE134" s="29">
        <v>0</v>
      </c>
      <c r="AF134" s="29">
        <v>0</v>
      </c>
      <c r="AG134" s="29">
        <v>0</v>
      </c>
      <c r="AH134" s="29">
        <v>1413.2359856485118</v>
      </c>
      <c r="AI134" s="29">
        <v>3273.1231994327354</v>
      </c>
      <c r="AJ134" s="29">
        <v>0</v>
      </c>
      <c r="AK134" s="29">
        <v>3174.209098325623</v>
      </c>
      <c r="AL134" s="29">
        <v>7860.5682834068703</v>
      </c>
      <c r="AM134" s="29">
        <v>314.08451624478317</v>
      </c>
      <c r="AN134" s="29">
        <v>58.468084902738894</v>
      </c>
      <c r="AO134" s="29">
        <v>0</v>
      </c>
      <c r="AP134" s="29">
        <v>0</v>
      </c>
      <c r="AQ134" s="29">
        <v>372.55260114752207</v>
      </c>
      <c r="AR134" s="29">
        <v>1413.2359856485118</v>
      </c>
      <c r="AS134" s="109">
        <v>0.26361669595935427</v>
      </c>
      <c r="AT134" s="29">
        <v>314.08451624478317</v>
      </c>
      <c r="AU134" s="29">
        <v>69.208797809691958</v>
      </c>
      <c r="AV134" s="29">
        <v>0</v>
      </c>
      <c r="AW134" s="29">
        <v>0</v>
      </c>
      <c r="AX134" s="29">
        <v>383.2933140544751</v>
      </c>
      <c r="AY134" s="29">
        <v>3273.1231994327354</v>
      </c>
      <c r="AZ134" s="109">
        <v>0.11710323464784449</v>
      </c>
      <c r="BA134" s="29">
        <v>314.08451624478317</v>
      </c>
      <c r="BB134" s="29">
        <v>127.67688271243085</v>
      </c>
      <c r="BC134" s="29">
        <v>0</v>
      </c>
      <c r="BD134" s="29">
        <v>0</v>
      </c>
      <c r="BE134" s="29">
        <v>441.761398957214</v>
      </c>
      <c r="BF134" s="29">
        <v>4686.3591850812472</v>
      </c>
      <c r="BG134" s="29">
        <v>555.28260783855706</v>
      </c>
      <c r="BH134" s="109">
        <v>9.4265373504347633E-2</v>
      </c>
      <c r="BI134" s="29">
        <v>172.1430254515486</v>
      </c>
      <c r="BJ134" s="29">
        <v>398.69160985696755</v>
      </c>
      <c r="BK134" s="29">
        <v>0</v>
      </c>
      <c r="BL134" s="29">
        <v>386.64311066977405</v>
      </c>
      <c r="BM134" s="29">
        <v>957.47774597829016</v>
      </c>
      <c r="BN134" s="29">
        <v>314.08451624478317</v>
      </c>
      <c r="BO134" s="29">
        <v>0</v>
      </c>
      <c r="BP134" s="29">
        <v>127.67688271243085</v>
      </c>
      <c r="BQ134" s="29">
        <v>0</v>
      </c>
      <c r="BR134" s="29">
        <v>0</v>
      </c>
      <c r="BS134" s="29">
        <v>0</v>
      </c>
      <c r="BT134" s="29">
        <v>0</v>
      </c>
      <c r="BU134" s="29">
        <v>0</v>
      </c>
      <c r="BV134" s="29">
        <v>89.447722420806159</v>
      </c>
      <c r="BW134" s="29">
        <v>0</v>
      </c>
      <c r="BX134" s="29">
        <v>6771.0052834068701</v>
      </c>
      <c r="BY134" s="29">
        <v>1089.5630000000003</v>
      </c>
      <c r="BZ134" s="29">
        <v>0</v>
      </c>
      <c r="CA134" s="29">
        <v>0</v>
      </c>
      <c r="CB134" s="29">
        <v>531.2091213780202</v>
      </c>
      <c r="CC134" s="29">
        <v>7860.5682834068703</v>
      </c>
      <c r="CD134" s="109">
        <v>6.7578971675542443E-2</v>
      </c>
      <c r="CE134" s="29">
        <v>931.03029713947728</v>
      </c>
      <c r="CF134" s="29">
        <v>5.7389045291973249</v>
      </c>
      <c r="CG134" s="29">
        <v>0</v>
      </c>
      <c r="CH134" s="29">
        <v>5.7389045291973249</v>
      </c>
      <c r="CI134" s="29">
        <v>0.28693860329141407</v>
      </c>
      <c r="CJ134" s="29">
        <v>0</v>
      </c>
      <c r="CK134" s="29">
        <v>0.28693860329141407</v>
      </c>
      <c r="CL134" s="29"/>
      <c r="CM134" s="29">
        <v>0</v>
      </c>
      <c r="CN134" s="29"/>
      <c r="CO134" s="29">
        <v>0</v>
      </c>
      <c r="CP134" s="29">
        <v>0</v>
      </c>
      <c r="CQ134" s="29">
        <v>0</v>
      </c>
      <c r="CR134" s="29">
        <v>0</v>
      </c>
      <c r="CS134" s="29">
        <v>0</v>
      </c>
      <c r="CT134" s="29">
        <v>0</v>
      </c>
      <c r="CU134" s="29">
        <v>0</v>
      </c>
      <c r="CV134" s="29">
        <v>9999</v>
      </c>
      <c r="CW134" s="33">
        <v>9999</v>
      </c>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row>
    <row r="135" spans="1:131">
      <c r="A135" s="7" t="s">
        <v>494</v>
      </c>
      <c r="B135" s="7"/>
      <c r="C135" s="29">
        <v>15.000000000000002</v>
      </c>
      <c r="D135" s="29">
        <v>523.42239326999334</v>
      </c>
      <c r="E135" s="29">
        <v>0</v>
      </c>
      <c r="F135" s="29">
        <v>5356.8461304836173</v>
      </c>
      <c r="G135" s="29">
        <v>0</v>
      </c>
      <c r="H135" s="29">
        <v>0</v>
      </c>
      <c r="I135" s="29"/>
      <c r="J135" s="29"/>
      <c r="K135" s="29"/>
      <c r="L135" s="29">
        <v>563.46241624481468</v>
      </c>
      <c r="M135" s="29">
        <v>0.17301276658821213</v>
      </c>
      <c r="N135" s="29">
        <v>0.17176403802544249</v>
      </c>
      <c r="O135" s="29">
        <v>0</v>
      </c>
      <c r="P135" s="29">
        <v>0</v>
      </c>
      <c r="Q135" s="29">
        <v>0</v>
      </c>
      <c r="R135" s="29">
        <v>1068.2266778591036</v>
      </c>
      <c r="S135" s="29">
        <v>2468.5093761718626</v>
      </c>
      <c r="T135" s="29">
        <v>0</v>
      </c>
      <c r="U135" s="29">
        <v>3121.2054237729253</v>
      </c>
      <c r="V135" s="29">
        <v>321.41076782901706</v>
      </c>
      <c r="W135" s="29">
        <v>749.95845826770642</v>
      </c>
      <c r="X135" s="29">
        <v>0</v>
      </c>
      <c r="Y135" s="29">
        <v>0</v>
      </c>
      <c r="Z135" s="29">
        <v>0</v>
      </c>
      <c r="AA135" s="29">
        <v>0</v>
      </c>
      <c r="AB135" s="29">
        <v>0</v>
      </c>
      <c r="AC135" s="29">
        <v>0</v>
      </c>
      <c r="AD135" s="29">
        <v>0</v>
      </c>
      <c r="AE135" s="29">
        <v>0</v>
      </c>
      <c r="AF135" s="29">
        <v>0</v>
      </c>
      <c r="AG135" s="29">
        <v>0</v>
      </c>
      <c r="AH135" s="29">
        <v>1389.6374456881206</v>
      </c>
      <c r="AI135" s="29">
        <v>3218.4678344395688</v>
      </c>
      <c r="AJ135" s="29">
        <v>0</v>
      </c>
      <c r="AK135" s="29">
        <v>3121.2054237729253</v>
      </c>
      <c r="AL135" s="29">
        <v>7729.3107039006154</v>
      </c>
      <c r="AM135" s="29">
        <v>292.91664965901151</v>
      </c>
      <c r="AN135" s="29">
        <v>61.133798954267618</v>
      </c>
      <c r="AO135" s="29">
        <v>0</v>
      </c>
      <c r="AP135" s="29">
        <v>0</v>
      </c>
      <c r="AQ135" s="29">
        <v>354.05044861327912</v>
      </c>
      <c r="AR135" s="29">
        <v>1389.6374456881206</v>
      </c>
      <c r="AS135" s="109">
        <v>0.2547790070797642</v>
      </c>
      <c r="AT135" s="29">
        <v>292.91664965901151</v>
      </c>
      <c r="AU135" s="29">
        <v>72.364209263951267</v>
      </c>
      <c r="AV135" s="29">
        <v>0</v>
      </c>
      <c r="AW135" s="29">
        <v>0</v>
      </c>
      <c r="AX135" s="29">
        <v>365.28085892296281</v>
      </c>
      <c r="AY135" s="29">
        <v>3218.4678344395688</v>
      </c>
      <c r="AZ135" s="109">
        <v>0.11349526473877876</v>
      </c>
      <c r="BA135" s="29">
        <v>292.91664965901151</v>
      </c>
      <c r="BB135" s="29">
        <v>133.4980082182189</v>
      </c>
      <c r="BC135" s="29">
        <v>0</v>
      </c>
      <c r="BD135" s="29">
        <v>0</v>
      </c>
      <c r="BE135" s="29">
        <v>426.41465787723041</v>
      </c>
      <c r="BF135" s="29">
        <v>4608.1052801276901</v>
      </c>
      <c r="BG135" s="29">
        <v>584.33255814041115</v>
      </c>
      <c r="BH135" s="109">
        <v>9.2535788996863919E-2</v>
      </c>
      <c r="BI135" s="29">
        <v>181.47076473599282</v>
      </c>
      <c r="BJ135" s="29">
        <v>420.29510719231484</v>
      </c>
      <c r="BK135" s="29">
        <v>0</v>
      </c>
      <c r="BL135" s="29">
        <v>407.5937482166276</v>
      </c>
      <c r="BM135" s="29">
        <v>1009.3596201449353</v>
      </c>
      <c r="BN135" s="29">
        <v>292.91664965901151</v>
      </c>
      <c r="BO135" s="29">
        <v>0</v>
      </c>
      <c r="BP135" s="29">
        <v>133.4980082182189</v>
      </c>
      <c r="BQ135" s="29">
        <v>0</v>
      </c>
      <c r="BR135" s="29">
        <v>0</v>
      </c>
      <c r="BS135" s="29">
        <v>0</v>
      </c>
      <c r="BT135" s="29">
        <v>0</v>
      </c>
      <c r="BU135" s="29">
        <v>0</v>
      </c>
      <c r="BV135" s="29">
        <v>87.934812241673939</v>
      </c>
      <c r="BW135" s="29">
        <v>0</v>
      </c>
      <c r="BX135" s="29">
        <v>6657.9414778038918</v>
      </c>
      <c r="BY135" s="29">
        <v>1071.3692260967234</v>
      </c>
      <c r="BZ135" s="29">
        <v>0</v>
      </c>
      <c r="CA135" s="29">
        <v>0</v>
      </c>
      <c r="CB135" s="29">
        <v>514.34947011890438</v>
      </c>
      <c r="CC135" s="29">
        <v>7729.3107039006154</v>
      </c>
      <c r="CD135" s="109">
        <v>6.6545322063368037E-2</v>
      </c>
      <c r="CE135" s="29">
        <v>980.44302510700686</v>
      </c>
      <c r="CF135" s="29">
        <v>5.3529908100902377</v>
      </c>
      <c r="CG135" s="29">
        <v>0</v>
      </c>
      <c r="CH135" s="29">
        <v>5.3529908100902377</v>
      </c>
      <c r="CI135" s="29">
        <v>0.26764464771628693</v>
      </c>
      <c r="CJ135" s="29">
        <v>0</v>
      </c>
      <c r="CK135" s="29">
        <v>0.26764464771628693</v>
      </c>
      <c r="CL135" s="29"/>
      <c r="CM135" s="29">
        <v>0</v>
      </c>
      <c r="CN135" s="29"/>
      <c r="CO135" s="29">
        <v>0</v>
      </c>
      <c r="CP135" s="29">
        <v>0</v>
      </c>
      <c r="CQ135" s="29">
        <v>0</v>
      </c>
      <c r="CR135" s="29">
        <v>0</v>
      </c>
      <c r="CS135" s="29">
        <v>0</v>
      </c>
      <c r="CT135" s="29">
        <v>0</v>
      </c>
      <c r="CU135" s="29">
        <v>0</v>
      </c>
      <c r="CV135" s="29">
        <v>9999</v>
      </c>
      <c r="CW135" s="33">
        <v>9999</v>
      </c>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row>
    <row r="136" spans="1:131">
      <c r="A136" s="7"/>
      <c r="B136" s="7"/>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109"/>
      <c r="AT136" s="29"/>
      <c r="AU136" s="29"/>
      <c r="AV136" s="29"/>
      <c r="AW136" s="29"/>
      <c r="AX136" s="29"/>
      <c r="AY136" s="29"/>
      <c r="AZ136" s="109"/>
      <c r="BA136" s="29"/>
      <c r="BB136" s="29"/>
      <c r="BC136" s="29"/>
      <c r="BD136" s="29"/>
      <c r="BE136" s="29"/>
      <c r="BF136" s="29"/>
      <c r="BG136" s="29"/>
      <c r="BH136" s="10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109"/>
      <c r="CE136" s="29"/>
      <c r="CF136" s="29"/>
      <c r="CG136" s="29"/>
      <c r="CH136" s="29"/>
      <c r="CI136" s="29"/>
      <c r="CJ136" s="29"/>
      <c r="CK136" s="29"/>
      <c r="CL136" s="29"/>
      <c r="CM136" s="29"/>
      <c r="CN136" s="29"/>
      <c r="CO136" s="29"/>
      <c r="CP136" s="29"/>
      <c r="CQ136" s="29"/>
      <c r="CR136" s="29"/>
      <c r="CS136" s="29"/>
      <c r="CT136" s="29"/>
      <c r="CU136" s="29"/>
      <c r="CV136" s="29"/>
      <c r="CW136" s="109"/>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row>
    <row r="137" spans="1:131">
      <c r="A137" s="7"/>
      <c r="B137" s="7"/>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109"/>
      <c r="AT137" s="29"/>
      <c r="AU137" s="29"/>
      <c r="AV137" s="29"/>
      <c r="AW137" s="29"/>
      <c r="AX137" s="29"/>
      <c r="AY137" s="29"/>
      <c r="AZ137" s="109"/>
      <c r="BA137" s="29"/>
      <c r="BB137" s="29"/>
      <c r="BC137" s="29"/>
      <c r="BD137" s="29"/>
      <c r="BE137" s="29"/>
      <c r="BF137" s="29"/>
      <c r="BG137" s="29"/>
      <c r="BH137" s="109"/>
      <c r="BI137" s="29"/>
      <c r="BJ137" s="29"/>
      <c r="BK137" s="29"/>
      <c r="BL137" s="29"/>
      <c r="BM137" s="29"/>
      <c r="BN137" s="29"/>
      <c r="BO137" s="29"/>
      <c r="BP137" s="29"/>
      <c r="BQ137" s="29"/>
      <c r="BR137" s="29"/>
      <c r="BS137" s="29"/>
      <c r="BT137" s="29"/>
      <c r="BU137" s="29"/>
      <c r="BV137" s="29"/>
      <c r="BW137" s="29"/>
      <c r="BX137" s="29"/>
      <c r="BY137" s="29"/>
      <c r="BZ137" s="29"/>
      <c r="CA137" s="29"/>
      <c r="CB137" s="29"/>
      <c r="CC137" s="29"/>
      <c r="CD137" s="109"/>
      <c r="CE137" s="29"/>
      <c r="CF137" s="29"/>
      <c r="CG137" s="29"/>
      <c r="CH137" s="29"/>
      <c r="CI137" s="29"/>
      <c r="CJ137" s="29"/>
      <c r="CK137" s="29"/>
      <c r="CL137" s="29"/>
      <c r="CM137" s="29"/>
      <c r="CN137" s="29"/>
      <c r="CO137" s="29"/>
      <c r="CP137" s="29"/>
      <c r="CQ137" s="29"/>
      <c r="CR137" s="29"/>
      <c r="CS137" s="29"/>
      <c r="CT137" s="29"/>
      <c r="CU137" s="29"/>
      <c r="CV137" s="29"/>
      <c r="CW137" s="109"/>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row>
    <row r="138" spans="1:131" ht="13.5" thickBot="1">
      <c r="A138" s="27" t="s">
        <v>331</v>
      </c>
      <c r="B138" s="28"/>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109"/>
      <c r="AT138" s="29"/>
      <c r="AU138" s="29"/>
      <c r="AV138" s="29"/>
      <c r="AW138" s="29"/>
      <c r="AX138" s="29"/>
      <c r="AY138" s="29"/>
      <c r="AZ138" s="109"/>
      <c r="BA138" s="29"/>
      <c r="BB138" s="29"/>
      <c r="BC138" s="29"/>
      <c r="BD138" s="29"/>
      <c r="BE138" s="29"/>
      <c r="BF138" s="29"/>
      <c r="BG138" s="29"/>
      <c r="BH138" s="10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109"/>
      <c r="CE138" s="29"/>
      <c r="CF138" s="29"/>
      <c r="CG138" s="29"/>
      <c r="CH138" s="29"/>
      <c r="CI138" s="29"/>
      <c r="CJ138" s="29"/>
      <c r="CK138" s="29"/>
      <c r="CL138" s="29"/>
      <c r="CM138" s="29"/>
      <c r="CN138" s="29"/>
      <c r="CO138" s="29"/>
      <c r="CP138" s="29"/>
      <c r="CQ138" s="29"/>
      <c r="CR138" s="29"/>
      <c r="CS138" s="29"/>
      <c r="CT138" s="29"/>
      <c r="CU138" s="29"/>
      <c r="CV138" s="29"/>
      <c r="CW138" s="109"/>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row>
    <row r="139" spans="1:131" ht="13.5" thickBot="1">
      <c r="A139" s="110" t="s">
        <v>332</v>
      </c>
      <c r="B139" s="111"/>
      <c r="C139" s="112"/>
      <c r="D139" s="112"/>
      <c r="E139" s="112"/>
      <c r="F139" s="112"/>
      <c r="G139" s="112"/>
      <c r="H139" s="112"/>
      <c r="I139" s="112"/>
      <c r="J139" s="112"/>
      <c r="K139" s="112"/>
      <c r="L139" s="34"/>
      <c r="M139" s="113"/>
      <c r="N139" s="114" t="s">
        <v>505</v>
      </c>
      <c r="O139" s="112"/>
      <c r="P139" s="112"/>
      <c r="Q139" s="112"/>
      <c r="R139" s="112"/>
      <c r="S139" s="112"/>
      <c r="T139" s="112"/>
      <c r="U139" s="112"/>
      <c r="V139" s="112"/>
      <c r="W139" s="112"/>
      <c r="X139" s="112"/>
      <c r="Y139" s="34"/>
      <c r="Z139" s="113"/>
      <c r="AA139" s="114" t="s">
        <v>506</v>
      </c>
      <c r="AB139" s="112"/>
      <c r="AC139" s="112"/>
      <c r="AD139" s="112"/>
      <c r="AE139" s="112"/>
      <c r="AF139" s="112"/>
      <c r="AG139" s="112"/>
      <c r="AH139" s="112"/>
      <c r="AI139" s="112"/>
      <c r="AJ139" s="112"/>
      <c r="AK139" s="112"/>
      <c r="AL139" s="34"/>
      <c r="AM139" s="29"/>
      <c r="AN139" s="29"/>
      <c r="AO139" s="29"/>
      <c r="AP139" s="29"/>
      <c r="AQ139" s="29"/>
      <c r="AR139" s="29"/>
      <c r="AS139" s="109"/>
      <c r="AT139" s="29"/>
      <c r="AU139" s="29"/>
      <c r="AV139" s="29"/>
      <c r="AW139" s="29"/>
      <c r="AX139" s="29"/>
      <c r="AY139" s="29"/>
      <c r="AZ139" s="109"/>
      <c r="BA139" s="29"/>
      <c r="BB139" s="29"/>
      <c r="BC139" s="29"/>
      <c r="BD139" s="29"/>
      <c r="BE139" s="29"/>
      <c r="BF139" s="29"/>
      <c r="BG139" s="29"/>
      <c r="BH139" s="109"/>
      <c r="BI139" s="29"/>
      <c r="BJ139" s="29"/>
      <c r="BK139" s="29"/>
      <c r="BL139" s="29"/>
      <c r="BM139" s="29"/>
      <c r="BN139" s="29"/>
      <c r="BO139" s="29"/>
      <c r="BP139" s="29"/>
      <c r="BQ139" s="29"/>
      <c r="BR139" s="29"/>
      <c r="BS139" s="29"/>
      <c r="BT139" s="29"/>
      <c r="BU139" s="29"/>
      <c r="BV139" s="29"/>
      <c r="BW139" s="29"/>
      <c r="BX139" s="29"/>
      <c r="BY139" s="29"/>
      <c r="BZ139" s="29"/>
      <c r="CA139" s="29"/>
      <c r="CB139" s="29"/>
      <c r="CC139" s="29"/>
      <c r="CD139" s="109"/>
      <c r="CE139" s="29"/>
      <c r="CF139" s="29"/>
      <c r="CG139" s="29"/>
      <c r="CH139" s="29"/>
      <c r="CI139" s="29"/>
      <c r="CJ139" s="29"/>
      <c r="CK139" s="29"/>
      <c r="CL139" s="29"/>
      <c r="CM139" s="29"/>
      <c r="CN139" s="29"/>
      <c r="CO139" s="29"/>
      <c r="CP139" s="29"/>
      <c r="CQ139" s="29"/>
      <c r="CR139" s="29"/>
      <c r="CS139" s="29"/>
      <c r="CT139" s="29"/>
      <c r="CU139" s="29"/>
      <c r="CV139" s="29"/>
      <c r="CW139" s="109"/>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row>
    <row r="140" spans="1:131" ht="204">
      <c r="A140" s="30"/>
      <c r="B140" s="31" t="s">
        <v>333</v>
      </c>
      <c r="C140" s="32" t="s">
        <v>334</v>
      </c>
      <c r="D140" s="32" t="s">
        <v>25</v>
      </c>
      <c r="E140" s="32" t="s">
        <v>26</v>
      </c>
      <c r="F140" s="32" t="s">
        <v>27</v>
      </c>
      <c r="G140" s="32" t="s">
        <v>28</v>
      </c>
      <c r="H140" s="32" t="s">
        <v>29</v>
      </c>
      <c r="I140" s="32" t="s">
        <v>30</v>
      </c>
      <c r="J140" s="32" t="s">
        <v>31</v>
      </c>
      <c r="K140" s="32" t="s">
        <v>24</v>
      </c>
      <c r="L140" s="32" t="s">
        <v>23</v>
      </c>
      <c r="M140" s="32" t="s">
        <v>32</v>
      </c>
      <c r="N140" s="32" t="s">
        <v>33</v>
      </c>
      <c r="O140" s="32" t="s">
        <v>34</v>
      </c>
      <c r="P140" s="32" t="s">
        <v>35</v>
      </c>
      <c r="Q140" s="32" t="s">
        <v>36</v>
      </c>
      <c r="R140" s="32" t="s">
        <v>37</v>
      </c>
      <c r="S140" s="32" t="s">
        <v>38</v>
      </c>
      <c r="T140" s="32" t="s">
        <v>39</v>
      </c>
      <c r="U140" s="32" t="s">
        <v>40</v>
      </c>
      <c r="V140" s="32" t="s">
        <v>41</v>
      </c>
      <c r="W140" s="32" t="s">
        <v>42</v>
      </c>
      <c r="X140" s="32" t="s">
        <v>43</v>
      </c>
      <c r="Y140" s="32" t="s">
        <v>44</v>
      </c>
      <c r="Z140" s="32"/>
      <c r="AA140" s="32" t="s">
        <v>33</v>
      </c>
      <c r="AB140" s="32" t="s">
        <v>34</v>
      </c>
      <c r="AC140" s="32" t="s">
        <v>35</v>
      </c>
      <c r="AD140" s="32" t="s">
        <v>36</v>
      </c>
      <c r="AE140" s="32" t="s">
        <v>37</v>
      </c>
      <c r="AF140" s="32" t="s">
        <v>38</v>
      </c>
      <c r="AG140" s="32" t="s">
        <v>39</v>
      </c>
      <c r="AH140" s="32" t="s">
        <v>40</v>
      </c>
      <c r="AI140" s="32" t="s">
        <v>41</v>
      </c>
      <c r="AJ140" s="32" t="s">
        <v>42</v>
      </c>
      <c r="AK140" s="32" t="s">
        <v>43</v>
      </c>
      <c r="AL140" s="32" t="s">
        <v>44</v>
      </c>
      <c r="AM140" s="29"/>
      <c r="AN140" s="29"/>
      <c r="AO140" s="29"/>
      <c r="AP140" s="29"/>
      <c r="AQ140" s="29"/>
      <c r="AR140" s="29"/>
      <c r="AS140" s="109"/>
      <c r="AT140" s="29"/>
      <c r="AU140" s="29"/>
      <c r="AV140" s="29"/>
      <c r="AW140" s="29"/>
      <c r="AX140" s="29"/>
      <c r="AY140" s="29"/>
      <c r="AZ140" s="109"/>
      <c r="BA140" s="29"/>
      <c r="BB140" s="29"/>
      <c r="BC140" s="29"/>
      <c r="BD140" s="29"/>
      <c r="BE140" s="29"/>
      <c r="BF140" s="29"/>
      <c r="BG140" s="29"/>
      <c r="BH140" s="109"/>
      <c r="BI140" s="29"/>
      <c r="BJ140" s="29"/>
      <c r="BK140" s="29"/>
      <c r="BL140" s="29"/>
      <c r="BM140" s="29"/>
      <c r="BN140" s="29"/>
      <c r="BO140" s="29"/>
      <c r="BP140" s="29"/>
      <c r="BQ140" s="29"/>
      <c r="BR140" s="29"/>
      <c r="BS140" s="29"/>
      <c r="BT140" s="29"/>
      <c r="BU140" s="29"/>
      <c r="BV140" s="29"/>
      <c r="BW140" s="29"/>
      <c r="BX140" s="29"/>
      <c r="BY140" s="29"/>
      <c r="BZ140" s="29"/>
      <c r="CA140" s="29"/>
      <c r="CB140" s="29"/>
      <c r="CC140" s="29"/>
      <c r="CD140" s="109"/>
      <c r="CE140" s="29"/>
      <c r="CF140" s="29"/>
      <c r="CG140" s="29"/>
      <c r="CH140" s="29"/>
      <c r="CI140" s="29"/>
      <c r="CJ140" s="29"/>
      <c r="CK140" s="29"/>
      <c r="CL140" s="29"/>
      <c r="CM140" s="29"/>
      <c r="CN140" s="29"/>
      <c r="CO140" s="29"/>
      <c r="CP140" s="29"/>
      <c r="CQ140" s="29"/>
      <c r="CR140" s="29"/>
      <c r="CS140" s="29"/>
      <c r="CT140" s="29"/>
      <c r="CU140" s="29"/>
      <c r="CV140" s="29"/>
      <c r="CW140" s="109"/>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row>
    <row r="141" spans="1:131">
      <c r="A141" s="7"/>
      <c r="B141" s="45" t="s">
        <v>335</v>
      </c>
      <c r="C141" s="115">
        <v>874.62918378164954</v>
      </c>
      <c r="D141" s="115">
        <v>170.2949289176633</v>
      </c>
      <c r="E141" s="115">
        <v>0</v>
      </c>
      <c r="F141" s="115">
        <v>170.2949289176633</v>
      </c>
      <c r="G141" s="115">
        <v>211.65694199213726</v>
      </c>
      <c r="H141" s="115">
        <v>1344.5950011538284</v>
      </c>
      <c r="I141" s="115">
        <v>1705.6183408706759</v>
      </c>
      <c r="J141" s="115">
        <v>-6249.1471452330461</v>
      </c>
      <c r="K141" s="115">
        <v>-6258.4103113834408</v>
      </c>
      <c r="L141" s="33">
        <v>13226.814858832739</v>
      </c>
      <c r="M141" s="29">
        <v>8.3093132338727784</v>
      </c>
      <c r="N141" s="35">
        <v>23.088658294324997</v>
      </c>
      <c r="O141" s="35">
        <v>17.056828376400315</v>
      </c>
      <c r="P141" s="35">
        <v>14.232255382842807</v>
      </c>
      <c r="Q141" s="35">
        <v>14.539143271160871</v>
      </c>
      <c r="R141" s="35">
        <v>15.924099265970383</v>
      </c>
      <c r="S141" s="35">
        <v>36.394727269919464</v>
      </c>
      <c r="T141" s="35">
        <v>185.18538463374344</v>
      </c>
      <c r="U141" s="35">
        <v>181.71295616056321</v>
      </c>
      <c r="V141" s="35">
        <v>48.36988325629698</v>
      </c>
      <c r="W141" s="35">
        <v>21.475200437975321</v>
      </c>
      <c r="X141" s="35">
        <v>16.813849659909344</v>
      </c>
      <c r="Y141" s="35">
        <v>29.003701952785896</v>
      </c>
      <c r="Z141" s="35"/>
      <c r="AA141" s="35">
        <v>22.305911001074087</v>
      </c>
      <c r="AB141" s="35">
        <v>15.727472571440773</v>
      </c>
      <c r="AC141" s="35">
        <v>11.493472295857973</v>
      </c>
      <c r="AD141" s="35">
        <v>11.304267024117506</v>
      </c>
      <c r="AE141" s="35">
        <v>7.9382184438191832</v>
      </c>
      <c r="AF141" s="35">
        <v>9.2658359704818753</v>
      </c>
      <c r="AG141" s="35">
        <v>69.958078677298161</v>
      </c>
      <c r="AH141" s="35">
        <v>52.240937410027314</v>
      </c>
      <c r="AI141" s="35">
        <v>21.113408333883271</v>
      </c>
      <c r="AJ141" s="35">
        <v>10.515912507771944</v>
      </c>
      <c r="AK141" s="35">
        <v>13.437217095144824</v>
      </c>
      <c r="AL141" s="35">
        <v>25.531764488839531</v>
      </c>
      <c r="AM141" s="29"/>
      <c r="AN141" s="29"/>
      <c r="AO141" s="29"/>
      <c r="AP141" s="29"/>
      <c r="AQ141" s="29"/>
      <c r="AR141" s="29"/>
      <c r="AS141" s="109"/>
      <c r="AT141" s="29"/>
      <c r="AU141" s="29"/>
      <c r="AV141" s="29"/>
      <c r="AW141" s="29"/>
      <c r="AX141" s="29"/>
      <c r="AY141" s="29"/>
      <c r="AZ141" s="109"/>
      <c r="BA141" s="29"/>
      <c r="BB141" s="29"/>
      <c r="BC141" s="29"/>
      <c r="BD141" s="29"/>
      <c r="BE141" s="29"/>
      <c r="BF141" s="29"/>
      <c r="BG141" s="29"/>
      <c r="BH141" s="109"/>
      <c r="BI141" s="29"/>
      <c r="BJ141" s="29"/>
      <c r="BK141" s="29"/>
      <c r="BL141" s="29"/>
      <c r="BM141" s="29"/>
      <c r="BN141" s="29"/>
      <c r="BO141" s="29"/>
      <c r="BP141" s="29"/>
      <c r="BQ141" s="29"/>
      <c r="BR141" s="29"/>
      <c r="BS141" s="29"/>
      <c r="BT141" s="29"/>
      <c r="BU141" s="29"/>
      <c r="BV141" s="29"/>
      <c r="BW141" s="29"/>
      <c r="BX141" s="29"/>
      <c r="BY141" s="29"/>
      <c r="BZ141" s="29"/>
      <c r="CA141" s="29"/>
      <c r="CB141" s="29"/>
      <c r="CC141" s="29"/>
      <c r="CD141" s="109"/>
      <c r="CE141" s="29"/>
      <c r="CF141" s="29"/>
      <c r="CG141" s="29"/>
      <c r="CH141" s="29"/>
      <c r="CI141" s="29"/>
      <c r="CJ141" s="29"/>
      <c r="CK141" s="29"/>
      <c r="CL141" s="29"/>
      <c r="CM141" s="29"/>
      <c r="CN141" s="29"/>
      <c r="CO141" s="29"/>
      <c r="CP141" s="29"/>
      <c r="CQ141" s="29"/>
      <c r="CR141" s="29"/>
      <c r="CS141" s="29"/>
      <c r="CT141" s="29"/>
      <c r="CU141" s="29"/>
      <c r="CV141" s="29"/>
      <c r="CW141" s="109"/>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row>
    <row r="142" spans="1:131">
      <c r="A142" s="7"/>
      <c r="B142" s="45" t="s">
        <v>336</v>
      </c>
      <c r="C142" s="115">
        <v>169.0298278611364</v>
      </c>
      <c r="D142" s="115">
        <v>80.823411921055211</v>
      </c>
      <c r="E142" s="115">
        <v>16.164682384211044</v>
      </c>
      <c r="F142" s="115">
        <v>96.988094305266259</v>
      </c>
      <c r="G142" s="115">
        <v>116.61885513795443</v>
      </c>
      <c r="H142" s="115">
        <v>152.90687988840597</v>
      </c>
      <c r="I142" s="115">
        <v>5026.4247255349501</v>
      </c>
      <c r="J142" s="115">
        <v>13.790670511348194</v>
      </c>
      <c r="K142" s="115">
        <v>22.457961847090477</v>
      </c>
      <c r="L142" s="33">
        <v>1.3111677327609208</v>
      </c>
      <c r="M142" s="29">
        <v>1.6058166452190394</v>
      </c>
      <c r="N142" s="35">
        <v>248.17876536438285</v>
      </c>
      <c r="O142" s="35">
        <v>181.22737372045688</v>
      </c>
      <c r="P142" s="35">
        <v>146.81157303791727</v>
      </c>
      <c r="Q142" s="35">
        <v>127.49373863793535</v>
      </c>
      <c r="R142" s="35">
        <v>47.739406810014927</v>
      </c>
      <c r="S142" s="35">
        <v>31.367284439703958</v>
      </c>
      <c r="T142" s="35">
        <v>95.808164472326581</v>
      </c>
      <c r="U142" s="35">
        <v>95.606498803406552</v>
      </c>
      <c r="V142" s="35">
        <v>54.160441222631682</v>
      </c>
      <c r="W142" s="35">
        <v>116.24722798959337</v>
      </c>
      <c r="X142" s="35">
        <v>179.60475675978915</v>
      </c>
      <c r="Y142" s="35">
        <v>313.40778332519869</v>
      </c>
      <c r="Z142" s="35"/>
      <c r="AA142" s="35">
        <v>235.48099247127945</v>
      </c>
      <c r="AB142" s="35">
        <v>166.78787557495269</v>
      </c>
      <c r="AC142" s="35">
        <v>123.16410134432171</v>
      </c>
      <c r="AD142" s="35">
        <v>114.93482537884849</v>
      </c>
      <c r="AE142" s="35">
        <v>45.729193900372628</v>
      </c>
      <c r="AF142" s="35">
        <v>14.29169882827936</v>
      </c>
      <c r="AG142" s="35">
        <v>45.777403789639457</v>
      </c>
      <c r="AH142" s="35">
        <v>32.686608377672094</v>
      </c>
      <c r="AI142" s="35">
        <v>30.457499107868195</v>
      </c>
      <c r="AJ142" s="35">
        <v>71.244619724262876</v>
      </c>
      <c r="AK142" s="35">
        <v>141.42365515778036</v>
      </c>
      <c r="AL142" s="35">
        <v>271.20580705953188</v>
      </c>
      <c r="AM142" s="29"/>
      <c r="AN142" s="29"/>
      <c r="AO142" s="29"/>
      <c r="AP142" s="29"/>
      <c r="AQ142" s="29"/>
      <c r="AR142" s="29"/>
      <c r="AS142" s="109"/>
      <c r="AT142" s="29"/>
      <c r="AU142" s="29"/>
      <c r="AV142" s="29"/>
      <c r="AW142" s="29"/>
      <c r="AX142" s="29"/>
      <c r="AY142" s="29"/>
      <c r="AZ142" s="109"/>
      <c r="BA142" s="29"/>
      <c r="BB142" s="29"/>
      <c r="BC142" s="29"/>
      <c r="BD142" s="29"/>
      <c r="BE142" s="29"/>
      <c r="BF142" s="29"/>
      <c r="BG142" s="29"/>
      <c r="BH142" s="10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109"/>
      <c r="CE142" s="29"/>
      <c r="CF142" s="29"/>
      <c r="CG142" s="29"/>
      <c r="CH142" s="29"/>
      <c r="CI142" s="29"/>
      <c r="CJ142" s="29"/>
      <c r="CK142" s="29"/>
      <c r="CL142" s="29"/>
      <c r="CM142" s="29"/>
      <c r="CN142" s="29"/>
      <c r="CO142" s="29"/>
      <c r="CP142" s="29"/>
      <c r="CQ142" s="29"/>
      <c r="CR142" s="29"/>
      <c r="CS142" s="29"/>
      <c r="CT142" s="29"/>
      <c r="CU142" s="29"/>
      <c r="CV142" s="29"/>
      <c r="CW142" s="109"/>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row>
    <row r="143" spans="1:131">
      <c r="A143" s="7"/>
      <c r="B143" s="45" t="s">
        <v>337</v>
      </c>
      <c r="C143" s="116"/>
      <c r="D143" s="116"/>
      <c r="E143" s="116"/>
      <c r="F143" s="116"/>
      <c r="G143" s="116"/>
      <c r="H143" s="116"/>
      <c r="I143" s="116"/>
      <c r="J143" s="116"/>
      <c r="K143" s="116"/>
      <c r="L143" s="109"/>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7"/>
      <c r="AL143" s="117"/>
      <c r="AM143" s="29"/>
      <c r="AN143" s="29"/>
      <c r="AO143" s="29"/>
      <c r="AP143" s="29"/>
      <c r="AQ143" s="29"/>
      <c r="AR143" s="29"/>
      <c r="AS143" s="109"/>
      <c r="AT143" s="29"/>
      <c r="AU143" s="29"/>
      <c r="AV143" s="29"/>
      <c r="AW143" s="29"/>
      <c r="AX143" s="29"/>
      <c r="AY143" s="29"/>
      <c r="AZ143" s="109"/>
      <c r="BA143" s="29"/>
      <c r="BB143" s="29"/>
      <c r="BC143" s="29"/>
      <c r="BD143" s="29"/>
      <c r="BE143" s="29"/>
      <c r="BF143" s="29"/>
      <c r="BG143" s="29"/>
      <c r="BH143" s="10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109"/>
      <c r="CE143" s="29"/>
      <c r="CF143" s="29"/>
      <c r="CG143" s="29"/>
      <c r="CH143" s="29"/>
      <c r="CI143" s="29"/>
      <c r="CJ143" s="29"/>
      <c r="CK143" s="29"/>
      <c r="CL143" s="29"/>
      <c r="CM143" s="29"/>
      <c r="CN143" s="29"/>
      <c r="CO143" s="29"/>
      <c r="CP143" s="29"/>
      <c r="CQ143" s="29"/>
      <c r="CR143" s="29"/>
      <c r="CS143" s="29"/>
      <c r="CT143" s="29"/>
      <c r="CU143" s="29"/>
      <c r="CV143" s="29"/>
      <c r="CW143" s="109"/>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row>
    <row r="144" spans="1:131">
      <c r="A144" s="7"/>
      <c r="B144" s="7" t="s">
        <v>68</v>
      </c>
      <c r="C144" s="117">
        <v>0</v>
      </c>
      <c r="D144" s="117">
        <v>0</v>
      </c>
      <c r="E144" s="117">
        <v>0</v>
      </c>
      <c r="F144" s="117">
        <v>0</v>
      </c>
      <c r="G144" s="117">
        <v>0</v>
      </c>
      <c r="H144" s="117">
        <v>0</v>
      </c>
      <c r="I144" s="117">
        <v>0</v>
      </c>
      <c r="J144" s="117">
        <v>0</v>
      </c>
      <c r="K144" s="117">
        <v>0</v>
      </c>
      <c r="L144" s="109">
        <v>0</v>
      </c>
      <c r="M144" s="117">
        <v>0</v>
      </c>
      <c r="N144" s="117">
        <v>0</v>
      </c>
      <c r="O144" s="117">
        <v>0</v>
      </c>
      <c r="P144" s="117">
        <v>0</v>
      </c>
      <c r="Q144" s="117">
        <v>0</v>
      </c>
      <c r="R144" s="117">
        <v>0</v>
      </c>
      <c r="S144" s="117">
        <v>0</v>
      </c>
      <c r="T144" s="117">
        <v>0</v>
      </c>
      <c r="U144" s="117">
        <v>0</v>
      </c>
      <c r="V144" s="117">
        <v>0</v>
      </c>
      <c r="W144" s="117">
        <v>0</v>
      </c>
      <c r="X144" s="117">
        <v>0</v>
      </c>
      <c r="Y144" s="117">
        <v>0</v>
      </c>
      <c r="Z144" s="117"/>
      <c r="AA144" s="117">
        <v>0</v>
      </c>
      <c r="AB144" s="117">
        <v>0</v>
      </c>
      <c r="AC144" s="117">
        <v>0</v>
      </c>
      <c r="AD144" s="117">
        <v>0</v>
      </c>
      <c r="AE144" s="117">
        <v>0</v>
      </c>
      <c r="AF144" s="117">
        <v>0</v>
      </c>
      <c r="AG144" s="117">
        <v>0</v>
      </c>
      <c r="AH144" s="117">
        <v>0</v>
      </c>
      <c r="AI144" s="117">
        <v>0</v>
      </c>
      <c r="AJ144" s="117">
        <v>0</v>
      </c>
      <c r="AK144" s="117">
        <v>0</v>
      </c>
      <c r="AL144" s="117">
        <v>0</v>
      </c>
      <c r="AM144" s="29"/>
      <c r="AN144" s="29"/>
      <c r="AO144" s="29"/>
      <c r="AP144" s="29"/>
      <c r="AQ144" s="29"/>
      <c r="AR144" s="29"/>
      <c r="AS144" s="109"/>
      <c r="AT144" s="29"/>
      <c r="AU144" s="29"/>
      <c r="AV144" s="29"/>
      <c r="AW144" s="29"/>
      <c r="AX144" s="29"/>
      <c r="AY144" s="29"/>
      <c r="AZ144" s="109"/>
      <c r="BA144" s="29"/>
      <c r="BB144" s="29"/>
      <c r="BC144" s="29"/>
      <c r="BD144" s="29"/>
      <c r="BE144" s="29"/>
      <c r="BF144" s="29"/>
      <c r="BG144" s="29"/>
      <c r="BH144" s="109"/>
      <c r="BI144" s="29"/>
      <c r="BJ144" s="29"/>
      <c r="BK144" s="29"/>
      <c r="BL144" s="29"/>
      <c r="BM144" s="29"/>
      <c r="BN144" s="29"/>
      <c r="BO144" s="29"/>
      <c r="BP144" s="29"/>
      <c r="BQ144" s="29"/>
      <c r="BR144" s="29"/>
      <c r="BS144" s="29"/>
      <c r="BT144" s="29"/>
      <c r="BU144" s="29"/>
      <c r="BV144" s="29"/>
      <c r="BW144" s="29"/>
      <c r="BX144" s="29"/>
      <c r="BY144" s="29"/>
      <c r="BZ144" s="29"/>
      <c r="CA144" s="29"/>
      <c r="CB144" s="29"/>
      <c r="CC144" s="29"/>
      <c r="CD144" s="109"/>
      <c r="CE144" s="29"/>
      <c r="CF144" s="29"/>
      <c r="CG144" s="29"/>
      <c r="CH144" s="29"/>
      <c r="CI144" s="29"/>
      <c r="CJ144" s="29"/>
      <c r="CK144" s="29"/>
      <c r="CL144" s="29"/>
      <c r="CM144" s="29"/>
      <c r="CN144" s="29"/>
      <c r="CO144" s="29"/>
      <c r="CP144" s="29"/>
      <c r="CQ144" s="29"/>
      <c r="CR144" s="29"/>
      <c r="CS144" s="29"/>
      <c r="CT144" s="29"/>
      <c r="CU144" s="29"/>
      <c r="CV144" s="29"/>
      <c r="CW144" s="109"/>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row>
    <row r="145" spans="1:131">
      <c r="A145" s="7"/>
      <c r="B145" s="7" t="s">
        <v>71</v>
      </c>
      <c r="C145" s="117">
        <v>0</v>
      </c>
      <c r="D145" s="117">
        <v>0</v>
      </c>
      <c r="E145" s="117">
        <v>0</v>
      </c>
      <c r="F145" s="117">
        <v>0</v>
      </c>
      <c r="G145" s="117">
        <v>0</v>
      </c>
      <c r="H145" s="117">
        <v>0</v>
      </c>
      <c r="I145" s="117">
        <v>0</v>
      </c>
      <c r="J145" s="117">
        <v>0</v>
      </c>
      <c r="K145" s="117">
        <v>0</v>
      </c>
      <c r="L145" s="118">
        <v>0</v>
      </c>
      <c r="M145" s="117">
        <v>0</v>
      </c>
      <c r="N145" s="117">
        <v>0</v>
      </c>
      <c r="O145" s="117">
        <v>0</v>
      </c>
      <c r="P145" s="117">
        <v>0</v>
      </c>
      <c r="Q145" s="117">
        <v>0</v>
      </c>
      <c r="R145" s="117">
        <v>0</v>
      </c>
      <c r="S145" s="117">
        <v>0</v>
      </c>
      <c r="T145" s="117">
        <v>0</v>
      </c>
      <c r="U145" s="117">
        <v>0</v>
      </c>
      <c r="V145" s="117">
        <v>0</v>
      </c>
      <c r="W145" s="117">
        <v>0</v>
      </c>
      <c r="X145" s="117">
        <v>0</v>
      </c>
      <c r="Y145" s="117">
        <v>0</v>
      </c>
      <c r="Z145" s="117"/>
      <c r="AA145" s="117">
        <v>0</v>
      </c>
      <c r="AB145" s="117">
        <v>0</v>
      </c>
      <c r="AC145" s="117">
        <v>0</v>
      </c>
      <c r="AD145" s="117">
        <v>0</v>
      </c>
      <c r="AE145" s="117">
        <v>0</v>
      </c>
      <c r="AF145" s="117">
        <v>0</v>
      </c>
      <c r="AG145" s="117">
        <v>0</v>
      </c>
      <c r="AH145" s="117">
        <v>0</v>
      </c>
      <c r="AI145" s="117">
        <v>0</v>
      </c>
      <c r="AJ145" s="117">
        <v>0</v>
      </c>
      <c r="AK145" s="117">
        <v>0</v>
      </c>
      <c r="AL145" s="117">
        <v>0</v>
      </c>
      <c r="AM145" s="29"/>
      <c r="AN145" s="29"/>
      <c r="AO145" s="29"/>
      <c r="AP145" s="29"/>
      <c r="AQ145" s="29"/>
      <c r="AR145" s="29"/>
      <c r="AS145" s="109"/>
      <c r="AT145" s="29"/>
      <c r="AU145" s="29"/>
      <c r="AV145" s="29"/>
      <c r="AW145" s="29"/>
      <c r="AX145" s="29"/>
      <c r="AY145" s="29"/>
      <c r="AZ145" s="109"/>
      <c r="BA145" s="29"/>
      <c r="BB145" s="29"/>
      <c r="BC145" s="29"/>
      <c r="BD145" s="29"/>
      <c r="BE145" s="29"/>
      <c r="BF145" s="29"/>
      <c r="BG145" s="29"/>
      <c r="BH145" s="109"/>
      <c r="BI145" s="29"/>
      <c r="BJ145" s="29"/>
      <c r="BK145" s="29"/>
      <c r="BL145" s="29"/>
      <c r="BM145" s="29"/>
      <c r="BN145" s="29"/>
      <c r="BO145" s="29"/>
      <c r="BP145" s="29"/>
      <c r="BQ145" s="29"/>
      <c r="BR145" s="29"/>
      <c r="BS145" s="29"/>
      <c r="BT145" s="29"/>
      <c r="BU145" s="29"/>
      <c r="BV145" s="29"/>
      <c r="BW145" s="29"/>
      <c r="BX145" s="29"/>
      <c r="BY145" s="29"/>
      <c r="BZ145" s="29"/>
      <c r="CA145" s="29"/>
      <c r="CB145" s="29"/>
      <c r="CC145" s="29"/>
      <c r="CD145" s="109"/>
      <c r="CE145" s="29"/>
      <c r="CF145" s="29"/>
      <c r="CG145" s="29"/>
      <c r="CH145" s="29"/>
      <c r="CI145" s="29"/>
      <c r="CJ145" s="29"/>
      <c r="CK145" s="29"/>
      <c r="CL145" s="29"/>
      <c r="CM145" s="29"/>
      <c r="CN145" s="29"/>
      <c r="CO145" s="29"/>
      <c r="CP145" s="29"/>
      <c r="CQ145" s="29"/>
      <c r="CR145" s="29"/>
      <c r="CS145" s="29"/>
      <c r="CT145" s="29"/>
      <c r="CU145" s="29"/>
      <c r="CV145" s="29"/>
      <c r="CW145" s="109"/>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row>
    <row r="146" spans="1:131">
      <c r="A146" s="7"/>
      <c r="B146" s="7" t="s">
        <v>74</v>
      </c>
      <c r="C146" s="117">
        <v>0</v>
      </c>
      <c r="D146" s="117">
        <v>0</v>
      </c>
      <c r="E146" s="117">
        <v>0</v>
      </c>
      <c r="F146" s="117">
        <v>0</v>
      </c>
      <c r="G146" s="117">
        <v>0</v>
      </c>
      <c r="H146" s="117">
        <v>0</v>
      </c>
      <c r="I146" s="117">
        <v>0</v>
      </c>
      <c r="J146" s="117">
        <v>0</v>
      </c>
      <c r="K146" s="117">
        <v>0</v>
      </c>
      <c r="L146" s="118">
        <v>0</v>
      </c>
      <c r="M146" s="117">
        <v>0</v>
      </c>
      <c r="N146" s="117">
        <v>0</v>
      </c>
      <c r="O146" s="117">
        <v>0</v>
      </c>
      <c r="P146" s="117">
        <v>0</v>
      </c>
      <c r="Q146" s="117">
        <v>0</v>
      </c>
      <c r="R146" s="117">
        <v>0</v>
      </c>
      <c r="S146" s="117">
        <v>0</v>
      </c>
      <c r="T146" s="117">
        <v>0</v>
      </c>
      <c r="U146" s="117">
        <v>0</v>
      </c>
      <c r="V146" s="117">
        <v>0</v>
      </c>
      <c r="W146" s="117">
        <v>0</v>
      </c>
      <c r="X146" s="117">
        <v>0</v>
      </c>
      <c r="Y146" s="117">
        <v>0</v>
      </c>
      <c r="Z146" s="117"/>
      <c r="AA146" s="117">
        <v>0</v>
      </c>
      <c r="AB146" s="117">
        <v>0</v>
      </c>
      <c r="AC146" s="117">
        <v>0</v>
      </c>
      <c r="AD146" s="117">
        <v>0</v>
      </c>
      <c r="AE146" s="117">
        <v>0</v>
      </c>
      <c r="AF146" s="117">
        <v>0</v>
      </c>
      <c r="AG146" s="117">
        <v>0</v>
      </c>
      <c r="AH146" s="117">
        <v>0</v>
      </c>
      <c r="AI146" s="117">
        <v>0</v>
      </c>
      <c r="AJ146" s="117">
        <v>0</v>
      </c>
      <c r="AK146" s="117">
        <v>0</v>
      </c>
      <c r="AL146" s="117">
        <v>0</v>
      </c>
      <c r="AM146" s="29"/>
      <c r="AN146" s="29"/>
      <c r="AO146" s="29"/>
      <c r="AP146" s="29"/>
      <c r="AQ146" s="29"/>
      <c r="AR146" s="29"/>
      <c r="AS146" s="109"/>
      <c r="AT146" s="29"/>
      <c r="AU146" s="29"/>
      <c r="AV146" s="29"/>
      <c r="AW146" s="29"/>
      <c r="AX146" s="29"/>
      <c r="AY146" s="29"/>
      <c r="AZ146" s="109"/>
      <c r="BA146" s="29"/>
      <c r="BB146" s="29"/>
      <c r="BC146" s="29"/>
      <c r="BD146" s="29"/>
      <c r="BE146" s="29"/>
      <c r="BF146" s="29"/>
      <c r="BG146" s="29"/>
      <c r="BH146" s="10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109"/>
      <c r="CE146" s="29"/>
      <c r="CF146" s="29"/>
      <c r="CG146" s="29"/>
      <c r="CH146" s="29"/>
      <c r="CI146" s="29"/>
      <c r="CJ146" s="29"/>
      <c r="CK146" s="29"/>
      <c r="CL146" s="29"/>
      <c r="CM146" s="29"/>
      <c r="CN146" s="29"/>
      <c r="CO146" s="29"/>
      <c r="CP146" s="29"/>
      <c r="CQ146" s="29"/>
      <c r="CR146" s="29"/>
      <c r="CS146" s="29"/>
      <c r="CT146" s="29"/>
      <c r="CU146" s="29"/>
      <c r="CV146" s="29"/>
      <c r="CW146" s="109"/>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row>
    <row r="147" spans="1:131">
      <c r="A147" s="7"/>
      <c r="B147" s="7" t="s">
        <v>77</v>
      </c>
      <c r="C147" s="29">
        <v>169.0298278611364</v>
      </c>
      <c r="D147" s="29">
        <v>80.823411921055211</v>
      </c>
      <c r="E147" s="29">
        <v>16.164682384211044</v>
      </c>
      <c r="F147" s="29">
        <v>96.988094305266259</v>
      </c>
      <c r="G147" s="29">
        <v>116.61885513795443</v>
      </c>
      <c r="H147" s="29">
        <v>152.90687988840597</v>
      </c>
      <c r="I147" s="29">
        <v>5026.4247255349501</v>
      </c>
      <c r="J147" s="29">
        <v>13.790670511348194</v>
      </c>
      <c r="K147" s="29">
        <v>22.457961847090477</v>
      </c>
      <c r="L147" s="33">
        <v>1.3111677327609208</v>
      </c>
      <c r="M147" s="29">
        <v>1.6058166452190394</v>
      </c>
      <c r="N147" s="35">
        <v>12.006471379831348</v>
      </c>
      <c r="O147" s="35">
        <v>8.7674756243627332</v>
      </c>
      <c r="P147" s="35">
        <v>7.1024970541687775</v>
      </c>
      <c r="Q147" s="35">
        <v>6.3689748539510038</v>
      </c>
      <c r="R147" s="35">
        <v>3.2948142482423166</v>
      </c>
      <c r="S147" s="35">
        <v>2.6322935400729328</v>
      </c>
      <c r="T147" s="35">
        <v>12.261637239554869</v>
      </c>
      <c r="U147" s="35">
        <v>12.279938120216404</v>
      </c>
      <c r="V147" s="35">
        <v>5.7041289355993063</v>
      </c>
      <c r="W147" s="35">
        <v>6.17316658743239</v>
      </c>
      <c r="X147" s="35">
        <v>8.688976144078504</v>
      </c>
      <c r="Y147" s="35">
        <v>15.162141592515209</v>
      </c>
      <c r="Z147" s="35"/>
      <c r="AA147" s="35">
        <v>11.392174477335256</v>
      </c>
      <c r="AB147" s="35">
        <v>8.068916982697397</v>
      </c>
      <c r="AC147" s="35">
        <v>5.9584721345602674</v>
      </c>
      <c r="AD147" s="35">
        <v>5.6159043522117962</v>
      </c>
      <c r="AE147" s="35">
        <v>2.5124730163358895</v>
      </c>
      <c r="AF147" s="35">
        <v>0.94116177866344886</v>
      </c>
      <c r="AG147" s="35">
        <v>4.6530354811797849</v>
      </c>
      <c r="AH147" s="35">
        <v>3.2448936274537363</v>
      </c>
      <c r="AI147" s="35">
        <v>2.6165858770467385</v>
      </c>
      <c r="AJ147" s="35">
        <v>3.6213752279299483</v>
      </c>
      <c r="AK147" s="35">
        <v>6.8418386463885383</v>
      </c>
      <c r="AL147" s="35">
        <v>13.120480939307816</v>
      </c>
      <c r="AM147" s="29"/>
      <c r="AN147" s="29"/>
      <c r="AO147" s="29"/>
      <c r="AP147" s="29"/>
      <c r="AQ147" s="29"/>
      <c r="AR147" s="29"/>
      <c r="AS147" s="109"/>
      <c r="AT147" s="29"/>
      <c r="AU147" s="29"/>
      <c r="AV147" s="29"/>
      <c r="AW147" s="29"/>
      <c r="AX147" s="29"/>
      <c r="AY147" s="29"/>
      <c r="AZ147" s="109"/>
      <c r="BA147" s="29"/>
      <c r="BB147" s="29"/>
      <c r="BC147" s="29"/>
      <c r="BD147" s="29"/>
      <c r="BE147" s="29"/>
      <c r="BF147" s="29"/>
      <c r="BG147" s="29"/>
      <c r="BH147" s="109"/>
      <c r="BI147" s="29"/>
      <c r="BJ147" s="29"/>
      <c r="BK147" s="29"/>
      <c r="BL147" s="29"/>
      <c r="BM147" s="29"/>
      <c r="BN147" s="29"/>
      <c r="BO147" s="29"/>
      <c r="BP147" s="29"/>
      <c r="BQ147" s="29"/>
      <c r="BR147" s="29"/>
      <c r="BS147" s="29"/>
      <c r="BT147" s="29"/>
      <c r="BU147" s="29"/>
      <c r="BV147" s="29"/>
      <c r="BW147" s="29"/>
      <c r="BX147" s="29"/>
      <c r="BY147" s="29"/>
      <c r="BZ147" s="29"/>
      <c r="CA147" s="29"/>
      <c r="CB147" s="29"/>
      <c r="CC147" s="29"/>
      <c r="CD147" s="109"/>
      <c r="CE147" s="29"/>
      <c r="CF147" s="29"/>
      <c r="CG147" s="29"/>
      <c r="CH147" s="29"/>
      <c r="CI147" s="29"/>
      <c r="CJ147" s="29"/>
      <c r="CK147" s="29"/>
      <c r="CL147" s="29"/>
      <c r="CM147" s="29"/>
      <c r="CN147" s="29"/>
      <c r="CO147" s="29"/>
      <c r="CP147" s="29"/>
      <c r="CQ147" s="29"/>
      <c r="CR147" s="29"/>
      <c r="CS147" s="29"/>
      <c r="CT147" s="29"/>
      <c r="CU147" s="29"/>
      <c r="CV147" s="29"/>
      <c r="CW147" s="109"/>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row>
    <row r="148" spans="1:131">
      <c r="A148" s="7"/>
      <c r="B148" s="7" t="s">
        <v>80</v>
      </c>
      <c r="C148" s="117">
        <v>0</v>
      </c>
      <c r="D148" s="117">
        <v>0</v>
      </c>
      <c r="E148" s="117">
        <v>0</v>
      </c>
      <c r="F148" s="117">
        <v>0</v>
      </c>
      <c r="G148" s="117">
        <v>0</v>
      </c>
      <c r="H148" s="117">
        <v>0</v>
      </c>
      <c r="I148" s="117">
        <v>0</v>
      </c>
      <c r="J148" s="117">
        <v>0</v>
      </c>
      <c r="K148" s="117">
        <v>0</v>
      </c>
      <c r="L148" s="118">
        <v>0</v>
      </c>
      <c r="M148" s="117">
        <v>0</v>
      </c>
      <c r="N148" s="117">
        <v>0</v>
      </c>
      <c r="O148" s="117">
        <v>0</v>
      </c>
      <c r="P148" s="117">
        <v>0</v>
      </c>
      <c r="Q148" s="117">
        <v>0</v>
      </c>
      <c r="R148" s="117">
        <v>0</v>
      </c>
      <c r="S148" s="117">
        <v>0</v>
      </c>
      <c r="T148" s="117">
        <v>0</v>
      </c>
      <c r="U148" s="117">
        <v>0</v>
      </c>
      <c r="V148" s="117">
        <v>0</v>
      </c>
      <c r="W148" s="117">
        <v>0</v>
      </c>
      <c r="X148" s="117">
        <v>0</v>
      </c>
      <c r="Y148" s="117">
        <v>0</v>
      </c>
      <c r="Z148" s="117"/>
      <c r="AA148" s="117">
        <v>0</v>
      </c>
      <c r="AB148" s="117">
        <v>0</v>
      </c>
      <c r="AC148" s="117">
        <v>0</v>
      </c>
      <c r="AD148" s="117">
        <v>0</v>
      </c>
      <c r="AE148" s="117">
        <v>0</v>
      </c>
      <c r="AF148" s="117">
        <v>0</v>
      </c>
      <c r="AG148" s="117">
        <v>0</v>
      </c>
      <c r="AH148" s="117">
        <v>0</v>
      </c>
      <c r="AI148" s="117">
        <v>0</v>
      </c>
      <c r="AJ148" s="117">
        <v>0</v>
      </c>
      <c r="AK148" s="117">
        <v>0</v>
      </c>
      <c r="AL148" s="117">
        <v>0</v>
      </c>
      <c r="AM148" s="29"/>
      <c r="AN148" s="29"/>
      <c r="AO148" s="29"/>
      <c r="AP148" s="29"/>
      <c r="AQ148" s="29"/>
      <c r="AR148" s="29"/>
      <c r="AS148" s="109"/>
      <c r="AT148" s="29"/>
      <c r="AU148" s="29"/>
      <c r="AV148" s="29"/>
      <c r="AW148" s="29"/>
      <c r="AX148" s="29"/>
      <c r="AY148" s="29"/>
      <c r="AZ148" s="109"/>
      <c r="BA148" s="29"/>
      <c r="BB148" s="29"/>
      <c r="BC148" s="29"/>
      <c r="BD148" s="29"/>
      <c r="BE148" s="29"/>
      <c r="BF148" s="29"/>
      <c r="BG148" s="29"/>
      <c r="BH148" s="10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109"/>
      <c r="CE148" s="29"/>
      <c r="CF148" s="29"/>
      <c r="CG148" s="29"/>
      <c r="CH148" s="29"/>
      <c r="CI148" s="29"/>
      <c r="CJ148" s="29"/>
      <c r="CK148" s="29"/>
      <c r="CL148" s="29"/>
      <c r="CM148" s="29"/>
      <c r="CN148" s="29"/>
      <c r="CO148" s="29"/>
      <c r="CP148" s="29"/>
      <c r="CQ148" s="29"/>
      <c r="CR148" s="29"/>
      <c r="CS148" s="29"/>
      <c r="CT148" s="29"/>
      <c r="CU148" s="29"/>
      <c r="CV148" s="29"/>
      <c r="CW148" s="109"/>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row>
    <row r="149" spans="1:131">
      <c r="A149" s="7"/>
      <c r="B149" s="7" t="s">
        <v>83</v>
      </c>
      <c r="C149" s="29">
        <v>124.08062075865485</v>
      </c>
      <c r="D149" s="29">
        <v>89.471516996608102</v>
      </c>
      <c r="E149" s="29">
        <v>17.894303399321622</v>
      </c>
      <c r="F149" s="29">
        <v>107.36582039592972</v>
      </c>
      <c r="G149" s="29">
        <v>129.09707263771551</v>
      </c>
      <c r="H149" s="29">
        <v>120.7781117539098</v>
      </c>
      <c r="I149" s="29">
        <v>7579.9474641388833</v>
      </c>
      <c r="J149" s="29">
        <v>25.807435735748005</v>
      </c>
      <c r="K149" s="29">
        <v>43.176739339049384</v>
      </c>
      <c r="L149" s="109">
        <v>0.93556042198453893</v>
      </c>
      <c r="M149" s="29">
        <v>1.1787802224710189</v>
      </c>
      <c r="N149" s="35">
        <v>10.610589241779071</v>
      </c>
      <c r="O149" s="35">
        <v>7.7481617699679397</v>
      </c>
      <c r="P149" s="35">
        <v>6.2767549639375693</v>
      </c>
      <c r="Q149" s="35">
        <v>5.441811550458886</v>
      </c>
      <c r="R149" s="35">
        <v>1.9967766602870736</v>
      </c>
      <c r="S149" s="35">
        <v>1.2909862967048349</v>
      </c>
      <c r="T149" s="35">
        <v>3.7535222094406371</v>
      </c>
      <c r="U149" s="35">
        <v>3.7436397019873975</v>
      </c>
      <c r="V149" s="35">
        <v>2.1770125722317299</v>
      </c>
      <c r="W149" s="35">
        <v>4.9453330739294623</v>
      </c>
      <c r="X149" s="35">
        <v>7.6787887031742885</v>
      </c>
      <c r="Y149" s="35">
        <v>13.399378666251623</v>
      </c>
      <c r="Z149" s="35"/>
      <c r="AA149" s="35">
        <v>10.067710997315643</v>
      </c>
      <c r="AB149" s="35">
        <v>7.1308181247353346</v>
      </c>
      <c r="AC149" s="35">
        <v>5.2657353129253561</v>
      </c>
      <c r="AD149" s="35">
        <v>4.9114066188347252</v>
      </c>
      <c r="AE149" s="35">
        <v>1.9416116454835579</v>
      </c>
      <c r="AF149" s="35">
        <v>0.59980391695016422</v>
      </c>
      <c r="AG149" s="35">
        <v>1.8476079231232834</v>
      </c>
      <c r="AH149" s="35">
        <v>1.3227375289491934</v>
      </c>
      <c r="AI149" s="35">
        <v>1.2508177803952734</v>
      </c>
      <c r="AJ149" s="35">
        <v>3.0381314420568901</v>
      </c>
      <c r="AK149" s="35">
        <v>6.0464009148688147</v>
      </c>
      <c r="AL149" s="35">
        <v>11.595083142866111</v>
      </c>
      <c r="AM149" s="29"/>
      <c r="AN149" s="29"/>
      <c r="AO149" s="29"/>
      <c r="AP149" s="29"/>
      <c r="AQ149" s="29"/>
      <c r="AR149" s="29"/>
      <c r="AS149" s="109"/>
      <c r="AT149" s="29"/>
      <c r="AU149" s="29"/>
      <c r="AV149" s="29"/>
      <c r="AW149" s="29"/>
      <c r="AX149" s="29"/>
      <c r="AY149" s="29"/>
      <c r="AZ149" s="109"/>
      <c r="BA149" s="29"/>
      <c r="BB149" s="29"/>
      <c r="BC149" s="29"/>
      <c r="BD149" s="29"/>
      <c r="BE149" s="29"/>
      <c r="BF149" s="29"/>
      <c r="BG149" s="29"/>
      <c r="BH149" s="10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109"/>
      <c r="CE149" s="29"/>
      <c r="CF149" s="29"/>
      <c r="CG149" s="29"/>
      <c r="CH149" s="29"/>
      <c r="CI149" s="29"/>
      <c r="CJ149" s="29"/>
      <c r="CK149" s="29"/>
      <c r="CL149" s="29"/>
      <c r="CM149" s="29"/>
      <c r="CN149" s="29"/>
      <c r="CO149" s="29"/>
      <c r="CP149" s="29"/>
      <c r="CQ149" s="29"/>
      <c r="CR149" s="29"/>
      <c r="CS149" s="29"/>
      <c r="CT149" s="29"/>
      <c r="CU149" s="29"/>
      <c r="CV149" s="29"/>
      <c r="CW149" s="109"/>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row>
    <row r="150" spans="1:131">
      <c r="A150" s="7"/>
      <c r="B150" s="7" t="s">
        <v>86</v>
      </c>
      <c r="C150" s="117">
        <v>0</v>
      </c>
      <c r="D150" s="117">
        <v>0</v>
      </c>
      <c r="E150" s="117">
        <v>0</v>
      </c>
      <c r="F150" s="117">
        <v>0</v>
      </c>
      <c r="G150" s="117">
        <v>0</v>
      </c>
      <c r="H150" s="117">
        <v>0</v>
      </c>
      <c r="I150" s="117">
        <v>0</v>
      </c>
      <c r="J150" s="117">
        <v>0</v>
      </c>
      <c r="K150" s="117">
        <v>0</v>
      </c>
      <c r="L150" s="118">
        <v>0</v>
      </c>
      <c r="M150" s="117">
        <v>0</v>
      </c>
      <c r="N150" s="117">
        <v>0</v>
      </c>
      <c r="O150" s="117">
        <v>0</v>
      </c>
      <c r="P150" s="117">
        <v>0</v>
      </c>
      <c r="Q150" s="117">
        <v>0</v>
      </c>
      <c r="R150" s="117">
        <v>0</v>
      </c>
      <c r="S150" s="117">
        <v>0</v>
      </c>
      <c r="T150" s="117">
        <v>0</v>
      </c>
      <c r="U150" s="117">
        <v>0</v>
      </c>
      <c r="V150" s="117">
        <v>0</v>
      </c>
      <c r="W150" s="117">
        <v>0</v>
      </c>
      <c r="X150" s="117">
        <v>0</v>
      </c>
      <c r="Y150" s="117">
        <v>0</v>
      </c>
      <c r="Z150" s="117"/>
      <c r="AA150" s="117">
        <v>0</v>
      </c>
      <c r="AB150" s="117">
        <v>0</v>
      </c>
      <c r="AC150" s="117">
        <v>0</v>
      </c>
      <c r="AD150" s="117">
        <v>0</v>
      </c>
      <c r="AE150" s="117">
        <v>0</v>
      </c>
      <c r="AF150" s="117">
        <v>0</v>
      </c>
      <c r="AG150" s="117">
        <v>0</v>
      </c>
      <c r="AH150" s="117">
        <v>0</v>
      </c>
      <c r="AI150" s="117">
        <v>0</v>
      </c>
      <c r="AJ150" s="117">
        <v>0</v>
      </c>
      <c r="AK150" s="117">
        <v>0</v>
      </c>
      <c r="AL150" s="117">
        <v>0</v>
      </c>
      <c r="AM150" s="29"/>
      <c r="AN150" s="29"/>
      <c r="AO150" s="29"/>
      <c r="AP150" s="29"/>
      <c r="AQ150" s="29"/>
      <c r="AR150" s="29"/>
      <c r="AS150" s="109"/>
      <c r="AT150" s="29"/>
      <c r="AU150" s="29"/>
      <c r="AV150" s="29"/>
      <c r="AW150" s="29"/>
      <c r="AX150" s="29"/>
      <c r="AY150" s="29"/>
      <c r="AZ150" s="109"/>
      <c r="BA150" s="29"/>
      <c r="BB150" s="29"/>
      <c r="BC150" s="29"/>
      <c r="BD150" s="29"/>
      <c r="BE150" s="29"/>
      <c r="BF150" s="29"/>
      <c r="BG150" s="29"/>
      <c r="BH150" s="109"/>
      <c r="BI150" s="29"/>
      <c r="BJ150" s="29"/>
      <c r="BK150" s="29"/>
      <c r="BL150" s="29"/>
      <c r="BM150" s="29"/>
      <c r="BN150" s="29"/>
      <c r="BO150" s="29"/>
      <c r="BP150" s="29"/>
      <c r="BQ150" s="29"/>
      <c r="BR150" s="29"/>
      <c r="BS150" s="29"/>
      <c r="BT150" s="29"/>
      <c r="BU150" s="29"/>
      <c r="BV150" s="29"/>
      <c r="BW150" s="29"/>
      <c r="BX150" s="29"/>
      <c r="BY150" s="29"/>
      <c r="BZ150" s="29"/>
      <c r="CA150" s="29"/>
      <c r="CB150" s="29"/>
      <c r="CC150" s="29"/>
      <c r="CD150" s="109"/>
      <c r="CE150" s="29"/>
      <c r="CF150" s="29"/>
      <c r="CG150" s="29"/>
      <c r="CH150" s="29"/>
      <c r="CI150" s="29"/>
      <c r="CJ150" s="29"/>
      <c r="CK150" s="29"/>
      <c r="CL150" s="29"/>
      <c r="CM150" s="29"/>
      <c r="CN150" s="29"/>
      <c r="CO150" s="29"/>
      <c r="CP150" s="29"/>
      <c r="CQ150" s="29"/>
      <c r="CR150" s="29"/>
      <c r="CS150" s="29"/>
      <c r="CT150" s="29"/>
      <c r="CU150" s="29"/>
      <c r="CV150" s="29"/>
      <c r="CW150" s="109"/>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row>
    <row r="151" spans="1:131">
      <c r="A151" s="7"/>
      <c r="B151" s="7" t="s">
        <v>89</v>
      </c>
      <c r="C151" s="117">
        <v>0</v>
      </c>
      <c r="D151" s="117">
        <v>0</v>
      </c>
      <c r="E151" s="117">
        <v>0</v>
      </c>
      <c r="F151" s="117">
        <v>0</v>
      </c>
      <c r="G151" s="117">
        <v>0</v>
      </c>
      <c r="H151" s="117">
        <v>0</v>
      </c>
      <c r="I151" s="117">
        <v>0</v>
      </c>
      <c r="J151" s="117">
        <v>0</v>
      </c>
      <c r="K151" s="117">
        <v>0</v>
      </c>
      <c r="L151" s="118">
        <v>0</v>
      </c>
      <c r="M151" s="117">
        <v>0</v>
      </c>
      <c r="N151" s="117">
        <v>0</v>
      </c>
      <c r="O151" s="117">
        <v>0</v>
      </c>
      <c r="P151" s="117">
        <v>0</v>
      </c>
      <c r="Q151" s="117">
        <v>0</v>
      </c>
      <c r="R151" s="117">
        <v>0</v>
      </c>
      <c r="S151" s="117">
        <v>0</v>
      </c>
      <c r="T151" s="117">
        <v>0</v>
      </c>
      <c r="U151" s="117">
        <v>0</v>
      </c>
      <c r="V151" s="117">
        <v>0</v>
      </c>
      <c r="W151" s="117">
        <v>0</v>
      </c>
      <c r="X151" s="117">
        <v>0</v>
      </c>
      <c r="Y151" s="117">
        <v>0</v>
      </c>
      <c r="Z151" s="117"/>
      <c r="AA151" s="117">
        <v>0</v>
      </c>
      <c r="AB151" s="117">
        <v>0</v>
      </c>
      <c r="AC151" s="117">
        <v>0</v>
      </c>
      <c r="AD151" s="117">
        <v>0</v>
      </c>
      <c r="AE151" s="117">
        <v>0</v>
      </c>
      <c r="AF151" s="117">
        <v>0</v>
      </c>
      <c r="AG151" s="117">
        <v>0</v>
      </c>
      <c r="AH151" s="117">
        <v>0</v>
      </c>
      <c r="AI151" s="117">
        <v>0</v>
      </c>
      <c r="AJ151" s="117">
        <v>0</v>
      </c>
      <c r="AK151" s="117">
        <v>0</v>
      </c>
      <c r="AL151" s="117">
        <v>0</v>
      </c>
      <c r="AM151" s="29"/>
      <c r="AN151" s="29"/>
      <c r="AO151" s="29"/>
      <c r="AP151" s="29"/>
      <c r="AQ151" s="29"/>
      <c r="AR151" s="29"/>
      <c r="AS151" s="109"/>
      <c r="AT151" s="29"/>
      <c r="AU151" s="29"/>
      <c r="AV151" s="29"/>
      <c r="AW151" s="29"/>
      <c r="AX151" s="29"/>
      <c r="AY151" s="29"/>
      <c r="AZ151" s="109"/>
      <c r="BA151" s="29"/>
      <c r="BB151" s="29"/>
      <c r="BC151" s="29"/>
      <c r="BD151" s="29"/>
      <c r="BE151" s="29"/>
      <c r="BF151" s="29"/>
      <c r="BG151" s="29"/>
      <c r="BH151" s="109"/>
      <c r="BI151" s="29"/>
      <c r="BJ151" s="29"/>
      <c r="BK151" s="29"/>
      <c r="BL151" s="29"/>
      <c r="BM151" s="29"/>
      <c r="BN151" s="29"/>
      <c r="BO151" s="29"/>
      <c r="BP151" s="29"/>
      <c r="BQ151" s="29"/>
      <c r="BR151" s="29"/>
      <c r="BS151" s="29"/>
      <c r="BT151" s="29"/>
      <c r="BU151" s="29"/>
      <c r="BV151" s="29"/>
      <c r="BW151" s="29"/>
      <c r="BX151" s="29"/>
      <c r="BY151" s="29"/>
      <c r="BZ151" s="29"/>
      <c r="CA151" s="29"/>
      <c r="CB151" s="29"/>
      <c r="CC151" s="29"/>
      <c r="CD151" s="109"/>
      <c r="CE151" s="29"/>
      <c r="CF151" s="29"/>
      <c r="CG151" s="29"/>
      <c r="CH151" s="29"/>
      <c r="CI151" s="29"/>
      <c r="CJ151" s="29"/>
      <c r="CK151" s="29"/>
      <c r="CL151" s="29"/>
      <c r="CM151" s="29"/>
      <c r="CN151" s="29"/>
      <c r="CO151" s="29"/>
      <c r="CP151" s="29"/>
      <c r="CQ151" s="29"/>
      <c r="CR151" s="29"/>
      <c r="CS151" s="29"/>
      <c r="CT151" s="29"/>
      <c r="CU151" s="29"/>
      <c r="CV151" s="29"/>
      <c r="CW151" s="109"/>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row>
    <row r="152" spans="1:131">
      <c r="A152" s="7"/>
      <c r="B152" s="7" t="s">
        <v>92</v>
      </c>
      <c r="C152" s="29">
        <v>2898.592861162233</v>
      </c>
      <c r="D152" s="29">
        <v>2967.9764779315447</v>
      </c>
      <c r="E152" s="29">
        <v>593.59529558630902</v>
      </c>
      <c r="F152" s="29">
        <v>3561.5717735178537</v>
      </c>
      <c r="G152" s="29">
        <v>4282.4475075468463</v>
      </c>
      <c r="H152" s="29">
        <v>2865.2433348095119</v>
      </c>
      <c r="I152" s="29">
        <v>10763.625742011438</v>
      </c>
      <c r="J152" s="29">
        <v>44.977658243082892</v>
      </c>
      <c r="K152" s="29">
        <v>74.219667772113681</v>
      </c>
      <c r="L152" s="109">
        <v>0.66907405100977801</v>
      </c>
      <c r="M152" s="29">
        <v>27.536966827223338</v>
      </c>
      <c r="N152" s="35">
        <v>247.86931499704758</v>
      </c>
      <c r="O152" s="35">
        <v>181.00140403571507</v>
      </c>
      <c r="P152" s="35">
        <v>146.6285158970739</v>
      </c>
      <c r="Q152" s="35">
        <v>127.12376936159498</v>
      </c>
      <c r="R152" s="35">
        <v>46.645821728062465</v>
      </c>
      <c r="S152" s="35">
        <v>30.158162925958379</v>
      </c>
      <c r="T152" s="35">
        <v>87.684377339703573</v>
      </c>
      <c r="U152" s="35">
        <v>87.45351640000834</v>
      </c>
      <c r="V152" s="35">
        <v>50.856231941802925</v>
      </c>
      <c r="W152" s="35">
        <v>115.52575343716106</v>
      </c>
      <c r="X152" s="35">
        <v>179.38081029171451</v>
      </c>
      <c r="Y152" s="35">
        <v>313.01699987709299</v>
      </c>
      <c r="Z152" s="35"/>
      <c r="AA152" s="35">
        <v>235.18737476585764</v>
      </c>
      <c r="AB152" s="35">
        <v>166.57991028312782</v>
      </c>
      <c r="AC152" s="35">
        <v>123.01052988002839</v>
      </c>
      <c r="AD152" s="35">
        <v>114.73321283550659</v>
      </c>
      <c r="AE152" s="35">
        <v>45.357136622031106</v>
      </c>
      <c r="AF152" s="35">
        <v>14.011755653917634</v>
      </c>
      <c r="AG152" s="35">
        <v>43.161155154406444</v>
      </c>
      <c r="AH152" s="35">
        <v>30.89988905576087</v>
      </c>
      <c r="AI152" s="35">
        <v>29.219803835088513</v>
      </c>
      <c r="AJ152" s="35">
        <v>70.972454092447634</v>
      </c>
      <c r="AK152" s="35">
        <v>141.2473161306512</v>
      </c>
      <c r="AL152" s="35">
        <v>270.86764462047387</v>
      </c>
      <c r="AM152" s="29"/>
      <c r="AN152" s="29"/>
      <c r="AO152" s="29"/>
      <c r="AP152" s="29"/>
      <c r="AQ152" s="29"/>
      <c r="AR152" s="29"/>
      <c r="AS152" s="109"/>
      <c r="AT152" s="29"/>
      <c r="AU152" s="29"/>
      <c r="AV152" s="29"/>
      <c r="AW152" s="29"/>
      <c r="AX152" s="29"/>
      <c r="AY152" s="29"/>
      <c r="AZ152" s="109"/>
      <c r="BA152" s="29"/>
      <c r="BB152" s="29"/>
      <c r="BC152" s="29"/>
      <c r="BD152" s="29"/>
      <c r="BE152" s="29"/>
      <c r="BF152" s="29"/>
      <c r="BG152" s="29"/>
      <c r="BH152" s="109"/>
      <c r="BI152" s="29"/>
      <c r="BJ152" s="29"/>
      <c r="BK152" s="29"/>
      <c r="BL152" s="29"/>
      <c r="BM152" s="29"/>
      <c r="BN152" s="29"/>
      <c r="BO152" s="29"/>
      <c r="BP152" s="29"/>
      <c r="BQ152" s="29"/>
      <c r="BR152" s="29"/>
      <c r="BS152" s="29"/>
      <c r="BT152" s="29"/>
      <c r="BU152" s="29"/>
      <c r="BV152" s="29"/>
      <c r="BW152" s="29"/>
      <c r="BX152" s="29"/>
      <c r="BY152" s="29"/>
      <c r="BZ152" s="29"/>
      <c r="CA152" s="29"/>
      <c r="CB152" s="29"/>
      <c r="CC152" s="29"/>
      <c r="CD152" s="109"/>
      <c r="CE152" s="29"/>
      <c r="CF152" s="29"/>
      <c r="CG152" s="29"/>
      <c r="CH152" s="29"/>
      <c r="CI152" s="29"/>
      <c r="CJ152" s="29"/>
      <c r="CK152" s="29"/>
      <c r="CL152" s="29"/>
      <c r="CM152" s="29"/>
      <c r="CN152" s="29"/>
      <c r="CO152" s="29"/>
      <c r="CP152" s="29"/>
      <c r="CQ152" s="29"/>
      <c r="CR152" s="29"/>
      <c r="CS152" s="29"/>
      <c r="CT152" s="29"/>
      <c r="CU152" s="29"/>
      <c r="CV152" s="29"/>
      <c r="CW152" s="109"/>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row>
    <row r="153" spans="1:131">
      <c r="A153" s="7"/>
      <c r="B153" s="7" t="s">
        <v>95</v>
      </c>
      <c r="C153" s="29">
        <v>5505.7464561652987</v>
      </c>
      <c r="D153" s="29">
        <v>6142.6009870147682</v>
      </c>
      <c r="E153" s="29">
        <v>1228.5201974029537</v>
      </c>
      <c r="F153" s="29">
        <v>7371.1211844177215</v>
      </c>
      <c r="G153" s="29">
        <v>8863.064273686241</v>
      </c>
      <c r="H153" s="29">
        <v>5405.899557801733</v>
      </c>
      <c r="I153" s="29">
        <v>11727.932277592085</v>
      </c>
      <c r="J153" s="29">
        <v>50.539848982079981</v>
      </c>
      <c r="K153" s="29">
        <v>84.446045750772157</v>
      </c>
      <c r="L153" s="109">
        <v>0.61024949703488818</v>
      </c>
      <c r="M153" s="29">
        <v>52.305194369040009</v>
      </c>
      <c r="N153" s="35">
        <v>476.61539167374889</v>
      </c>
      <c r="O153" s="35">
        <v>348.03846163454466</v>
      </c>
      <c r="P153" s="35">
        <v>281.94457041064885</v>
      </c>
      <c r="Q153" s="35">
        <v>243.93941809923621</v>
      </c>
      <c r="R153" s="35">
        <v>87.240254859747878</v>
      </c>
      <c r="S153" s="35">
        <v>55.214512891762098</v>
      </c>
      <c r="T153" s="35">
        <v>149.61875177572409</v>
      </c>
      <c r="U153" s="35">
        <v>149.10499752735973</v>
      </c>
      <c r="V153" s="35">
        <v>90.111946670255819</v>
      </c>
      <c r="W153" s="35">
        <v>220.7711979890384</v>
      </c>
      <c r="X153" s="35">
        <v>344.92230374283446</v>
      </c>
      <c r="Y153" s="35">
        <v>601.88458582999465</v>
      </c>
      <c r="Z153" s="35"/>
      <c r="AA153" s="35">
        <v>452.22992907405728</v>
      </c>
      <c r="AB153" s="35">
        <v>320.30809939308784</v>
      </c>
      <c r="AC153" s="35">
        <v>236.53073749553653</v>
      </c>
      <c r="AD153" s="35">
        <v>220.47641837977812</v>
      </c>
      <c r="AE153" s="35">
        <v>86.467722614108567</v>
      </c>
      <c r="AF153" s="35">
        <v>26.320779251748618</v>
      </c>
      <c r="AG153" s="35">
        <v>76.922423624112113</v>
      </c>
      <c r="AH153" s="35">
        <v>55.274663362369807</v>
      </c>
      <c r="AI153" s="35">
        <v>53.339726088649115</v>
      </c>
      <c r="AJ153" s="35">
        <v>136.03451212343083</v>
      </c>
      <c r="AK153" s="35">
        <v>271.59733305947134</v>
      </c>
      <c r="AL153" s="35">
        <v>520.83771859405306</v>
      </c>
      <c r="AM153" s="29"/>
      <c r="AN153" s="29"/>
      <c r="AO153" s="29"/>
      <c r="AP153" s="29"/>
      <c r="AQ153" s="29"/>
      <c r="AR153" s="29"/>
      <c r="AS153" s="109"/>
      <c r="AT153" s="29"/>
      <c r="AU153" s="29"/>
      <c r="AV153" s="29"/>
      <c r="AW153" s="29"/>
      <c r="AX153" s="29"/>
      <c r="AY153" s="29"/>
      <c r="AZ153" s="109"/>
      <c r="BA153" s="29"/>
      <c r="BB153" s="29"/>
      <c r="BC153" s="29"/>
      <c r="BD153" s="29"/>
      <c r="BE153" s="29"/>
      <c r="BF153" s="29"/>
      <c r="BG153" s="29"/>
      <c r="BH153" s="109"/>
      <c r="BI153" s="29"/>
      <c r="BJ153" s="29"/>
      <c r="BK153" s="29"/>
      <c r="BL153" s="29"/>
      <c r="BM153" s="29"/>
      <c r="BN153" s="29"/>
      <c r="BO153" s="29"/>
      <c r="BP153" s="29"/>
      <c r="BQ153" s="29"/>
      <c r="BR153" s="29"/>
      <c r="BS153" s="29"/>
      <c r="BT153" s="29"/>
      <c r="BU153" s="29"/>
      <c r="BV153" s="29"/>
      <c r="BW153" s="29"/>
      <c r="BX153" s="29"/>
      <c r="BY153" s="29"/>
      <c r="BZ153" s="29"/>
      <c r="CA153" s="29"/>
      <c r="CB153" s="29"/>
      <c r="CC153" s="29"/>
      <c r="CD153" s="109"/>
      <c r="CE153" s="29"/>
      <c r="CF153" s="29"/>
      <c r="CG153" s="29"/>
      <c r="CH153" s="29"/>
      <c r="CI153" s="29"/>
      <c r="CJ153" s="29"/>
      <c r="CK153" s="29"/>
      <c r="CL153" s="29"/>
      <c r="CM153" s="29"/>
      <c r="CN153" s="29"/>
      <c r="CO153" s="29"/>
      <c r="CP153" s="29"/>
      <c r="CQ153" s="29"/>
      <c r="CR153" s="29"/>
      <c r="CS153" s="29"/>
      <c r="CT153" s="29"/>
      <c r="CU153" s="29"/>
      <c r="CV153" s="29"/>
      <c r="CW153" s="109"/>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row>
    <row r="154" spans="1:131">
      <c r="A154" s="7"/>
      <c r="B154" s="7" t="s">
        <v>98</v>
      </c>
      <c r="C154" s="29">
        <v>2940.9032029199307</v>
      </c>
      <c r="D154" s="29">
        <v>3764.9764753308682</v>
      </c>
      <c r="E154" s="29">
        <v>752.99529506617364</v>
      </c>
      <c r="F154" s="29">
        <v>4517.9717703970418</v>
      </c>
      <c r="G154" s="29">
        <v>5432.4265177431325</v>
      </c>
      <c r="H154" s="29">
        <v>3173.4569617626803</v>
      </c>
      <c r="I154" s="29">
        <v>13457.577478028823</v>
      </c>
      <c r="J154" s="29">
        <v>60.397360677173857</v>
      </c>
      <c r="K154" s="29">
        <v>94.480855798810595</v>
      </c>
      <c r="L154" s="109">
        <v>0.58416933048200215</v>
      </c>
      <c r="M154" s="29">
        <v>27.938510812723607</v>
      </c>
      <c r="N154" s="35">
        <v>311.30415694632273</v>
      </c>
      <c r="O154" s="35">
        <v>220.33155880048389</v>
      </c>
      <c r="P154" s="35">
        <v>197.3308662894085</v>
      </c>
      <c r="Q154" s="35">
        <v>148.54126016374602</v>
      </c>
      <c r="R154" s="35">
        <v>89.590945884301988</v>
      </c>
      <c r="S154" s="35">
        <v>31.209332330056668</v>
      </c>
      <c r="T154" s="35">
        <v>11.993468280139862</v>
      </c>
      <c r="U154" s="35">
        <v>6.8507085033245136</v>
      </c>
      <c r="V154" s="35">
        <v>14.593076957134819</v>
      </c>
      <c r="W154" s="35">
        <v>96.266331432875276</v>
      </c>
      <c r="X154" s="35">
        <v>224.38598441382652</v>
      </c>
      <c r="Y154" s="35">
        <v>277.21798412895936</v>
      </c>
      <c r="Z154" s="35"/>
      <c r="AA154" s="35">
        <v>243.77896005560976</v>
      </c>
      <c r="AB154" s="35">
        <v>177.02303475742582</v>
      </c>
      <c r="AC154" s="35">
        <v>150.60807080719871</v>
      </c>
      <c r="AD154" s="35">
        <v>125.57655783391195</v>
      </c>
      <c r="AE154" s="35">
        <v>87.624900537373406</v>
      </c>
      <c r="AF154" s="35">
        <v>30.269213480801035</v>
      </c>
      <c r="AG154" s="35">
        <v>13.089989520142215</v>
      </c>
      <c r="AH154" s="35">
        <v>6.4411650992652651</v>
      </c>
      <c r="AI154" s="35">
        <v>16.126172852996749</v>
      </c>
      <c r="AJ154" s="35">
        <v>73.710692272623945</v>
      </c>
      <c r="AK154" s="35">
        <v>175.84298672141068</v>
      </c>
      <c r="AL154" s="35">
        <v>211.195784850591</v>
      </c>
      <c r="AM154" s="29"/>
      <c r="AN154" s="29"/>
      <c r="AO154" s="29"/>
      <c r="AP154" s="29"/>
      <c r="AQ154" s="29"/>
      <c r="AR154" s="29"/>
      <c r="AS154" s="109"/>
      <c r="AT154" s="29"/>
      <c r="AU154" s="29"/>
      <c r="AV154" s="29"/>
      <c r="AW154" s="29"/>
      <c r="AX154" s="29"/>
      <c r="AY154" s="29"/>
      <c r="AZ154" s="109"/>
      <c r="BA154" s="29"/>
      <c r="BB154" s="29"/>
      <c r="BC154" s="29"/>
      <c r="BD154" s="29"/>
      <c r="BE154" s="29"/>
      <c r="BF154" s="29"/>
      <c r="BG154" s="29"/>
      <c r="BH154" s="109"/>
      <c r="BI154" s="29"/>
      <c r="BJ154" s="29"/>
      <c r="BK154" s="29"/>
      <c r="BL154" s="29"/>
      <c r="BM154" s="29"/>
      <c r="BN154" s="29"/>
      <c r="BO154" s="29"/>
      <c r="BP154" s="29"/>
      <c r="BQ154" s="29"/>
      <c r="BR154" s="29"/>
      <c r="BS154" s="29"/>
      <c r="BT154" s="29"/>
      <c r="BU154" s="29"/>
      <c r="BV154" s="29"/>
      <c r="BW154" s="29"/>
      <c r="BX154" s="29"/>
      <c r="BY154" s="29"/>
      <c r="BZ154" s="29"/>
      <c r="CA154" s="29"/>
      <c r="CB154" s="29"/>
      <c r="CC154" s="29"/>
      <c r="CD154" s="109"/>
      <c r="CE154" s="29"/>
      <c r="CF154" s="29"/>
      <c r="CG154" s="29"/>
      <c r="CH154" s="29"/>
      <c r="CI154" s="29"/>
      <c r="CJ154" s="29"/>
      <c r="CK154" s="29"/>
      <c r="CL154" s="29"/>
      <c r="CM154" s="29"/>
      <c r="CN154" s="29"/>
      <c r="CO154" s="29"/>
      <c r="CP154" s="29"/>
      <c r="CQ154" s="29"/>
      <c r="CR154" s="29"/>
      <c r="CS154" s="29"/>
      <c r="CT154" s="29"/>
      <c r="CU154" s="29"/>
      <c r="CV154" s="29"/>
      <c r="CW154" s="109"/>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row>
    <row r="155" spans="1:131">
      <c r="A155" s="7"/>
      <c r="B155" s="7" t="s">
        <v>101</v>
      </c>
      <c r="C155" s="29">
        <v>5368.4286647668105</v>
      </c>
      <c r="D155" s="29">
        <v>6993.2417876037753</v>
      </c>
      <c r="E155" s="29">
        <v>1398.6483575207551</v>
      </c>
      <c r="F155" s="29">
        <v>8391.890145124531</v>
      </c>
      <c r="G155" s="29">
        <v>10090.440771912003</v>
      </c>
      <c r="H155" s="29">
        <v>5158.9056106295866</v>
      </c>
      <c r="I155" s="29">
        <v>13693.570737701903</v>
      </c>
      <c r="J155" s="29">
        <v>62.416923885576324</v>
      </c>
      <c r="K155" s="29">
        <v>105.69513641777826</v>
      </c>
      <c r="L155" s="109">
        <v>0.51148457246576029</v>
      </c>
      <c r="M155" s="29">
        <v>51.000347030123194</v>
      </c>
      <c r="N155" s="35">
        <v>505.68583801316117</v>
      </c>
      <c r="O155" s="35">
        <v>363.43691623450167</v>
      </c>
      <c r="P155" s="35">
        <v>310.4924939770284</v>
      </c>
      <c r="Q155" s="35">
        <v>249.61735677567583</v>
      </c>
      <c r="R155" s="35">
        <v>119.04069122188166</v>
      </c>
      <c r="S155" s="35">
        <v>61.176369902717127</v>
      </c>
      <c r="T155" s="35">
        <v>111.79276067986871</v>
      </c>
      <c r="U155" s="35">
        <v>105.69940406993344</v>
      </c>
      <c r="V155" s="35">
        <v>57.740948204066832</v>
      </c>
      <c r="W155" s="35">
        <v>194.80094771349644</v>
      </c>
      <c r="X155" s="35">
        <v>365.23882535838879</v>
      </c>
      <c r="Y155" s="35">
        <v>540.63810199609088</v>
      </c>
      <c r="Z155" s="35"/>
      <c r="AA155" s="35">
        <v>436.38559303866333</v>
      </c>
      <c r="AB155" s="35">
        <v>312.73897710005451</v>
      </c>
      <c r="AC155" s="35">
        <v>247.69113170336874</v>
      </c>
      <c r="AD155" s="35">
        <v>218.28460549379332</v>
      </c>
      <c r="AE155" s="35">
        <v>117.79779360821684</v>
      </c>
      <c r="AF155" s="35">
        <v>40.639960138099852</v>
      </c>
      <c r="AG155" s="35">
        <v>61.975541728336111</v>
      </c>
      <c r="AH155" s="35">
        <v>43.290941944000728</v>
      </c>
      <c r="AI155" s="35">
        <v>41.464841087441123</v>
      </c>
      <c r="AJ155" s="35">
        <v>132.0685912255137</v>
      </c>
      <c r="AK155" s="35">
        <v>286.95983610315176</v>
      </c>
      <c r="AL155" s="35">
        <v>443.77019744936018</v>
      </c>
      <c r="AM155" s="29"/>
      <c r="AN155" s="29"/>
      <c r="AO155" s="29"/>
      <c r="AP155" s="29"/>
      <c r="AQ155" s="29"/>
      <c r="AR155" s="29"/>
      <c r="AS155" s="29"/>
      <c r="AT155" s="29"/>
      <c r="AU155" s="29"/>
      <c r="AV155" s="29"/>
      <c r="AW155" s="29"/>
      <c r="AX155" s="29"/>
      <c r="AY155" s="29"/>
      <c r="AZ155" s="29"/>
      <c r="BA155" s="29"/>
      <c r="BB155" s="29"/>
      <c r="BC155" s="29"/>
      <c r="BD155" s="29"/>
      <c r="BE155" s="29"/>
      <c r="BF155" s="29"/>
      <c r="BG155" s="29"/>
      <c r="BH155" s="29"/>
      <c r="BI155" s="29"/>
      <c r="BJ155" s="29"/>
      <c r="BK155" s="29"/>
      <c r="BL155" s="29"/>
      <c r="BM155" s="29"/>
      <c r="BN155" s="29"/>
      <c r="BO155" s="29"/>
      <c r="BP155" s="29"/>
      <c r="BQ155" s="29"/>
      <c r="BR155" s="29"/>
      <c r="BS155" s="29"/>
      <c r="BT155" s="29"/>
      <c r="BU155" s="29"/>
      <c r="BV155" s="29"/>
      <c r="BW155" s="29"/>
      <c r="BX155" s="29"/>
      <c r="BY155" s="29"/>
      <c r="BZ155" s="29"/>
      <c r="CA155" s="29"/>
      <c r="CB155" s="29"/>
      <c r="CC155" s="29"/>
      <c r="CD155" s="29"/>
      <c r="CE155" s="29"/>
      <c r="CF155" s="29"/>
      <c r="CG155" s="29"/>
      <c r="CH155" s="29"/>
      <c r="CI155" s="29"/>
      <c r="CJ155" s="29"/>
      <c r="CK155" s="29"/>
      <c r="CL155" s="29"/>
      <c r="CM155" s="29"/>
      <c r="CN155" s="29"/>
      <c r="CO155" s="29"/>
      <c r="CP155" s="29"/>
      <c r="CQ155" s="29"/>
      <c r="CR155" s="29"/>
      <c r="CS155" s="29"/>
      <c r="CT155" s="29"/>
      <c r="CU155" s="29"/>
      <c r="CV155" s="29"/>
      <c r="CW155" s="29"/>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row>
    <row r="156" spans="1:131">
      <c r="A156" s="7"/>
      <c r="B156" s="7" t="s">
        <v>104</v>
      </c>
      <c r="C156" s="29">
        <v>2719.2631585375898</v>
      </c>
      <c r="D156" s="29">
        <v>3612.3135270070575</v>
      </c>
      <c r="E156" s="29">
        <v>722.46270540141154</v>
      </c>
      <c r="F156" s="29">
        <v>4334.7762324084688</v>
      </c>
      <c r="G156" s="29">
        <v>5212.1515029627981</v>
      </c>
      <c r="H156" s="29">
        <v>2473.2451715167849</v>
      </c>
      <c r="I156" s="29">
        <v>13964.312235348247</v>
      </c>
      <c r="J156" s="29">
        <v>65.659682193230026</v>
      </c>
      <c r="K156" s="29">
        <v>112.06998870724475</v>
      </c>
      <c r="L156" s="109">
        <v>0.47451521125410345</v>
      </c>
      <c r="M156" s="29">
        <v>25.833078009293764</v>
      </c>
      <c r="N156" s="35">
        <v>256.88013210406393</v>
      </c>
      <c r="O156" s="35">
        <v>181.95722733803711</v>
      </c>
      <c r="P156" s="35">
        <v>163.22054865109774</v>
      </c>
      <c r="Q156" s="35">
        <v>123.5010936582695</v>
      </c>
      <c r="R156" s="35">
        <v>77.238188903977999</v>
      </c>
      <c r="S156" s="35">
        <v>43.895617636191197</v>
      </c>
      <c r="T156" s="35">
        <v>97.108994883472576</v>
      </c>
      <c r="U156" s="35">
        <v>90.316613746307723</v>
      </c>
      <c r="V156" s="35">
        <v>27.735447686016705</v>
      </c>
      <c r="W156" s="35">
        <v>84.335916011802496</v>
      </c>
      <c r="X156" s="35">
        <v>185.23189112662328</v>
      </c>
      <c r="Y156" s="35">
        <v>228.76867492505812</v>
      </c>
      <c r="Z156" s="35"/>
      <c r="AA156" s="35">
        <v>201.49412046240371</v>
      </c>
      <c r="AB156" s="35">
        <v>146.25669864016137</v>
      </c>
      <c r="AC156" s="35">
        <v>124.30668476742144</v>
      </c>
      <c r="AD156" s="35">
        <v>103.80557277378671</v>
      </c>
      <c r="AE156" s="35">
        <v>73.421748645969913</v>
      </c>
      <c r="AF156" s="35">
        <v>29.332614934668179</v>
      </c>
      <c r="AG156" s="35">
        <v>45.240770621811585</v>
      </c>
      <c r="AH156" s="35">
        <v>31.882658707643639</v>
      </c>
      <c r="AI156" s="35">
        <v>20.680926205375531</v>
      </c>
      <c r="AJ156" s="35">
        <v>62.730911408012723</v>
      </c>
      <c r="AK156" s="35">
        <v>145.29908876825141</v>
      </c>
      <c r="AL156" s="35">
        <v>174.62101593116563</v>
      </c>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c r="CH156" s="29"/>
      <c r="CI156" s="29"/>
      <c r="CJ156" s="29"/>
      <c r="CK156" s="29"/>
      <c r="CL156" s="29"/>
      <c r="CM156" s="29"/>
      <c r="CN156" s="29"/>
      <c r="CO156" s="29"/>
      <c r="CP156" s="29"/>
      <c r="CQ156" s="29"/>
      <c r="CR156" s="29"/>
      <c r="CS156" s="29"/>
      <c r="CT156" s="29"/>
      <c r="CU156" s="29"/>
      <c r="CV156" s="29"/>
      <c r="CW156" s="29"/>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row>
    <row r="157" spans="1:131">
      <c r="A157" s="7"/>
      <c r="B157" s="7" t="s">
        <v>107</v>
      </c>
      <c r="C157" s="117">
        <v>0</v>
      </c>
      <c r="D157" s="117">
        <v>0</v>
      </c>
      <c r="E157" s="117">
        <v>0</v>
      </c>
      <c r="F157" s="117">
        <v>0</v>
      </c>
      <c r="G157" s="117">
        <v>0</v>
      </c>
      <c r="H157" s="117">
        <v>0</v>
      </c>
      <c r="I157" s="117">
        <v>0</v>
      </c>
      <c r="J157" s="117">
        <v>0</v>
      </c>
      <c r="K157" s="117">
        <v>0</v>
      </c>
      <c r="L157" s="118">
        <v>0</v>
      </c>
      <c r="M157" s="117">
        <v>0</v>
      </c>
      <c r="N157" s="117">
        <v>0</v>
      </c>
      <c r="O157" s="117">
        <v>0</v>
      </c>
      <c r="P157" s="117">
        <v>0</v>
      </c>
      <c r="Q157" s="117">
        <v>0</v>
      </c>
      <c r="R157" s="117">
        <v>0</v>
      </c>
      <c r="S157" s="117">
        <v>0</v>
      </c>
      <c r="T157" s="117">
        <v>0</v>
      </c>
      <c r="U157" s="117">
        <v>0</v>
      </c>
      <c r="V157" s="117">
        <v>0</v>
      </c>
      <c r="W157" s="117">
        <v>0</v>
      </c>
      <c r="X157" s="117">
        <v>0</v>
      </c>
      <c r="Y157" s="117">
        <v>0</v>
      </c>
      <c r="Z157" s="117"/>
      <c r="AA157" s="117">
        <v>0</v>
      </c>
      <c r="AB157" s="117">
        <v>0</v>
      </c>
      <c r="AC157" s="117">
        <v>0</v>
      </c>
      <c r="AD157" s="117">
        <v>0</v>
      </c>
      <c r="AE157" s="117">
        <v>0</v>
      </c>
      <c r="AF157" s="117">
        <v>0</v>
      </c>
      <c r="AG157" s="117">
        <v>0</v>
      </c>
      <c r="AH157" s="117">
        <v>0</v>
      </c>
      <c r="AI157" s="117">
        <v>0</v>
      </c>
      <c r="AJ157" s="117">
        <v>0</v>
      </c>
      <c r="AK157" s="117">
        <v>0</v>
      </c>
      <c r="AL157" s="117">
        <v>0</v>
      </c>
      <c r="AM157" s="29"/>
      <c r="AN157" s="29"/>
      <c r="AO157" s="29"/>
      <c r="AP157" s="29"/>
      <c r="AQ157" s="29"/>
      <c r="AR157" s="29"/>
      <c r="AS157" s="29"/>
      <c r="AT157" s="29"/>
      <c r="AU157" s="29"/>
      <c r="AV157" s="29"/>
      <c r="AW157" s="29"/>
      <c r="AX157" s="29"/>
      <c r="AY157" s="29"/>
      <c r="AZ157" s="29"/>
      <c r="BA157" s="29"/>
      <c r="BB157" s="29"/>
      <c r="BC157" s="29"/>
      <c r="BD157" s="29"/>
      <c r="BE157" s="29"/>
      <c r="BF157" s="29"/>
      <c r="BG157" s="29"/>
      <c r="BH157" s="29"/>
      <c r="BI157" s="29"/>
      <c r="BJ157" s="29"/>
      <c r="BK157" s="29"/>
      <c r="BL157" s="29"/>
      <c r="BM157" s="29"/>
      <c r="BN157" s="29"/>
      <c r="BO157" s="29"/>
      <c r="BP157" s="29"/>
      <c r="BQ157" s="29"/>
      <c r="BR157" s="29"/>
      <c r="BS157" s="29"/>
      <c r="BT157" s="29"/>
      <c r="BU157" s="29"/>
      <c r="BV157" s="29"/>
      <c r="BW157" s="29"/>
      <c r="BX157" s="29"/>
      <c r="BY157" s="29"/>
      <c r="BZ157" s="29"/>
      <c r="CA157" s="29"/>
      <c r="CB157" s="29"/>
      <c r="CC157" s="29"/>
      <c r="CD157" s="29"/>
      <c r="CE157" s="29"/>
      <c r="CF157" s="29"/>
      <c r="CG157" s="29"/>
      <c r="CH157" s="29"/>
      <c r="CI157" s="29"/>
      <c r="CJ157" s="29"/>
      <c r="CK157" s="29"/>
      <c r="CL157" s="29"/>
      <c r="CM157" s="29"/>
      <c r="CN157" s="29"/>
      <c r="CO157" s="29"/>
      <c r="CP157" s="29"/>
      <c r="CQ157" s="29"/>
      <c r="CR157" s="29"/>
      <c r="CS157" s="29"/>
      <c r="CT157" s="29"/>
      <c r="CU157" s="29"/>
      <c r="CV157" s="29"/>
      <c r="CW157" s="29"/>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row>
    <row r="158" spans="1:131">
      <c r="A158" s="7"/>
      <c r="B158" s="7" t="s">
        <v>110</v>
      </c>
      <c r="C158" s="29">
        <v>2664.0365823158331</v>
      </c>
      <c r="D158" s="29">
        <v>4405.939111130092</v>
      </c>
      <c r="E158" s="29">
        <v>881.1878222260184</v>
      </c>
      <c r="F158" s="29">
        <v>5287.1269333561104</v>
      </c>
      <c r="G158" s="29">
        <v>6357.2616242605618</v>
      </c>
      <c r="H158" s="29">
        <v>2859.327905386584</v>
      </c>
      <c r="I158" s="29">
        <v>17385.358836153046</v>
      </c>
      <c r="J158" s="29">
        <v>83.750036657343799</v>
      </c>
      <c r="K158" s="29">
        <v>134.8540761670649</v>
      </c>
      <c r="L158" s="109">
        <v>0.44977351482198341</v>
      </c>
      <c r="M158" s="29">
        <v>25.308584064192448</v>
      </c>
      <c r="N158" s="35">
        <v>240.44309768919737</v>
      </c>
      <c r="O158" s="35">
        <v>175.57856353845051</v>
      </c>
      <c r="P158" s="35">
        <v>142.23549442690035</v>
      </c>
      <c r="Q158" s="35">
        <v>122.22496079068762</v>
      </c>
      <c r="R158" s="35">
        <v>39.905707930182125</v>
      </c>
      <c r="S158" s="35">
        <v>23.209617560244467</v>
      </c>
      <c r="T158" s="35">
        <v>43.702008599026712</v>
      </c>
      <c r="U158" s="35">
        <v>43.325924197056416</v>
      </c>
      <c r="V158" s="35">
        <v>32.609878503965305</v>
      </c>
      <c r="W158" s="35">
        <v>109.08587679242567</v>
      </c>
      <c r="X158" s="35">
        <v>174.00652312712381</v>
      </c>
      <c r="Y158" s="35">
        <v>303.6389440973112</v>
      </c>
      <c r="Z158" s="35"/>
      <c r="AA158" s="35">
        <v>228.14111108011312</v>
      </c>
      <c r="AB158" s="35">
        <v>161.58914080083255</v>
      </c>
      <c r="AC158" s="35">
        <v>119.32510828577509</v>
      </c>
      <c r="AD158" s="35">
        <v>110.99455679909522</v>
      </c>
      <c r="AE158" s="35">
        <v>42.370543601306274</v>
      </c>
      <c r="AF158" s="35">
        <v>12.237669572983741</v>
      </c>
      <c r="AG158" s="35">
        <v>28.645775615041035</v>
      </c>
      <c r="AH158" s="35">
        <v>20.953391014081873</v>
      </c>
      <c r="AI158" s="35">
        <v>22.145881081478514</v>
      </c>
      <c r="AJ158" s="35">
        <v>67.898898190646165</v>
      </c>
      <c r="AK158" s="35">
        <v>137.01551654807955</v>
      </c>
      <c r="AL158" s="35">
        <v>262.75239247382899</v>
      </c>
      <c r="AM158" s="29"/>
      <c r="AN158" s="29"/>
      <c r="AO158" s="29"/>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c r="BM158" s="29"/>
      <c r="BN158" s="29"/>
      <c r="BO158" s="29"/>
      <c r="BP158" s="29"/>
      <c r="BQ158" s="29"/>
      <c r="BR158" s="29"/>
      <c r="BS158" s="29"/>
      <c r="BT158" s="29"/>
      <c r="BU158" s="29"/>
      <c r="BV158" s="29"/>
      <c r="BW158" s="29"/>
      <c r="BX158" s="29"/>
      <c r="BY158" s="29"/>
      <c r="BZ158" s="29"/>
      <c r="CA158" s="29"/>
      <c r="CB158" s="29"/>
      <c r="CC158" s="29"/>
      <c r="CD158" s="29"/>
      <c r="CE158" s="29"/>
      <c r="CF158" s="29"/>
      <c r="CG158" s="29"/>
      <c r="CH158" s="29"/>
      <c r="CI158" s="29"/>
      <c r="CJ158" s="29"/>
      <c r="CK158" s="29"/>
      <c r="CL158" s="29"/>
      <c r="CM158" s="29"/>
      <c r="CN158" s="29"/>
      <c r="CO158" s="29"/>
      <c r="CP158" s="29"/>
      <c r="CQ158" s="29"/>
      <c r="CR158" s="29"/>
      <c r="CS158" s="29"/>
      <c r="CT158" s="29"/>
      <c r="CU158" s="29"/>
      <c r="CV158" s="29"/>
      <c r="CW158" s="29"/>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row>
    <row r="159" spans="1:131">
      <c r="A159" s="7"/>
      <c r="B159" s="7" t="s">
        <v>113</v>
      </c>
      <c r="C159" s="29">
        <v>4474.8650575153924</v>
      </c>
      <c r="D159" s="29">
        <v>7533.2476358794238</v>
      </c>
      <c r="E159" s="29">
        <v>1506.6495271758849</v>
      </c>
      <c r="F159" s="29">
        <v>9039.8971630553096</v>
      </c>
      <c r="G159" s="29">
        <v>10869.60688599807</v>
      </c>
      <c r="H159" s="29">
        <v>4602.7073897720111</v>
      </c>
      <c r="I159" s="29">
        <v>17696.511097104099</v>
      </c>
      <c r="J159" s="29">
        <v>85.522890315299279</v>
      </c>
      <c r="K159" s="29">
        <v>141.01076279469382</v>
      </c>
      <c r="L159" s="109">
        <v>0.42313209362130372</v>
      </c>
      <c r="M159" s="29">
        <v>42.511069861213102</v>
      </c>
      <c r="N159" s="35">
        <v>482.86946620874471</v>
      </c>
      <c r="O159" s="35">
        <v>341.71709923190281</v>
      </c>
      <c r="P159" s="35">
        <v>305.96821448512719</v>
      </c>
      <c r="Q159" s="35">
        <v>230.12935775733047</v>
      </c>
      <c r="R159" s="35">
        <v>137.98362044512191</v>
      </c>
      <c r="S159" s="35">
        <v>43.024236745810413</v>
      </c>
      <c r="T159" s="35">
        <v>-7.2833899233962907</v>
      </c>
      <c r="U159" s="35">
        <v>-14.503899797428314</v>
      </c>
      <c r="V159" s="35">
        <v>17.977346192328117</v>
      </c>
      <c r="W159" s="35">
        <v>147.86616764177958</v>
      </c>
      <c r="X159" s="35">
        <v>348.02704922790701</v>
      </c>
      <c r="Y159" s="35">
        <v>429.99317002144073</v>
      </c>
      <c r="Z159" s="35"/>
      <c r="AA159" s="35">
        <v>378.03077225582217</v>
      </c>
      <c r="AB159" s="35">
        <v>274.52962292712209</v>
      </c>
      <c r="AC159" s="35">
        <v>233.60233277224285</v>
      </c>
      <c r="AD159" s="35">
        <v>194.72972020889213</v>
      </c>
      <c r="AE159" s="35">
        <v>135.58531616159397</v>
      </c>
      <c r="AF159" s="35">
        <v>45.658381032708704</v>
      </c>
      <c r="AG159" s="35">
        <v>10.081732998052072</v>
      </c>
      <c r="AH159" s="35">
        <v>2.1051213085957912</v>
      </c>
      <c r="AI159" s="35">
        <v>22.824810774652565</v>
      </c>
      <c r="AJ159" s="35">
        <v>113.76800762903078</v>
      </c>
      <c r="AK159" s="35">
        <v>272.69443991913892</v>
      </c>
      <c r="AL159" s="35">
        <v>327.48636129087254</v>
      </c>
      <c r="AM159" s="29"/>
      <c r="AN159" s="29"/>
      <c r="AO159" s="29"/>
      <c r="AP159" s="29"/>
      <c r="AQ159" s="29"/>
      <c r="AR159" s="29"/>
      <c r="AS159" s="29"/>
      <c r="AT159" s="29"/>
      <c r="AU159" s="29"/>
      <c r="AV159" s="29"/>
      <c r="AW159" s="29"/>
      <c r="AX159" s="29"/>
      <c r="AY159" s="29"/>
      <c r="AZ159" s="29"/>
      <c r="BA159" s="29"/>
      <c r="BB159" s="29"/>
      <c r="BC159" s="29"/>
      <c r="BD159" s="29"/>
      <c r="BE159" s="29"/>
      <c r="BF159" s="29"/>
      <c r="BG159" s="29"/>
      <c r="BH159" s="29"/>
      <c r="BI159" s="29"/>
      <c r="BJ159" s="29"/>
      <c r="BK159" s="29"/>
      <c r="BL159" s="29"/>
      <c r="BM159" s="29"/>
      <c r="BN159" s="29"/>
      <c r="BO159" s="29"/>
      <c r="BP159" s="29"/>
      <c r="BQ159" s="29"/>
      <c r="BR159" s="29"/>
      <c r="BS159" s="29"/>
      <c r="BT159" s="29"/>
      <c r="BU159" s="29"/>
      <c r="BV159" s="29"/>
      <c r="BW159" s="29"/>
      <c r="BX159" s="29"/>
      <c r="BY159" s="29"/>
      <c r="BZ159" s="29"/>
      <c r="CA159" s="29"/>
      <c r="CB159" s="29"/>
      <c r="CC159" s="29"/>
      <c r="CD159" s="29"/>
      <c r="CE159" s="29"/>
      <c r="CF159" s="29"/>
      <c r="CG159" s="29"/>
      <c r="CH159" s="29"/>
      <c r="CI159" s="29"/>
      <c r="CJ159" s="29"/>
      <c r="CK159" s="29"/>
      <c r="CL159" s="29"/>
      <c r="CM159" s="29"/>
      <c r="CN159" s="29"/>
      <c r="CO159" s="29"/>
      <c r="CP159" s="29"/>
      <c r="CQ159" s="29"/>
      <c r="CR159" s="29"/>
      <c r="CS159" s="29"/>
      <c r="CT159" s="29"/>
      <c r="CU159" s="29"/>
      <c r="CV159" s="29"/>
      <c r="CW159" s="29"/>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row>
    <row r="160" spans="1:131">
      <c r="A160" s="7"/>
      <c r="B160" s="7" t="s">
        <v>116</v>
      </c>
      <c r="C160" s="29">
        <v>2521.5432350451379</v>
      </c>
      <c r="D160" s="29">
        <v>4476.2075916098729</v>
      </c>
      <c r="E160" s="29">
        <v>895.24151832197458</v>
      </c>
      <c r="F160" s="29">
        <v>5371.4491099318475</v>
      </c>
      <c r="G160" s="29">
        <v>6458.6509315300918</v>
      </c>
      <c r="H160" s="29">
        <v>2577.8062056968665</v>
      </c>
      <c r="I160" s="29">
        <v>18660.752490393319</v>
      </c>
      <c r="J160" s="29">
        <v>91.367552432224244</v>
      </c>
      <c r="K160" s="29">
        <v>151.48739454562457</v>
      </c>
      <c r="L160" s="109">
        <v>0.39912455914166728</v>
      </c>
      <c r="M160" s="29">
        <v>23.95488081408519</v>
      </c>
      <c r="N160" s="35">
        <v>228.25796852566918</v>
      </c>
      <c r="O160" s="35">
        <v>166.68062678907347</v>
      </c>
      <c r="P160" s="35">
        <v>135.02731133540482</v>
      </c>
      <c r="Q160" s="35">
        <v>115.97562109629546</v>
      </c>
      <c r="R160" s="35">
        <v>37.612623117495893</v>
      </c>
      <c r="S160" s="35">
        <v>21.727057649498658</v>
      </c>
      <c r="T160" s="35">
        <v>39.391489339278571</v>
      </c>
      <c r="U160" s="35">
        <v>39.026753943521236</v>
      </c>
      <c r="V160" s="35">
        <v>30.109812079722033</v>
      </c>
      <c r="W160" s="35">
        <v>103.4066896496533</v>
      </c>
      <c r="X160" s="35">
        <v>165.18825394003653</v>
      </c>
      <c r="Y160" s="35">
        <v>288.25118795683085</v>
      </c>
      <c r="Z160" s="35"/>
      <c r="AA160" s="35">
        <v>216.57941963320198</v>
      </c>
      <c r="AB160" s="35">
        <v>153.40015733237448</v>
      </c>
      <c r="AC160" s="35">
        <v>113.2779733466236</v>
      </c>
      <c r="AD160" s="35">
        <v>105.35433054635955</v>
      </c>
      <c r="AE160" s="35">
        <v>40.140809888821451</v>
      </c>
      <c r="AF160" s="35">
        <v>11.548858809080393</v>
      </c>
      <c r="AG160" s="35">
        <v>26.523995240282602</v>
      </c>
      <c r="AH160" s="35">
        <v>19.434368227043592</v>
      </c>
      <c r="AI160" s="35">
        <v>20.709450425381654</v>
      </c>
      <c r="AJ160" s="35">
        <v>64.409928529307223</v>
      </c>
      <c r="AK160" s="35">
        <v>130.07187049381022</v>
      </c>
      <c r="AL160" s="35">
        <v>249.43667715037139</v>
      </c>
      <c r="AM160" s="29"/>
      <c r="AN160" s="29"/>
      <c r="AO160" s="29"/>
      <c r="AP160" s="29"/>
      <c r="AQ160" s="29"/>
      <c r="AR160" s="29"/>
      <c r="AS160" s="29"/>
      <c r="AT160" s="29"/>
      <c r="AU160" s="29"/>
      <c r="AV160" s="29"/>
      <c r="AW160" s="29"/>
      <c r="AX160" s="29"/>
      <c r="AY160" s="29"/>
      <c r="AZ160" s="29"/>
      <c r="BA160" s="29"/>
      <c r="BB160" s="29"/>
      <c r="BC160" s="29"/>
      <c r="BD160" s="29"/>
      <c r="BE160" s="29"/>
      <c r="BF160" s="29"/>
      <c r="BG160" s="29"/>
      <c r="BH160" s="29"/>
      <c r="BI160" s="29"/>
      <c r="BJ160" s="29"/>
      <c r="BK160" s="29"/>
      <c r="BL160" s="29"/>
      <c r="BM160" s="29"/>
      <c r="BN160" s="29"/>
      <c r="BO160" s="29"/>
      <c r="BP160" s="29"/>
      <c r="BQ160" s="29"/>
      <c r="BR160" s="29"/>
      <c r="BS160" s="29"/>
      <c r="BT160" s="29"/>
      <c r="BU160" s="29"/>
      <c r="BV160" s="29"/>
      <c r="BW160" s="29"/>
      <c r="BX160" s="29"/>
      <c r="BY160" s="29"/>
      <c r="BZ160" s="29"/>
      <c r="CA160" s="29"/>
      <c r="CB160" s="29"/>
      <c r="CC160" s="29"/>
      <c r="CD160" s="29"/>
      <c r="CE160" s="29"/>
      <c r="CF160" s="29"/>
      <c r="CG160" s="29"/>
      <c r="CH160" s="29"/>
      <c r="CI160" s="29"/>
      <c r="CJ160" s="29"/>
      <c r="CK160" s="29"/>
      <c r="CL160" s="29"/>
      <c r="CM160" s="29"/>
      <c r="CN160" s="29"/>
      <c r="CO160" s="29"/>
      <c r="CP160" s="29"/>
      <c r="CQ160" s="29"/>
      <c r="CR160" s="29"/>
      <c r="CS160" s="29"/>
      <c r="CT160" s="29"/>
      <c r="CU160" s="29"/>
      <c r="CV160" s="29"/>
      <c r="CW160" s="29"/>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row>
    <row r="161" spans="1:131">
      <c r="A161" s="7"/>
      <c r="B161" s="7" t="s">
        <v>119</v>
      </c>
      <c r="C161" s="117">
        <v>0</v>
      </c>
      <c r="D161" s="117">
        <v>0</v>
      </c>
      <c r="E161" s="117">
        <v>0</v>
      </c>
      <c r="F161" s="117">
        <v>0</v>
      </c>
      <c r="G161" s="117">
        <v>0</v>
      </c>
      <c r="H161" s="117">
        <v>0</v>
      </c>
      <c r="I161" s="117">
        <v>0</v>
      </c>
      <c r="J161" s="117">
        <v>0</v>
      </c>
      <c r="K161" s="117">
        <v>0</v>
      </c>
      <c r="L161" s="118">
        <v>0</v>
      </c>
      <c r="M161" s="117">
        <v>0</v>
      </c>
      <c r="N161" s="117">
        <v>0</v>
      </c>
      <c r="O161" s="117">
        <v>0</v>
      </c>
      <c r="P161" s="117">
        <v>0</v>
      </c>
      <c r="Q161" s="117">
        <v>0</v>
      </c>
      <c r="R161" s="117">
        <v>0</v>
      </c>
      <c r="S161" s="117">
        <v>0</v>
      </c>
      <c r="T161" s="117">
        <v>0</v>
      </c>
      <c r="U161" s="117">
        <v>0</v>
      </c>
      <c r="V161" s="117">
        <v>0</v>
      </c>
      <c r="W161" s="117">
        <v>0</v>
      </c>
      <c r="X161" s="117">
        <v>0</v>
      </c>
      <c r="Y161" s="117">
        <v>0</v>
      </c>
      <c r="Z161" s="117"/>
      <c r="AA161" s="117">
        <v>0</v>
      </c>
      <c r="AB161" s="117">
        <v>0</v>
      </c>
      <c r="AC161" s="117">
        <v>0</v>
      </c>
      <c r="AD161" s="117">
        <v>0</v>
      </c>
      <c r="AE161" s="117">
        <v>0</v>
      </c>
      <c r="AF161" s="117">
        <v>0</v>
      </c>
      <c r="AG161" s="117">
        <v>0</v>
      </c>
      <c r="AH161" s="117">
        <v>0</v>
      </c>
      <c r="AI161" s="117">
        <v>0</v>
      </c>
      <c r="AJ161" s="117">
        <v>0</v>
      </c>
      <c r="AK161" s="117">
        <v>0</v>
      </c>
      <c r="AL161" s="117">
        <v>0</v>
      </c>
      <c r="AM161" s="29"/>
      <c r="AN161" s="29"/>
      <c r="AO161" s="29"/>
      <c r="AP161" s="29"/>
      <c r="AQ161" s="29"/>
      <c r="AR161" s="29"/>
      <c r="AS161" s="29"/>
      <c r="AT161" s="29"/>
      <c r="AU161" s="29"/>
      <c r="AV161" s="29"/>
      <c r="AW161" s="29"/>
      <c r="AX161" s="29"/>
      <c r="AY161" s="29"/>
      <c r="AZ161" s="29"/>
      <c r="BA161" s="29"/>
      <c r="BB161" s="29"/>
      <c r="BC161" s="29"/>
      <c r="BD161" s="29"/>
      <c r="BE161" s="29"/>
      <c r="BF161" s="29"/>
      <c r="BG161" s="29"/>
      <c r="BH161" s="29"/>
      <c r="BI161" s="29"/>
      <c r="BJ161" s="29"/>
      <c r="BK161" s="29"/>
      <c r="BL161" s="29"/>
      <c r="BM161" s="29"/>
      <c r="BN161" s="29"/>
      <c r="BO161" s="29"/>
      <c r="BP161" s="29"/>
      <c r="BQ161" s="29"/>
      <c r="BR161" s="29"/>
      <c r="BS161" s="29"/>
      <c r="BT161" s="29"/>
      <c r="BU161" s="29"/>
      <c r="BV161" s="29"/>
      <c r="BW161" s="29"/>
      <c r="BX161" s="29"/>
      <c r="BY161" s="29"/>
      <c r="BZ161" s="29"/>
      <c r="CA161" s="29"/>
      <c r="CB161" s="29"/>
      <c r="CC161" s="29"/>
      <c r="CD161" s="29"/>
      <c r="CE161" s="29"/>
      <c r="CF161" s="29"/>
      <c r="CG161" s="29"/>
      <c r="CH161" s="29"/>
      <c r="CI161" s="29"/>
      <c r="CJ161" s="29"/>
      <c r="CK161" s="29"/>
      <c r="CL161" s="29"/>
      <c r="CM161" s="29"/>
      <c r="CN161" s="29"/>
      <c r="CO161" s="29"/>
      <c r="CP161" s="29"/>
      <c r="CQ161" s="29"/>
      <c r="CR161" s="29"/>
      <c r="CS161" s="29"/>
      <c r="CT161" s="29"/>
      <c r="CU161" s="29"/>
      <c r="CV161" s="29"/>
      <c r="CW161" s="29"/>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row>
    <row r="162" spans="1:131">
      <c r="A162" s="7"/>
      <c r="B162" s="7" t="s">
        <v>122</v>
      </c>
      <c r="C162" s="117">
        <v>0</v>
      </c>
      <c r="D162" s="117">
        <v>0</v>
      </c>
      <c r="E162" s="117">
        <v>0</v>
      </c>
      <c r="F162" s="117">
        <v>0</v>
      </c>
      <c r="G162" s="117">
        <v>0</v>
      </c>
      <c r="H162" s="117">
        <v>0</v>
      </c>
      <c r="I162" s="117">
        <v>0</v>
      </c>
      <c r="J162" s="117">
        <v>0</v>
      </c>
      <c r="K162" s="117">
        <v>0</v>
      </c>
      <c r="L162" s="118">
        <v>0</v>
      </c>
      <c r="M162" s="117">
        <v>0</v>
      </c>
      <c r="N162" s="117">
        <v>0</v>
      </c>
      <c r="O162" s="117">
        <v>0</v>
      </c>
      <c r="P162" s="117">
        <v>0</v>
      </c>
      <c r="Q162" s="117">
        <v>0</v>
      </c>
      <c r="R162" s="117">
        <v>0</v>
      </c>
      <c r="S162" s="117">
        <v>0</v>
      </c>
      <c r="T162" s="117">
        <v>0</v>
      </c>
      <c r="U162" s="117">
        <v>0</v>
      </c>
      <c r="V162" s="117">
        <v>0</v>
      </c>
      <c r="W162" s="117">
        <v>0</v>
      </c>
      <c r="X162" s="117">
        <v>0</v>
      </c>
      <c r="Y162" s="117">
        <v>0</v>
      </c>
      <c r="Z162" s="117"/>
      <c r="AA162" s="117">
        <v>0</v>
      </c>
      <c r="AB162" s="117">
        <v>0</v>
      </c>
      <c r="AC162" s="117">
        <v>0</v>
      </c>
      <c r="AD162" s="117">
        <v>0</v>
      </c>
      <c r="AE162" s="117">
        <v>0</v>
      </c>
      <c r="AF162" s="117">
        <v>0</v>
      </c>
      <c r="AG162" s="117">
        <v>0</v>
      </c>
      <c r="AH162" s="117">
        <v>0</v>
      </c>
      <c r="AI162" s="117">
        <v>0</v>
      </c>
      <c r="AJ162" s="117">
        <v>0</v>
      </c>
      <c r="AK162" s="117">
        <v>0</v>
      </c>
      <c r="AL162" s="117">
        <v>0</v>
      </c>
      <c r="AM162" s="29"/>
      <c r="AN162" s="29"/>
      <c r="AO162" s="29"/>
      <c r="AP162" s="29"/>
      <c r="AQ162" s="29"/>
      <c r="AR162" s="29"/>
      <c r="AS162" s="29"/>
      <c r="AT162" s="29"/>
      <c r="AU162" s="29"/>
      <c r="AV162" s="29"/>
      <c r="AW162" s="29"/>
      <c r="AX162" s="29"/>
      <c r="AY162" s="29"/>
      <c r="AZ162" s="29"/>
      <c r="BA162" s="29"/>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29"/>
      <c r="BY162" s="29"/>
      <c r="BZ162" s="29"/>
      <c r="CA162" s="29"/>
      <c r="CB162" s="29"/>
      <c r="CC162" s="29"/>
      <c r="CD162" s="29"/>
      <c r="CE162" s="29"/>
      <c r="CF162" s="29"/>
      <c r="CG162" s="29"/>
      <c r="CH162" s="29"/>
      <c r="CI162" s="29"/>
      <c r="CJ162" s="29"/>
      <c r="CK162" s="29"/>
      <c r="CL162" s="29"/>
      <c r="CM162" s="29"/>
      <c r="CN162" s="29"/>
      <c r="CO162" s="29"/>
      <c r="CP162" s="29"/>
      <c r="CQ162" s="29"/>
      <c r="CR162" s="29"/>
      <c r="CS162" s="29"/>
      <c r="CT162" s="29"/>
      <c r="CU162" s="29"/>
      <c r="CV162" s="29"/>
      <c r="CW162" s="29"/>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row>
    <row r="163" spans="1:131">
      <c r="A163" s="7"/>
      <c r="B163" s="7" t="s">
        <v>125</v>
      </c>
      <c r="C163" s="117">
        <v>0</v>
      </c>
      <c r="D163" s="117">
        <v>0</v>
      </c>
      <c r="E163" s="117">
        <v>0</v>
      </c>
      <c r="F163" s="117">
        <v>0</v>
      </c>
      <c r="G163" s="117">
        <v>0</v>
      </c>
      <c r="H163" s="117">
        <v>0</v>
      </c>
      <c r="I163" s="117">
        <v>0</v>
      </c>
      <c r="J163" s="117">
        <v>0</v>
      </c>
      <c r="K163" s="117">
        <v>0</v>
      </c>
      <c r="L163" s="118">
        <v>0</v>
      </c>
      <c r="M163" s="117">
        <v>0</v>
      </c>
      <c r="N163" s="117">
        <v>0</v>
      </c>
      <c r="O163" s="117">
        <v>0</v>
      </c>
      <c r="P163" s="117">
        <v>0</v>
      </c>
      <c r="Q163" s="117">
        <v>0</v>
      </c>
      <c r="R163" s="117">
        <v>0</v>
      </c>
      <c r="S163" s="117">
        <v>0</v>
      </c>
      <c r="T163" s="117">
        <v>0</v>
      </c>
      <c r="U163" s="117">
        <v>0</v>
      </c>
      <c r="V163" s="117">
        <v>0</v>
      </c>
      <c r="W163" s="117">
        <v>0</v>
      </c>
      <c r="X163" s="117">
        <v>0</v>
      </c>
      <c r="Y163" s="117">
        <v>0</v>
      </c>
      <c r="Z163" s="117"/>
      <c r="AA163" s="117">
        <v>0</v>
      </c>
      <c r="AB163" s="117">
        <v>0</v>
      </c>
      <c r="AC163" s="117">
        <v>0</v>
      </c>
      <c r="AD163" s="117">
        <v>0</v>
      </c>
      <c r="AE163" s="117">
        <v>0</v>
      </c>
      <c r="AF163" s="117">
        <v>0</v>
      </c>
      <c r="AG163" s="117">
        <v>0</v>
      </c>
      <c r="AH163" s="117">
        <v>0</v>
      </c>
      <c r="AI163" s="117">
        <v>0</v>
      </c>
      <c r="AJ163" s="117">
        <v>0</v>
      </c>
      <c r="AK163" s="117">
        <v>0</v>
      </c>
      <c r="AL163" s="117">
        <v>0</v>
      </c>
      <c r="AM163" s="29"/>
      <c r="AN163" s="29"/>
      <c r="AO163" s="29"/>
      <c r="AP163" s="29"/>
      <c r="AQ163" s="29"/>
      <c r="AR163" s="29"/>
      <c r="AS163" s="29"/>
      <c r="AT163" s="29"/>
      <c r="AU163" s="29"/>
      <c r="AV163" s="29"/>
      <c r="AW163" s="29"/>
      <c r="AX163" s="29"/>
      <c r="AY163" s="29"/>
      <c r="AZ163" s="29"/>
      <c r="BA163" s="29"/>
      <c r="BB163" s="29"/>
      <c r="BC163" s="29"/>
      <c r="BD163" s="29"/>
      <c r="BE163" s="29"/>
      <c r="BF163" s="29"/>
      <c r="BG163" s="29"/>
      <c r="BH163" s="29"/>
      <c r="BI163" s="29"/>
      <c r="BJ163" s="29"/>
      <c r="BK163" s="29"/>
      <c r="BL163" s="29"/>
      <c r="BM163" s="29"/>
      <c r="BN163" s="29"/>
      <c r="BO163" s="29"/>
      <c r="BP163" s="29"/>
      <c r="BQ163" s="29"/>
      <c r="BR163" s="29"/>
      <c r="BS163" s="29"/>
      <c r="BT163" s="29"/>
      <c r="BU163" s="29"/>
      <c r="BV163" s="29"/>
      <c r="BW163" s="29"/>
      <c r="BX163" s="29"/>
      <c r="BY163" s="29"/>
      <c r="BZ163" s="29"/>
      <c r="CA163" s="29"/>
      <c r="CB163" s="29"/>
      <c r="CC163" s="29"/>
      <c r="CD163" s="29"/>
      <c r="CE163" s="29"/>
      <c r="CF163" s="29"/>
      <c r="CG163" s="29"/>
      <c r="CH163" s="29"/>
      <c r="CI163" s="29"/>
      <c r="CJ163" s="29"/>
      <c r="CK163" s="29"/>
      <c r="CL163" s="29"/>
      <c r="CM163" s="29"/>
      <c r="CN163" s="29"/>
      <c r="CO163" s="29"/>
      <c r="CP163" s="29"/>
      <c r="CQ163" s="29"/>
      <c r="CR163" s="29"/>
      <c r="CS163" s="29"/>
      <c r="CT163" s="29"/>
      <c r="CU163" s="29"/>
      <c r="CV163" s="29"/>
      <c r="CW163" s="29"/>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row>
    <row r="164" spans="1:131">
      <c r="A164" s="7"/>
      <c r="B164" s="7" t="s">
        <v>128</v>
      </c>
      <c r="C164" s="117">
        <v>0</v>
      </c>
      <c r="D164" s="117">
        <v>0</v>
      </c>
      <c r="E164" s="117">
        <v>0</v>
      </c>
      <c r="F164" s="117">
        <v>0</v>
      </c>
      <c r="G164" s="117">
        <v>0</v>
      </c>
      <c r="H164" s="117">
        <v>0</v>
      </c>
      <c r="I164" s="117">
        <v>0</v>
      </c>
      <c r="J164" s="117">
        <v>0</v>
      </c>
      <c r="K164" s="117">
        <v>0</v>
      </c>
      <c r="L164" s="118">
        <v>0</v>
      </c>
      <c r="M164" s="117">
        <v>0</v>
      </c>
      <c r="N164" s="117">
        <v>0</v>
      </c>
      <c r="O164" s="117">
        <v>0</v>
      </c>
      <c r="P164" s="117">
        <v>0</v>
      </c>
      <c r="Q164" s="117">
        <v>0</v>
      </c>
      <c r="R164" s="117">
        <v>0</v>
      </c>
      <c r="S164" s="117">
        <v>0</v>
      </c>
      <c r="T164" s="117">
        <v>0</v>
      </c>
      <c r="U164" s="117">
        <v>0</v>
      </c>
      <c r="V164" s="117">
        <v>0</v>
      </c>
      <c r="W164" s="117">
        <v>0</v>
      </c>
      <c r="X164" s="117">
        <v>0</v>
      </c>
      <c r="Y164" s="117">
        <v>0</v>
      </c>
      <c r="Z164" s="117"/>
      <c r="AA164" s="117">
        <v>0</v>
      </c>
      <c r="AB164" s="117">
        <v>0</v>
      </c>
      <c r="AC164" s="117">
        <v>0</v>
      </c>
      <c r="AD164" s="117">
        <v>0</v>
      </c>
      <c r="AE164" s="117">
        <v>0</v>
      </c>
      <c r="AF164" s="117">
        <v>0</v>
      </c>
      <c r="AG164" s="117">
        <v>0</v>
      </c>
      <c r="AH164" s="117">
        <v>0</v>
      </c>
      <c r="AI164" s="117">
        <v>0</v>
      </c>
      <c r="AJ164" s="117">
        <v>0</v>
      </c>
      <c r="AK164" s="117">
        <v>0</v>
      </c>
      <c r="AL164" s="117">
        <v>0</v>
      </c>
      <c r="AM164" s="29"/>
      <c r="AN164" s="29"/>
      <c r="AO164" s="29"/>
      <c r="AP164" s="29"/>
      <c r="AQ164" s="29"/>
      <c r="AR164" s="29"/>
      <c r="AS164" s="29"/>
      <c r="AT164" s="29"/>
      <c r="AU164" s="29"/>
      <c r="AV164" s="29"/>
      <c r="AW164" s="29"/>
      <c r="AX164" s="29"/>
      <c r="AY164" s="29"/>
      <c r="AZ164" s="29"/>
      <c r="BA164" s="29"/>
      <c r="BB164" s="29"/>
      <c r="BC164" s="29"/>
      <c r="BD164" s="29"/>
      <c r="BE164" s="29"/>
      <c r="BF164" s="29"/>
      <c r="BG164" s="29"/>
      <c r="BH164" s="29"/>
      <c r="BI164" s="29"/>
      <c r="BJ164" s="29"/>
      <c r="BK164" s="29"/>
      <c r="BL164" s="29"/>
      <c r="BM164" s="29"/>
      <c r="BN164" s="29"/>
      <c r="BO164" s="29"/>
      <c r="BP164" s="29"/>
      <c r="BQ164" s="29"/>
      <c r="BR164" s="29"/>
      <c r="BS164" s="29"/>
      <c r="BT164" s="29"/>
      <c r="BU164" s="29"/>
      <c r="BV164" s="29"/>
      <c r="BW164" s="29"/>
      <c r="BX164" s="29"/>
      <c r="BY164" s="29"/>
      <c r="BZ164" s="29"/>
      <c r="CA164" s="29"/>
      <c r="CB164" s="29"/>
      <c r="CC164" s="29"/>
      <c r="CD164" s="29"/>
      <c r="CE164" s="29"/>
      <c r="CF164" s="29"/>
      <c r="CG164" s="29"/>
      <c r="CH164" s="29"/>
      <c r="CI164" s="29"/>
      <c r="CJ164" s="29"/>
      <c r="CK164" s="29"/>
      <c r="CL164" s="29"/>
      <c r="CM164" s="29"/>
      <c r="CN164" s="29"/>
      <c r="CO164" s="29"/>
      <c r="CP164" s="29"/>
      <c r="CQ164" s="29"/>
      <c r="CR164" s="29"/>
      <c r="CS164" s="29"/>
      <c r="CT164" s="29"/>
      <c r="CU164" s="29"/>
      <c r="CV164" s="29"/>
      <c r="CW164" s="29"/>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row>
    <row r="165" spans="1:131">
      <c r="A165" s="7"/>
      <c r="B165" s="7" t="s">
        <v>131</v>
      </c>
      <c r="C165" s="29">
        <v>3532.0929761985335</v>
      </c>
      <c r="D165" s="29">
        <v>26875.199521934472</v>
      </c>
      <c r="E165" s="29">
        <v>5375.0399043868947</v>
      </c>
      <c r="F165" s="29">
        <v>32250.239426321365</v>
      </c>
      <c r="G165" s="29">
        <v>38777.811099009334</v>
      </c>
      <c r="H165" s="29">
        <v>3096.7652711925384</v>
      </c>
      <c r="I165" s="29">
        <v>79984.332031551705</v>
      </c>
      <c r="J165" s="29">
        <v>465.36444223686999</v>
      </c>
      <c r="K165" s="29">
        <v>781.57510767585961</v>
      </c>
      <c r="L165" s="109">
        <v>8.1852243700535524E-2</v>
      </c>
      <c r="M165" s="29">
        <v>33.555597698876952</v>
      </c>
      <c r="N165" s="35">
        <v>247.51433674906883</v>
      </c>
      <c r="O165" s="35">
        <v>180.7421885645017</v>
      </c>
      <c r="P165" s="35">
        <v>146.418526477135</v>
      </c>
      <c r="Q165" s="35">
        <v>131.64768908151169</v>
      </c>
      <c r="R165" s="35">
        <v>69.641941757740085</v>
      </c>
      <c r="S165" s="35">
        <v>56.210039597352441</v>
      </c>
      <c r="T165" s="35">
        <v>266.08153656822208</v>
      </c>
      <c r="U165" s="35">
        <v>266.50776488089008</v>
      </c>
      <c r="V165" s="35">
        <v>122.9719325929367</v>
      </c>
      <c r="W165" s="35">
        <v>128.21876579799249</v>
      </c>
      <c r="X165" s="35">
        <v>179.12391570289006</v>
      </c>
      <c r="Y165" s="35">
        <v>312.56872242005772</v>
      </c>
      <c r="Z165" s="35"/>
      <c r="AA165" s="35">
        <v>234.85055855993835</v>
      </c>
      <c r="AB165" s="35">
        <v>166.34134810086874</v>
      </c>
      <c r="AC165" s="35">
        <v>122.83436421635891</v>
      </c>
      <c r="AD165" s="35">
        <v>115.86922815250675</v>
      </c>
      <c r="AE165" s="35">
        <v>52.318566713656608</v>
      </c>
      <c r="AF165" s="35">
        <v>19.837894160860902</v>
      </c>
      <c r="AG165" s="35">
        <v>100.17722428129102</v>
      </c>
      <c r="AH165" s="35">
        <v>69.796340926966224</v>
      </c>
      <c r="AI165" s="35">
        <v>55.935613772154255</v>
      </c>
      <c r="AJ165" s="35">
        <v>74.959713859176006</v>
      </c>
      <c r="AK165" s="35">
        <v>141.04503322680586</v>
      </c>
      <c r="AL165" s="35">
        <v>270.47973003765168</v>
      </c>
      <c r="AM165" s="29"/>
      <c r="AN165" s="29"/>
      <c r="AO165" s="29"/>
      <c r="AP165" s="29"/>
      <c r="AQ165" s="29"/>
      <c r="AR165" s="29"/>
      <c r="AS165" s="29"/>
      <c r="AT165" s="29"/>
      <c r="AU165" s="29"/>
      <c r="AV165" s="29"/>
      <c r="AW165" s="29"/>
      <c r="AX165" s="29"/>
      <c r="AY165" s="29"/>
      <c r="AZ165" s="29"/>
      <c r="BA165" s="29"/>
      <c r="BB165" s="29"/>
      <c r="BC165" s="29"/>
      <c r="BD165" s="29"/>
      <c r="BE165" s="29"/>
      <c r="BF165" s="29"/>
      <c r="BG165" s="29"/>
      <c r="BH165" s="29"/>
      <c r="BI165" s="29"/>
      <c r="BJ165" s="29"/>
      <c r="BK165" s="29"/>
      <c r="BL165" s="29"/>
      <c r="BM165" s="29"/>
      <c r="BN165" s="29"/>
      <c r="BO165" s="29"/>
      <c r="BP165" s="29"/>
      <c r="BQ165" s="29"/>
      <c r="BR165" s="29"/>
      <c r="BS165" s="29"/>
      <c r="BT165" s="29"/>
      <c r="BU165" s="29"/>
      <c r="BV165" s="29"/>
      <c r="BW165" s="29"/>
      <c r="BX165" s="29"/>
      <c r="BY165" s="29"/>
      <c r="BZ165" s="29"/>
      <c r="CA165" s="29"/>
      <c r="CB165" s="29"/>
      <c r="CC165" s="29"/>
      <c r="CD165" s="29"/>
      <c r="CE165" s="29"/>
      <c r="CF165" s="29"/>
      <c r="CG165" s="29"/>
      <c r="CH165" s="29"/>
      <c r="CI165" s="29"/>
      <c r="CJ165" s="29"/>
      <c r="CK165" s="29"/>
      <c r="CL165" s="29"/>
      <c r="CM165" s="29"/>
      <c r="CN165" s="29"/>
      <c r="CO165" s="29"/>
      <c r="CP165" s="29"/>
      <c r="CQ165" s="29"/>
      <c r="CR165" s="29"/>
      <c r="CS165" s="29"/>
      <c r="CT165" s="29"/>
      <c r="CU165" s="29"/>
      <c r="CV165" s="29"/>
      <c r="CW165" s="29"/>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row>
    <row r="166" spans="1:131">
      <c r="A166" s="7"/>
      <c r="B166" s="7"/>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c r="CH166" s="29"/>
      <c r="CI166" s="29"/>
      <c r="CJ166" s="29"/>
      <c r="CK166" s="29"/>
      <c r="CL166" s="29"/>
      <c r="CM166" s="29"/>
      <c r="CN166" s="29"/>
      <c r="CO166" s="29"/>
      <c r="CP166" s="29"/>
      <c r="CQ166" s="29"/>
      <c r="CR166" s="29"/>
      <c r="CS166" s="29"/>
      <c r="CT166" s="29"/>
      <c r="CU166" s="29"/>
      <c r="CV166" s="29"/>
      <c r="CW166" s="29"/>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row>
    <row r="167" spans="1:131">
      <c r="A167" s="7"/>
      <c r="B167" s="7"/>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c r="AY167" s="29"/>
      <c r="AZ167" s="29"/>
      <c r="BA167" s="29"/>
      <c r="BB167" s="29"/>
      <c r="BC167" s="29"/>
      <c r="BD167" s="29"/>
      <c r="BE167" s="29"/>
      <c r="BF167" s="29"/>
      <c r="BG167" s="29"/>
      <c r="BH167" s="29"/>
      <c r="BI167" s="29"/>
      <c r="BJ167" s="29"/>
      <c r="BK167" s="29"/>
      <c r="BL167" s="29"/>
      <c r="BM167" s="29"/>
      <c r="BN167" s="29"/>
      <c r="BO167" s="29"/>
      <c r="BP167" s="29"/>
      <c r="BQ167" s="29"/>
      <c r="BR167" s="29"/>
      <c r="BS167" s="29"/>
      <c r="BT167" s="29"/>
      <c r="BU167" s="29"/>
      <c r="BV167" s="29"/>
      <c r="BW167" s="29"/>
      <c r="BX167" s="29"/>
      <c r="BY167" s="29"/>
      <c r="BZ167" s="29"/>
      <c r="CA167" s="29"/>
      <c r="CB167" s="29"/>
      <c r="CC167" s="29"/>
      <c r="CD167" s="29"/>
      <c r="CE167" s="29"/>
      <c r="CF167" s="29"/>
      <c r="CG167" s="29"/>
      <c r="CH167" s="29"/>
      <c r="CI167" s="29"/>
      <c r="CJ167" s="29"/>
      <c r="CK167" s="29"/>
      <c r="CL167" s="29"/>
      <c r="CM167" s="29"/>
      <c r="CN167" s="29"/>
      <c r="CO167" s="29"/>
      <c r="CP167" s="29"/>
      <c r="CQ167" s="29"/>
      <c r="CR167" s="29"/>
      <c r="CS167" s="29"/>
      <c r="CT167" s="29"/>
      <c r="CU167" s="29"/>
      <c r="CV167" s="29"/>
      <c r="CW167" s="29"/>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row>
    <row r="168" spans="1:131" ht="13.5" thickBot="1">
      <c r="A168" s="27" t="s">
        <v>45</v>
      </c>
      <c r="B168" s="28"/>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c r="CH168" s="29"/>
      <c r="CI168" s="29"/>
      <c r="CJ168" s="29"/>
      <c r="CK168" s="29"/>
      <c r="CL168" s="29"/>
      <c r="CM168" s="29"/>
      <c r="CN168" s="29"/>
      <c r="CO168" s="29"/>
      <c r="CP168" s="29"/>
      <c r="CQ168" s="29"/>
      <c r="CR168" s="29"/>
      <c r="CS168" s="29"/>
      <c r="CT168" s="29"/>
      <c r="CU168" s="29"/>
      <c r="CV168" s="29"/>
      <c r="CW168" s="29"/>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row>
    <row r="169" spans="1:131" ht="13.5" thickBot="1">
      <c r="A169" s="36"/>
      <c r="B169" s="37"/>
      <c r="C169" s="38"/>
      <c r="D169" s="38"/>
      <c r="E169" s="38"/>
      <c r="F169" s="38"/>
      <c r="G169" s="38"/>
      <c r="H169" s="38"/>
      <c r="I169" s="38"/>
      <c r="J169" s="38"/>
      <c r="K169" s="38"/>
      <c r="L169" s="38"/>
      <c r="M169" s="38"/>
      <c r="N169" s="38"/>
      <c r="O169" s="39" t="s">
        <v>507</v>
      </c>
      <c r="P169" s="40"/>
      <c r="Q169" s="40"/>
      <c r="R169" s="40"/>
      <c r="S169" s="40"/>
      <c r="T169" s="40"/>
      <c r="U169" s="40"/>
      <c r="V169" s="40"/>
      <c r="W169" s="40"/>
      <c r="X169" s="40"/>
      <c r="Y169" s="40"/>
      <c r="Z169" s="34"/>
      <c r="AA169" s="38"/>
      <c r="AB169" s="39" t="s">
        <v>508</v>
      </c>
      <c r="AC169" s="40"/>
      <c r="AD169" s="40"/>
      <c r="AE169" s="40"/>
      <c r="AF169" s="40"/>
      <c r="AG169" s="40"/>
      <c r="AH169" s="40"/>
      <c r="AI169" s="40"/>
      <c r="AJ169" s="40"/>
      <c r="AK169" s="40"/>
      <c r="AL169" s="40"/>
      <c r="AM169" s="34"/>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c r="CH169" s="29"/>
      <c r="CI169" s="29"/>
      <c r="CJ169" s="29"/>
      <c r="CK169" s="29"/>
      <c r="CL169" s="29"/>
      <c r="CM169" s="29"/>
      <c r="CN169" s="29"/>
      <c r="CO169" s="29"/>
      <c r="CP169" s="29"/>
      <c r="CQ169" s="29"/>
      <c r="CR169" s="29"/>
      <c r="CS169" s="29"/>
      <c r="CT169" s="29"/>
      <c r="CU169" s="29"/>
      <c r="CV169" s="29"/>
      <c r="CW169" s="29"/>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row>
    <row r="170" spans="1:131" ht="204">
      <c r="A170" s="30" t="s">
        <v>21</v>
      </c>
      <c r="B170" s="31" t="s">
        <v>22</v>
      </c>
      <c r="C170" s="32" t="s">
        <v>46</v>
      </c>
      <c r="D170" s="32" t="s">
        <v>25</v>
      </c>
      <c r="E170" s="32" t="s">
        <v>26</v>
      </c>
      <c r="F170" s="32" t="s">
        <v>27</v>
      </c>
      <c r="G170" s="32" t="s">
        <v>28</v>
      </c>
      <c r="H170" s="32" t="s">
        <v>29</v>
      </c>
      <c r="I170" s="32" t="s">
        <v>30</v>
      </c>
      <c r="J170" s="32" t="s">
        <v>31</v>
      </c>
      <c r="K170" s="32" t="s">
        <v>24</v>
      </c>
      <c r="L170" s="32" t="s">
        <v>23</v>
      </c>
      <c r="M170" s="32" t="s">
        <v>32</v>
      </c>
      <c r="N170" s="32" t="s">
        <v>509</v>
      </c>
      <c r="O170" s="32" t="s">
        <v>33</v>
      </c>
      <c r="P170" s="32" t="s">
        <v>34</v>
      </c>
      <c r="Q170" s="32" t="s">
        <v>35</v>
      </c>
      <c r="R170" s="32" t="s">
        <v>36</v>
      </c>
      <c r="S170" s="32" t="s">
        <v>37</v>
      </c>
      <c r="T170" s="32" t="s">
        <v>38</v>
      </c>
      <c r="U170" s="32" t="s">
        <v>39</v>
      </c>
      <c r="V170" s="32" t="s">
        <v>40</v>
      </c>
      <c r="W170" s="32" t="s">
        <v>41</v>
      </c>
      <c r="X170" s="32" t="s">
        <v>42</v>
      </c>
      <c r="Y170" s="32" t="s">
        <v>43</v>
      </c>
      <c r="Z170" s="32" t="s">
        <v>44</v>
      </c>
      <c r="AA170" s="32"/>
      <c r="AB170" s="32" t="s">
        <v>33</v>
      </c>
      <c r="AC170" s="32" t="s">
        <v>34</v>
      </c>
      <c r="AD170" s="32" t="s">
        <v>35</v>
      </c>
      <c r="AE170" s="32" t="s">
        <v>36</v>
      </c>
      <c r="AF170" s="32" t="s">
        <v>37</v>
      </c>
      <c r="AG170" s="32" t="s">
        <v>38</v>
      </c>
      <c r="AH170" s="32" t="s">
        <v>39</v>
      </c>
      <c r="AI170" s="32" t="s">
        <v>40</v>
      </c>
      <c r="AJ170" s="32" t="s">
        <v>41</v>
      </c>
      <c r="AK170" s="32" t="s">
        <v>42</v>
      </c>
      <c r="AL170" s="32" t="s">
        <v>43</v>
      </c>
      <c r="AM170" s="32" t="s">
        <v>44</v>
      </c>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c r="CH170" s="29"/>
      <c r="CI170" s="29"/>
      <c r="CJ170" s="29"/>
      <c r="CK170" s="29"/>
      <c r="CL170" s="29"/>
      <c r="CM170" s="29"/>
      <c r="CN170" s="29"/>
      <c r="CO170" s="29"/>
      <c r="CP170" s="29"/>
      <c r="CQ170" s="29"/>
      <c r="CR170" s="29"/>
      <c r="CS170" s="29"/>
      <c r="CT170" s="29"/>
      <c r="CU170" s="29"/>
      <c r="CV170" s="29"/>
      <c r="CW170" s="29"/>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row>
    <row r="171" spans="1:131">
      <c r="A171" s="7" t="s">
        <v>802</v>
      </c>
      <c r="B171" s="7"/>
      <c r="C171" s="35">
        <v>169.0298278611364</v>
      </c>
      <c r="D171" s="35">
        <v>80.823411921055211</v>
      </c>
      <c r="E171" s="35">
        <v>16.164682384211044</v>
      </c>
      <c r="F171" s="35">
        <v>96.988094305266259</v>
      </c>
      <c r="G171" s="35">
        <v>116.61885513795443</v>
      </c>
      <c r="H171" s="35">
        <v>152.90687988840597</v>
      </c>
      <c r="I171" s="35">
        <v>5026.4247255349501</v>
      </c>
      <c r="J171" s="35">
        <v>13.790670511348194</v>
      </c>
      <c r="K171" s="35">
        <v>22.457961847090477</v>
      </c>
      <c r="L171" s="33">
        <v>1.3111677327609208</v>
      </c>
      <c r="M171" s="35">
        <v>1.6058166452190394</v>
      </c>
      <c r="N171" s="35">
        <v>4.9049505856757158E-2</v>
      </c>
      <c r="O171" s="35">
        <v>12.006471379831348</v>
      </c>
      <c r="P171" s="35">
        <v>8.7674756243627332</v>
      </c>
      <c r="Q171" s="35">
        <v>7.1024970541687775</v>
      </c>
      <c r="R171" s="35">
        <v>6.3689748539510038</v>
      </c>
      <c r="S171" s="35">
        <v>3.2948142482423166</v>
      </c>
      <c r="T171" s="35">
        <v>2.6322935400729328</v>
      </c>
      <c r="U171" s="35">
        <v>12.261637239554869</v>
      </c>
      <c r="V171" s="35">
        <v>12.279938120216404</v>
      </c>
      <c r="W171" s="35">
        <v>5.7041289355993063</v>
      </c>
      <c r="X171" s="35">
        <v>6.17316658743239</v>
      </c>
      <c r="Y171" s="35">
        <v>8.688976144078504</v>
      </c>
      <c r="Z171" s="35">
        <v>15.162141592515209</v>
      </c>
      <c r="AA171" s="35"/>
      <c r="AB171" s="35">
        <v>11.392174477335256</v>
      </c>
      <c r="AC171" s="35">
        <v>8.068916982697397</v>
      </c>
      <c r="AD171" s="35">
        <v>5.9584721345602674</v>
      </c>
      <c r="AE171" s="35">
        <v>5.6159043522117962</v>
      </c>
      <c r="AF171" s="35">
        <v>2.5124730163358895</v>
      </c>
      <c r="AG171" s="35">
        <v>0.94116177866344886</v>
      </c>
      <c r="AH171" s="35">
        <v>4.6530354811797849</v>
      </c>
      <c r="AI171" s="35">
        <v>3.2448936274537363</v>
      </c>
      <c r="AJ171" s="35">
        <v>2.6165858770467385</v>
      </c>
      <c r="AK171" s="35">
        <v>3.6213752279299483</v>
      </c>
      <c r="AL171" s="35">
        <v>6.8418386463885383</v>
      </c>
      <c r="AM171" s="29">
        <v>13.120480939307816</v>
      </c>
      <c r="AN171" s="29"/>
      <c r="AO171" s="29"/>
      <c r="AP171" s="29"/>
      <c r="AQ171" s="29"/>
      <c r="AR171" s="29"/>
      <c r="AS171" s="29"/>
      <c r="AT171" s="29"/>
      <c r="AU171" s="29"/>
      <c r="AV171" s="29"/>
      <c r="AW171" s="29"/>
      <c r="AX171" s="29"/>
      <c r="AY171" s="29"/>
      <c r="AZ171" s="29"/>
      <c r="BA171" s="29"/>
      <c r="BB171" s="29"/>
      <c r="BC171" s="29"/>
      <c r="BD171" s="29"/>
      <c r="BE171" s="29"/>
      <c r="BF171" s="29"/>
      <c r="BG171" s="29"/>
      <c r="BH171" s="29"/>
      <c r="BI171" s="29"/>
      <c r="BJ171" s="29"/>
      <c r="BK171" s="29"/>
      <c r="BL171" s="29"/>
      <c r="BM171" s="29"/>
      <c r="BN171" s="29"/>
      <c r="BO171" s="29"/>
      <c r="BP171" s="29"/>
      <c r="BQ171" s="29"/>
      <c r="BR171" s="29"/>
      <c r="BS171" s="29"/>
      <c r="BT171" s="29"/>
      <c r="BU171" s="29"/>
      <c r="BV171" s="29"/>
      <c r="BW171" s="29"/>
      <c r="BX171" s="29"/>
      <c r="BY171" s="29"/>
      <c r="BZ171" s="29"/>
      <c r="CA171" s="29"/>
      <c r="CB171" s="29"/>
      <c r="CC171" s="29"/>
      <c r="CD171" s="29"/>
      <c r="CE171" s="29"/>
      <c r="CF171" s="29"/>
      <c r="CG171" s="29"/>
      <c r="CH171" s="29"/>
      <c r="CI171" s="29"/>
      <c r="CJ171" s="29"/>
      <c r="CK171" s="29"/>
      <c r="CL171" s="29"/>
      <c r="CM171" s="29"/>
      <c r="CN171" s="29"/>
      <c r="CO171" s="29"/>
      <c r="CP171" s="29"/>
      <c r="CQ171" s="29"/>
      <c r="CR171" s="29"/>
      <c r="CS171" s="29"/>
      <c r="CT171" s="29"/>
      <c r="CU171" s="29"/>
      <c r="CV171" s="29"/>
      <c r="CW171" s="29"/>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row>
    <row r="172" spans="1:131">
      <c r="A172" s="7" t="s">
        <v>492</v>
      </c>
      <c r="B172" s="7"/>
      <c r="C172" s="35">
        <v>124.08062075865485</v>
      </c>
      <c r="D172" s="35">
        <v>89.471516996608102</v>
      </c>
      <c r="E172" s="35">
        <v>17.894303399321622</v>
      </c>
      <c r="F172" s="35">
        <v>107.36582039592972</v>
      </c>
      <c r="G172" s="35">
        <v>129.09707263771551</v>
      </c>
      <c r="H172" s="35">
        <v>120.7781117539098</v>
      </c>
      <c r="I172" s="35">
        <v>7579.9474641388842</v>
      </c>
      <c r="J172" s="35">
        <v>25.807435735748005</v>
      </c>
      <c r="K172" s="35">
        <v>43.176739339049384</v>
      </c>
      <c r="L172" s="109">
        <v>0.93556042198453893</v>
      </c>
      <c r="M172" s="35">
        <v>1.1787802224710189</v>
      </c>
      <c r="N172" s="35">
        <v>4.3346970370706665E-2</v>
      </c>
      <c r="O172" s="35">
        <v>10.610589241779071</v>
      </c>
      <c r="P172" s="35">
        <v>7.7481617699679397</v>
      </c>
      <c r="Q172" s="35">
        <v>6.2767549639375693</v>
      </c>
      <c r="R172" s="35">
        <v>5.441811550458886</v>
      </c>
      <c r="S172" s="35">
        <v>1.9967766602870736</v>
      </c>
      <c r="T172" s="35">
        <v>1.2909862967048349</v>
      </c>
      <c r="U172" s="35">
        <v>3.7535222094406371</v>
      </c>
      <c r="V172" s="35">
        <v>3.7436397019873975</v>
      </c>
      <c r="W172" s="35">
        <v>2.1770125722317299</v>
      </c>
      <c r="X172" s="35">
        <v>4.9453330739294623</v>
      </c>
      <c r="Y172" s="35">
        <v>7.6787887031742885</v>
      </c>
      <c r="Z172" s="35">
        <v>13.399378666251623</v>
      </c>
      <c r="AA172" s="35"/>
      <c r="AB172" s="35">
        <v>10.067710997315643</v>
      </c>
      <c r="AC172" s="35">
        <v>7.1308181247353346</v>
      </c>
      <c r="AD172" s="35">
        <v>5.2657353129253561</v>
      </c>
      <c r="AE172" s="35">
        <v>4.9114066188347252</v>
      </c>
      <c r="AF172" s="35">
        <v>1.9416116454835579</v>
      </c>
      <c r="AG172" s="35">
        <v>0.59980391695016422</v>
      </c>
      <c r="AH172" s="35">
        <v>1.8476079231232834</v>
      </c>
      <c r="AI172" s="35">
        <v>1.3227375289491934</v>
      </c>
      <c r="AJ172" s="35">
        <v>1.2508177803952734</v>
      </c>
      <c r="AK172" s="35">
        <v>3.0381314420568901</v>
      </c>
      <c r="AL172" s="35">
        <v>6.0464009148688147</v>
      </c>
      <c r="AM172" s="29">
        <v>11.595083142866111</v>
      </c>
      <c r="AN172" s="29"/>
      <c r="AO172" s="29"/>
      <c r="AP172" s="29"/>
      <c r="AQ172" s="29"/>
      <c r="AR172" s="29"/>
      <c r="AS172" s="29"/>
      <c r="AT172" s="29"/>
      <c r="AU172" s="29"/>
      <c r="AV172" s="29"/>
      <c r="AW172" s="29"/>
      <c r="AX172" s="29"/>
      <c r="AY172" s="29"/>
      <c r="AZ172" s="29"/>
      <c r="BA172" s="29"/>
      <c r="BB172" s="29"/>
      <c r="BC172" s="29"/>
      <c r="BD172" s="29"/>
      <c r="BE172" s="29"/>
      <c r="BF172" s="29"/>
      <c r="BG172" s="29"/>
      <c r="BH172" s="29"/>
      <c r="BI172" s="29"/>
      <c r="BJ172" s="29"/>
      <c r="BK172" s="29"/>
      <c r="BL172" s="29"/>
      <c r="BM172" s="29"/>
      <c r="BN172" s="29"/>
      <c r="BO172" s="29"/>
      <c r="BP172" s="29"/>
      <c r="BQ172" s="29"/>
      <c r="BR172" s="29"/>
      <c r="BS172" s="29"/>
      <c r="BT172" s="29"/>
      <c r="BU172" s="29"/>
      <c r="BV172" s="29"/>
      <c r="BW172" s="29"/>
      <c r="BX172" s="29"/>
      <c r="BY172" s="29"/>
      <c r="BZ172" s="29"/>
      <c r="CA172" s="29"/>
      <c r="CB172" s="29"/>
      <c r="CC172" s="29"/>
      <c r="CD172" s="29"/>
      <c r="CE172" s="29"/>
      <c r="CF172" s="29"/>
      <c r="CG172" s="29"/>
      <c r="CH172" s="29"/>
      <c r="CI172" s="29"/>
      <c r="CJ172" s="29"/>
      <c r="CK172" s="29"/>
      <c r="CL172" s="29"/>
      <c r="CM172" s="29"/>
      <c r="CN172" s="29"/>
      <c r="CO172" s="29"/>
      <c r="CP172" s="29"/>
      <c r="CQ172" s="29"/>
      <c r="CR172" s="29"/>
      <c r="CS172" s="29"/>
      <c r="CT172" s="29"/>
      <c r="CU172" s="29"/>
      <c r="CV172" s="29"/>
      <c r="CW172" s="29"/>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row>
    <row r="173" spans="1:131">
      <c r="A173" s="7" t="s">
        <v>487</v>
      </c>
      <c r="B173" s="7"/>
      <c r="C173" s="35">
        <v>2811.7504025708308</v>
      </c>
      <c r="D173" s="35">
        <v>2878.5049609349367</v>
      </c>
      <c r="E173" s="35">
        <v>575.70099218698738</v>
      </c>
      <c r="F173" s="35">
        <v>3454.2059531219238</v>
      </c>
      <c r="G173" s="35">
        <v>4153.3504349091309</v>
      </c>
      <c r="H173" s="35">
        <v>2783.7833114875893</v>
      </c>
      <c r="I173" s="35">
        <v>10761.568353180241</v>
      </c>
      <c r="J173" s="35">
        <v>44.965269860468389</v>
      </c>
      <c r="K173" s="35">
        <v>74.084180782573597</v>
      </c>
      <c r="L173" s="109">
        <v>0.67025004393795984</v>
      </c>
      <c r="M173" s="35">
        <v>26.711953444533744</v>
      </c>
      <c r="N173" s="35">
        <v>0.98227153967436376</v>
      </c>
      <c r="O173" s="35">
        <v>240.44309768919737</v>
      </c>
      <c r="P173" s="35">
        <v>175.57856353845051</v>
      </c>
      <c r="Q173" s="35">
        <v>142.23549442690035</v>
      </c>
      <c r="R173" s="35">
        <v>123.31511423166664</v>
      </c>
      <c r="S173" s="35">
        <v>45.248302968257285</v>
      </c>
      <c r="T173" s="35">
        <v>29.254617919927568</v>
      </c>
      <c r="U173" s="35">
        <v>85.057334494346051</v>
      </c>
      <c r="V173" s="35">
        <v>84.83339019638548</v>
      </c>
      <c r="W173" s="35">
        <v>49.332568320368289</v>
      </c>
      <c r="X173" s="35">
        <v>112.06457731407491</v>
      </c>
      <c r="Y173" s="35">
        <v>174.00652312712381</v>
      </c>
      <c r="Z173" s="35">
        <v>303.6389440973112</v>
      </c>
      <c r="AA173" s="35"/>
      <c r="AB173" s="35">
        <v>228.14111108011312</v>
      </c>
      <c r="AC173" s="35">
        <v>161.58914080083255</v>
      </c>
      <c r="AD173" s="35">
        <v>119.32510828577509</v>
      </c>
      <c r="AE173" s="35">
        <v>111.29578141539022</v>
      </c>
      <c r="AF173" s="35">
        <v>43.998227166970274</v>
      </c>
      <c r="AG173" s="35">
        <v>13.591960470147514</v>
      </c>
      <c r="AH173" s="35">
        <v>41.868037691307592</v>
      </c>
      <c r="AI173" s="35">
        <v>29.974121757092149</v>
      </c>
      <c r="AJ173" s="35">
        <v>28.344372265616705</v>
      </c>
      <c r="AK173" s="35">
        <v>68.846104291667999</v>
      </c>
      <c r="AL173" s="35">
        <v>137.01551654807955</v>
      </c>
      <c r="AM173" s="29">
        <v>262.75239247382899</v>
      </c>
      <c r="AN173" s="29"/>
      <c r="AO173" s="29"/>
      <c r="AP173" s="29"/>
      <c r="AQ173" s="29"/>
      <c r="AR173" s="29"/>
      <c r="AS173" s="29"/>
      <c r="AT173" s="29"/>
      <c r="AU173" s="29"/>
      <c r="AV173" s="29"/>
      <c r="AW173" s="29"/>
      <c r="AX173" s="29"/>
      <c r="AY173" s="29"/>
      <c r="AZ173" s="29"/>
      <c r="BA173" s="29"/>
      <c r="BB173" s="29"/>
      <c r="BC173" s="29"/>
      <c r="BD173" s="29"/>
      <c r="BE173" s="29"/>
      <c r="BF173" s="29"/>
      <c r="BG173" s="29"/>
      <c r="BH173" s="29"/>
      <c r="BI173" s="29"/>
      <c r="BJ173" s="29"/>
      <c r="BK173" s="29"/>
      <c r="BL173" s="29"/>
      <c r="BM173" s="29"/>
      <c r="BN173" s="29"/>
      <c r="BO173" s="29"/>
      <c r="BP173" s="29"/>
      <c r="BQ173" s="29"/>
      <c r="BR173" s="29"/>
      <c r="BS173" s="29"/>
      <c r="BT173" s="29"/>
      <c r="BU173" s="29"/>
      <c r="BV173" s="29"/>
      <c r="BW173" s="29"/>
      <c r="BX173" s="29"/>
      <c r="BY173" s="29"/>
      <c r="BZ173" s="29"/>
      <c r="CA173" s="29"/>
      <c r="CB173" s="29"/>
      <c r="CC173" s="29"/>
      <c r="CD173" s="29"/>
      <c r="CE173" s="29"/>
      <c r="CF173" s="29"/>
      <c r="CG173" s="29"/>
      <c r="CH173" s="29"/>
      <c r="CI173" s="29"/>
      <c r="CJ173" s="29"/>
      <c r="CK173" s="29"/>
      <c r="CL173" s="29"/>
      <c r="CM173" s="29"/>
      <c r="CN173" s="29"/>
      <c r="CO173" s="29"/>
      <c r="CP173" s="29"/>
      <c r="CQ173" s="29"/>
      <c r="CR173" s="29"/>
      <c r="CS173" s="29"/>
      <c r="CT173" s="29"/>
      <c r="CU173" s="29"/>
      <c r="CV173" s="29"/>
      <c r="CW173" s="29"/>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row>
    <row r="174" spans="1:131">
      <c r="A174" s="7" t="s">
        <v>493</v>
      </c>
      <c r="B174" s="7"/>
      <c r="C174" s="35">
        <v>86.842458591402192</v>
      </c>
      <c r="D174" s="35">
        <v>89.471516996608102</v>
      </c>
      <c r="E174" s="35">
        <v>17.894303399321622</v>
      </c>
      <c r="F174" s="35">
        <v>107.36582039592972</v>
      </c>
      <c r="G174" s="35">
        <v>129.09707263771551</v>
      </c>
      <c r="H174" s="35">
        <v>81.460023321922563</v>
      </c>
      <c r="I174" s="35">
        <v>10830.239054994474</v>
      </c>
      <c r="J174" s="35">
        <v>45.378764342202317</v>
      </c>
      <c r="K174" s="35">
        <v>78.606411348488919</v>
      </c>
      <c r="L174" s="109">
        <v>0.63099822217133794</v>
      </c>
      <c r="M174" s="35">
        <v>0.8250133826895939</v>
      </c>
      <c r="N174" s="35">
        <v>3.0337996719571263E-2</v>
      </c>
      <c r="O174" s="35">
        <v>7.4262173078501981</v>
      </c>
      <c r="P174" s="35">
        <v>5.4228404972645539</v>
      </c>
      <c r="Q174" s="35">
        <v>4.3930214701735384</v>
      </c>
      <c r="R174" s="35">
        <v>3.8086551299283466</v>
      </c>
      <c r="S174" s="35">
        <v>1.3975187598051817</v>
      </c>
      <c r="T174" s="35">
        <v>0.90354500603081045</v>
      </c>
      <c r="U174" s="35">
        <v>2.6270428453575256</v>
      </c>
      <c r="V174" s="35">
        <v>2.6201262036228599</v>
      </c>
      <c r="W174" s="35">
        <v>1.5236636214346388</v>
      </c>
      <c r="X174" s="35">
        <v>3.4611761230861458</v>
      </c>
      <c r="Y174" s="35">
        <v>5.3742871645907053</v>
      </c>
      <c r="Z174" s="35">
        <v>9.3780557797817732</v>
      </c>
      <c r="AA174" s="35"/>
      <c r="AB174" s="35">
        <v>7.0462636857445071</v>
      </c>
      <c r="AC174" s="35">
        <v>4.9907694822952644</v>
      </c>
      <c r="AD174" s="35">
        <v>3.6854215942532926</v>
      </c>
      <c r="AE174" s="35">
        <v>3.4374314201163703</v>
      </c>
      <c r="AF174" s="35">
        <v>1.3589094550608349</v>
      </c>
      <c r="AG174" s="35">
        <v>0.41979518377011948</v>
      </c>
      <c r="AH174" s="35">
        <v>1.2931174630988536</v>
      </c>
      <c r="AI174" s="35">
        <v>0.92576729866871887</v>
      </c>
      <c r="AJ174" s="35">
        <v>0.87543156947180745</v>
      </c>
      <c r="AK174" s="35">
        <v>2.1263498007796389</v>
      </c>
      <c r="AL174" s="35">
        <v>4.2317995825716652</v>
      </c>
      <c r="AM174" s="29">
        <v>8.1152521466448526</v>
      </c>
      <c r="AN174" s="29"/>
      <c r="AO174" s="29"/>
      <c r="AP174" s="29"/>
      <c r="AQ174" s="29"/>
      <c r="AR174" s="29"/>
      <c r="AS174" s="29"/>
      <c r="AT174" s="29"/>
      <c r="AU174" s="29"/>
      <c r="AV174" s="29"/>
      <c r="AW174" s="29"/>
      <c r="AX174" s="29"/>
      <c r="AY174" s="29"/>
      <c r="AZ174" s="29"/>
      <c r="BA174" s="29"/>
      <c r="BB174" s="29"/>
      <c r="BC174" s="29"/>
      <c r="BD174" s="29"/>
      <c r="BE174" s="29"/>
      <c r="BF174" s="29"/>
      <c r="BG174" s="29"/>
      <c r="BH174" s="29"/>
      <c r="BI174" s="29"/>
      <c r="BJ174" s="29"/>
      <c r="BK174" s="29"/>
      <c r="BL174" s="29"/>
      <c r="BM174" s="29"/>
      <c r="BN174" s="29"/>
      <c r="BO174" s="29"/>
      <c r="BP174" s="29"/>
      <c r="BQ174" s="29"/>
      <c r="BR174" s="29"/>
      <c r="BS174" s="29"/>
      <c r="BT174" s="29"/>
      <c r="BU174" s="29"/>
      <c r="BV174" s="29"/>
      <c r="BW174" s="29"/>
      <c r="BX174" s="29"/>
      <c r="BY174" s="29"/>
      <c r="BZ174" s="29"/>
      <c r="CA174" s="29"/>
      <c r="CB174" s="29"/>
      <c r="CC174" s="29"/>
      <c r="CD174" s="29"/>
      <c r="CE174" s="29"/>
      <c r="CF174" s="29"/>
      <c r="CG174" s="29"/>
      <c r="CH174" s="29"/>
      <c r="CI174" s="29"/>
      <c r="CJ174" s="29"/>
      <c r="CK174" s="29"/>
      <c r="CL174" s="29"/>
      <c r="CM174" s="29"/>
      <c r="CN174" s="29"/>
      <c r="CO174" s="29"/>
      <c r="CP174" s="29"/>
      <c r="CQ174" s="29"/>
      <c r="CR174" s="29"/>
      <c r="CS174" s="29"/>
      <c r="CT174" s="29"/>
      <c r="CU174" s="29"/>
      <c r="CV174" s="29"/>
      <c r="CW174" s="29"/>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row>
    <row r="175" spans="1:131">
      <c r="A175" s="7" t="s">
        <v>488</v>
      </c>
      <c r="B175" s="7"/>
      <c r="C175" s="35">
        <v>2761.80746743703</v>
      </c>
      <c r="D175" s="35">
        <v>2911.5329115654022</v>
      </c>
      <c r="E175" s="35">
        <v>582.30658231308041</v>
      </c>
      <c r="F175" s="35">
        <v>3493.8394938784827</v>
      </c>
      <c r="G175" s="35">
        <v>4201.0059557356944</v>
      </c>
      <c r="H175" s="35">
        <v>2587.4357700849928</v>
      </c>
      <c r="I175" s="35">
        <v>11081.885441774855</v>
      </c>
      <c r="J175" s="35">
        <v>46.894029419671732</v>
      </c>
      <c r="K175" s="35">
        <v>81.233181270377628</v>
      </c>
      <c r="L175" s="109">
        <v>0.61590861744728764</v>
      </c>
      <c r="M175" s="35">
        <v>26.237489794788154</v>
      </c>
      <c r="N175" s="35">
        <v>0.96482421441975341</v>
      </c>
      <c r="O175" s="35">
        <v>236.17229398455152</v>
      </c>
      <c r="P175" s="35">
        <v>172.45989809609415</v>
      </c>
      <c r="Q175" s="35">
        <v>139.70907598374851</v>
      </c>
      <c r="R175" s="35">
        <v>121.12476378398435</v>
      </c>
      <c r="S175" s="35">
        <v>44.444592561772609</v>
      </c>
      <c r="T175" s="35">
        <v>28.734990899631025</v>
      </c>
      <c r="U175" s="35">
        <v>83.546527232771709</v>
      </c>
      <c r="V175" s="35">
        <v>83.326560683190152</v>
      </c>
      <c r="W175" s="35">
        <v>48.456312287032375</v>
      </c>
      <c r="X175" s="35">
        <v>110.07406140216098</v>
      </c>
      <c r="Y175" s="35">
        <v>170.91578061571064</v>
      </c>
      <c r="Z175" s="35">
        <v>298.24564173268351</v>
      </c>
      <c r="AA175" s="35"/>
      <c r="AB175" s="35">
        <v>224.08881799394419</v>
      </c>
      <c r="AC175" s="35">
        <v>158.71895859225529</v>
      </c>
      <c r="AD175" s="35">
        <v>117.20562920976144</v>
      </c>
      <c r="AE175" s="35">
        <v>109.31892102663669</v>
      </c>
      <c r="AF175" s="35">
        <v>43.216720884036739</v>
      </c>
      <c r="AG175" s="35">
        <v>13.350537049615911</v>
      </c>
      <c r="AH175" s="35">
        <v>41.124368308459673</v>
      </c>
      <c r="AI175" s="35">
        <v>29.44171475021836</v>
      </c>
      <c r="AJ175" s="35">
        <v>27.840913230821457</v>
      </c>
      <c r="AK175" s="35">
        <v>67.62324449633293</v>
      </c>
      <c r="AL175" s="35">
        <v>134.58181651139182</v>
      </c>
      <c r="AM175" s="29">
        <v>258.08532612022407</v>
      </c>
      <c r="AN175" s="29"/>
      <c r="AO175" s="29"/>
      <c r="AP175" s="29"/>
      <c r="AQ175" s="29"/>
      <c r="AR175" s="29"/>
      <c r="AS175" s="29"/>
      <c r="AT175" s="29"/>
      <c r="AU175" s="29"/>
      <c r="AV175" s="29"/>
      <c r="AW175" s="29"/>
      <c r="AX175" s="29"/>
      <c r="AY175" s="29"/>
      <c r="AZ175" s="29"/>
      <c r="BA175" s="29"/>
      <c r="BB175" s="29"/>
      <c r="BC175" s="29"/>
      <c r="BD175" s="29"/>
      <c r="BE175" s="29"/>
      <c r="BF175" s="29"/>
      <c r="BG175" s="29"/>
      <c r="BH175" s="29"/>
      <c r="BI175" s="29"/>
      <c r="BJ175" s="29"/>
      <c r="BK175" s="29"/>
      <c r="BL175" s="29"/>
      <c r="BM175" s="29"/>
      <c r="BN175" s="29"/>
      <c r="BO175" s="29"/>
      <c r="BP175" s="29"/>
      <c r="BQ175" s="29"/>
      <c r="BR175" s="29"/>
      <c r="BS175" s="29"/>
      <c r="BT175" s="29"/>
      <c r="BU175" s="29"/>
      <c r="BV175" s="29"/>
      <c r="BW175" s="29"/>
      <c r="BX175" s="29"/>
      <c r="BY175" s="29"/>
      <c r="BZ175" s="29"/>
      <c r="CA175" s="29"/>
      <c r="CB175" s="29"/>
      <c r="CC175" s="29"/>
      <c r="CD175" s="29"/>
      <c r="CE175" s="29"/>
      <c r="CF175" s="29"/>
      <c r="CG175" s="29"/>
      <c r="CH175" s="29"/>
      <c r="CI175" s="29"/>
      <c r="CJ175" s="29"/>
      <c r="CK175" s="29"/>
      <c r="CL175" s="29"/>
      <c r="CM175" s="29"/>
      <c r="CN175" s="29"/>
      <c r="CO175" s="29"/>
      <c r="CP175" s="29"/>
      <c r="CQ175" s="29"/>
      <c r="CR175" s="29"/>
      <c r="CS175" s="29"/>
      <c r="CT175" s="29"/>
      <c r="CU175" s="29"/>
      <c r="CV175" s="29"/>
      <c r="CW175" s="29"/>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row>
    <row r="176" spans="1:131">
      <c r="A176" s="7" t="s">
        <v>489</v>
      </c>
      <c r="B176" s="7"/>
      <c r="C176" s="35">
        <v>2743.9389887282687</v>
      </c>
      <c r="D176" s="35">
        <v>3231.068075449366</v>
      </c>
      <c r="E176" s="35">
        <v>646.2136150898732</v>
      </c>
      <c r="F176" s="35">
        <v>3877.2816905392392</v>
      </c>
      <c r="G176" s="35">
        <v>4662.0583179505466</v>
      </c>
      <c r="H176" s="35">
        <v>2818.4637877167406</v>
      </c>
      <c r="I176" s="35">
        <v>12378.186158164348</v>
      </c>
      <c r="J176" s="35">
        <v>54.209410052406042</v>
      </c>
      <c r="K176" s="35">
        <v>87.679832343793066</v>
      </c>
      <c r="L176" s="109">
        <v>0.60455352453757916</v>
      </c>
      <c r="M176" s="35">
        <v>26.067704574251859</v>
      </c>
      <c r="N176" s="35">
        <v>0.98227153967436376</v>
      </c>
      <c r="O176" s="35">
        <v>240.44309768919737</v>
      </c>
      <c r="P176" s="35">
        <v>175.57856353845051</v>
      </c>
      <c r="Q176" s="35">
        <v>142.23549442690035</v>
      </c>
      <c r="R176" s="35">
        <v>122.81465431525187</v>
      </c>
      <c r="S176" s="35">
        <v>42.795662297975269</v>
      </c>
      <c r="T176" s="35">
        <v>26.479521992131069</v>
      </c>
      <c r="U176" s="35">
        <v>66.072224542952384</v>
      </c>
      <c r="V176" s="35">
        <v>65.778436844169576</v>
      </c>
      <c r="W176" s="35">
        <v>41.655634383223443</v>
      </c>
      <c r="X176" s="35">
        <v>110.69713658687742</v>
      </c>
      <c r="Y176" s="35">
        <v>174.00652312712381</v>
      </c>
      <c r="Z176" s="35">
        <v>303.6389440973112</v>
      </c>
      <c r="AA176" s="35"/>
      <c r="AB176" s="35">
        <v>228.14111108011312</v>
      </c>
      <c r="AC176" s="35">
        <v>161.58914080083255</v>
      </c>
      <c r="AD176" s="35">
        <v>119.32510828577509</v>
      </c>
      <c r="AE176" s="35">
        <v>111.15749735314145</v>
      </c>
      <c r="AF176" s="35">
        <v>43.251001730071827</v>
      </c>
      <c r="AG176" s="35">
        <v>12.970242202132708</v>
      </c>
      <c r="AH176" s="35">
        <v>35.798055315652441</v>
      </c>
      <c r="AI176" s="35">
        <v>25.832948612151448</v>
      </c>
      <c r="AJ176" s="35">
        <v>25.498812857827659</v>
      </c>
      <c r="AK176" s="35">
        <v>68.411267627097899</v>
      </c>
      <c r="AL176" s="35">
        <v>137.01551654807955</v>
      </c>
      <c r="AM176" s="29">
        <v>262.75239247382899</v>
      </c>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c r="CH176" s="29"/>
      <c r="CI176" s="29"/>
      <c r="CJ176" s="29"/>
      <c r="CK176" s="29"/>
      <c r="CL176" s="29"/>
      <c r="CM176" s="29"/>
      <c r="CN176" s="29"/>
      <c r="CO176" s="29"/>
      <c r="CP176" s="29"/>
      <c r="CQ176" s="29"/>
      <c r="CR176" s="29"/>
      <c r="CS176" s="29"/>
      <c r="CT176" s="29"/>
      <c r="CU176" s="29"/>
      <c r="CV176" s="29"/>
      <c r="CW176" s="29"/>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row>
    <row r="177" spans="1:131">
      <c r="A177" s="7" t="s">
        <v>803</v>
      </c>
      <c r="B177" s="7"/>
      <c r="C177" s="35">
        <v>2940.9032029199307</v>
      </c>
      <c r="D177" s="35">
        <v>3764.9764753308682</v>
      </c>
      <c r="E177" s="35">
        <v>752.99529506617364</v>
      </c>
      <c r="F177" s="35">
        <v>4517.9717703970418</v>
      </c>
      <c r="G177" s="35">
        <v>5432.4265177431325</v>
      </c>
      <c r="H177" s="35">
        <v>3173.4569617626803</v>
      </c>
      <c r="I177" s="35">
        <v>13457.577478028823</v>
      </c>
      <c r="J177" s="35">
        <v>60.397360677173857</v>
      </c>
      <c r="K177" s="35">
        <v>94.480855798810595</v>
      </c>
      <c r="L177" s="109">
        <v>0.58416933048200215</v>
      </c>
      <c r="M177" s="35">
        <v>27.938510812723607</v>
      </c>
      <c r="N177" s="35">
        <v>1.0689158324246504</v>
      </c>
      <c r="O177" s="35">
        <v>311.30415694632273</v>
      </c>
      <c r="P177" s="35">
        <v>220.33155880048389</v>
      </c>
      <c r="Q177" s="35">
        <v>197.3308662894085</v>
      </c>
      <c r="R177" s="35">
        <v>148.54126016374602</v>
      </c>
      <c r="S177" s="35">
        <v>89.590945884301988</v>
      </c>
      <c r="T177" s="35">
        <v>31.209332330056668</v>
      </c>
      <c r="U177" s="35">
        <v>11.993468280139862</v>
      </c>
      <c r="V177" s="35">
        <v>6.8507085033245136</v>
      </c>
      <c r="W177" s="35">
        <v>14.593076957134819</v>
      </c>
      <c r="X177" s="35">
        <v>96.266331432875276</v>
      </c>
      <c r="Y177" s="35">
        <v>224.38598441382652</v>
      </c>
      <c r="Z177" s="35">
        <v>277.21798412895936</v>
      </c>
      <c r="AA177" s="35"/>
      <c r="AB177" s="35">
        <v>243.77896005560976</v>
      </c>
      <c r="AC177" s="35">
        <v>177.02303475742582</v>
      </c>
      <c r="AD177" s="35">
        <v>150.60807080719871</v>
      </c>
      <c r="AE177" s="35">
        <v>125.57655783391195</v>
      </c>
      <c r="AF177" s="35">
        <v>87.624900537373406</v>
      </c>
      <c r="AG177" s="35">
        <v>30.269213480801035</v>
      </c>
      <c r="AH177" s="35">
        <v>13.089989520142215</v>
      </c>
      <c r="AI177" s="35">
        <v>6.4411650992652651</v>
      </c>
      <c r="AJ177" s="35">
        <v>16.126172852996749</v>
      </c>
      <c r="AK177" s="35">
        <v>73.710692272623945</v>
      </c>
      <c r="AL177" s="35">
        <v>175.84298672141068</v>
      </c>
      <c r="AM177" s="29">
        <v>211.195784850591</v>
      </c>
      <c r="AN177" s="29"/>
      <c r="AO177" s="29"/>
      <c r="AP177" s="29"/>
      <c r="AQ177" s="29"/>
      <c r="AR177" s="29"/>
      <c r="AS177" s="29"/>
      <c r="AT177" s="29"/>
      <c r="AU177" s="29"/>
      <c r="AV177" s="29"/>
      <c r="AW177" s="29"/>
      <c r="AX177" s="29"/>
      <c r="AY177" s="29"/>
      <c r="AZ177" s="29"/>
      <c r="BA177" s="29"/>
      <c r="BB177" s="29"/>
      <c r="BC177" s="29"/>
      <c r="BD177" s="29"/>
      <c r="BE177" s="29"/>
      <c r="BF177" s="29"/>
      <c r="BG177" s="29"/>
      <c r="BH177" s="29"/>
      <c r="BI177" s="29"/>
      <c r="BJ177" s="29"/>
      <c r="BK177" s="29"/>
      <c r="BL177" s="29"/>
      <c r="BM177" s="29"/>
      <c r="BN177" s="29"/>
      <c r="BO177" s="29"/>
      <c r="BP177" s="29"/>
      <c r="BQ177" s="29"/>
      <c r="BR177" s="29"/>
      <c r="BS177" s="29"/>
      <c r="BT177" s="29"/>
      <c r="BU177" s="29"/>
      <c r="BV177" s="29"/>
      <c r="BW177" s="29"/>
      <c r="BX177" s="29"/>
      <c r="BY177" s="29"/>
      <c r="BZ177" s="29"/>
      <c r="CA177" s="29"/>
      <c r="CB177" s="29"/>
      <c r="CC177" s="29"/>
      <c r="CD177" s="29"/>
      <c r="CE177" s="29"/>
      <c r="CF177" s="29"/>
      <c r="CG177" s="29"/>
      <c r="CH177" s="29"/>
      <c r="CI177" s="29"/>
      <c r="CJ177" s="29"/>
      <c r="CK177" s="29"/>
      <c r="CL177" s="29"/>
      <c r="CM177" s="29"/>
      <c r="CN177" s="29"/>
      <c r="CO177" s="29"/>
      <c r="CP177" s="29"/>
      <c r="CQ177" s="29"/>
      <c r="CR177" s="29"/>
      <c r="CS177" s="29"/>
      <c r="CT177" s="29"/>
      <c r="CU177" s="29"/>
      <c r="CV177" s="29"/>
      <c r="CW177" s="29"/>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row>
    <row r="178" spans="1:131">
      <c r="A178" s="7" t="s">
        <v>491</v>
      </c>
      <c r="B178" s="7"/>
      <c r="C178" s="35">
        <v>2721.7747534126584</v>
      </c>
      <c r="D178" s="35">
        <v>3514.1785459794187</v>
      </c>
      <c r="E178" s="35">
        <v>702.83570919588374</v>
      </c>
      <c r="F178" s="35">
        <v>4217.0142551753024</v>
      </c>
      <c r="G178" s="35">
        <v>5070.5540516252258</v>
      </c>
      <c r="H178" s="35">
        <v>2714.9628756130764</v>
      </c>
      <c r="I178" s="35">
        <v>13572.410732746215</v>
      </c>
      <c r="J178" s="35">
        <v>61.053872278282462</v>
      </c>
      <c r="K178" s="35">
        <v>101.92281262146766</v>
      </c>
      <c r="L178" s="109">
        <v>0.53543712343286631</v>
      </c>
      <c r="M178" s="35">
        <v>25.857119181105364</v>
      </c>
      <c r="N178" s="35">
        <v>0.99094554744612473</v>
      </c>
      <c r="O178" s="35">
        <v>242.56634489099841</v>
      </c>
      <c r="P178" s="35">
        <v>177.12902057927246</v>
      </c>
      <c r="Q178" s="35">
        <v>143.49151349520014</v>
      </c>
      <c r="R178" s="35">
        <v>123.55677521827523</v>
      </c>
      <c r="S178" s="35">
        <v>41.495540902626814</v>
      </c>
      <c r="T178" s="35">
        <v>24.814704689679079</v>
      </c>
      <c r="U178" s="35">
        <v>53.666575522942487</v>
      </c>
      <c r="V178" s="35">
        <v>53.32240852998271</v>
      </c>
      <c r="W178" s="35">
        <v>36.771124368470623</v>
      </c>
      <c r="X178" s="35">
        <v>110.73908797151483</v>
      </c>
      <c r="Y178" s="35">
        <v>175.54309817076413</v>
      </c>
      <c r="Z178" s="35">
        <v>306.32024601285127</v>
      </c>
      <c r="AA178" s="35"/>
      <c r="AB178" s="35">
        <v>230.15572485098863</v>
      </c>
      <c r="AC178" s="35">
        <v>163.01606340474231</v>
      </c>
      <c r="AD178" s="35">
        <v>120.37881581453048</v>
      </c>
      <c r="AE178" s="35">
        <v>112.04447005164052</v>
      </c>
      <c r="AF178" s="35">
        <v>43.121700664606372</v>
      </c>
      <c r="AG178" s="35">
        <v>12.659413716252459</v>
      </c>
      <c r="AH178" s="35">
        <v>31.961252817943805</v>
      </c>
      <c r="AI178" s="35">
        <v>23.227788259416624</v>
      </c>
      <c r="AJ178" s="35">
        <v>23.777126118682819</v>
      </c>
      <c r="AK178" s="35">
        <v>68.717873830895257</v>
      </c>
      <c r="AL178" s="35">
        <v>138.22544028849848</v>
      </c>
      <c r="AM178" s="29">
        <v>265.07264324188276</v>
      </c>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c r="BY178" s="29"/>
      <c r="BZ178" s="29"/>
      <c r="CA178" s="29"/>
      <c r="CB178" s="29"/>
      <c r="CC178" s="29"/>
      <c r="CD178" s="29"/>
      <c r="CE178" s="29"/>
      <c r="CF178" s="29"/>
      <c r="CG178" s="29"/>
      <c r="CH178" s="29"/>
      <c r="CI178" s="29"/>
      <c r="CJ178" s="29"/>
      <c r="CK178" s="29"/>
      <c r="CL178" s="29"/>
      <c r="CM178" s="29"/>
      <c r="CN178" s="29"/>
      <c r="CO178" s="29"/>
      <c r="CP178" s="29"/>
      <c r="CQ178" s="29"/>
      <c r="CR178" s="29"/>
      <c r="CS178" s="29"/>
      <c r="CT178" s="29"/>
      <c r="CU178" s="29"/>
      <c r="CV178" s="29"/>
      <c r="CW178" s="29"/>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row>
    <row r="179" spans="1:131">
      <c r="A179" s="7" t="s">
        <v>501</v>
      </c>
      <c r="B179" s="7"/>
      <c r="C179" s="35">
        <v>2646.6539113541521</v>
      </c>
      <c r="D179" s="35">
        <v>3479.0632416243566</v>
      </c>
      <c r="E179" s="35">
        <v>695.81264832487136</v>
      </c>
      <c r="F179" s="35">
        <v>4174.8758899492277</v>
      </c>
      <c r="G179" s="35">
        <v>5019.8867202867759</v>
      </c>
      <c r="H179" s="35">
        <v>2443.9427350165101</v>
      </c>
      <c r="I179" s="35">
        <v>13818.169666635156</v>
      </c>
      <c r="J179" s="35">
        <v>63.818663431655771</v>
      </c>
      <c r="K179" s="35">
        <v>109.5745313120063</v>
      </c>
      <c r="L179" s="109">
        <v>0.4868521684244087</v>
      </c>
      <c r="M179" s="35">
        <v>25.14322784901783</v>
      </c>
      <c r="N179" s="35">
        <v>0.90369566752319297</v>
      </c>
      <c r="O179" s="35">
        <v>263.11949312216274</v>
      </c>
      <c r="P179" s="35">
        <v>186.3078956552292</v>
      </c>
      <c r="Q179" s="35">
        <v>167.00098048182826</v>
      </c>
      <c r="R179" s="35">
        <v>126.06058155740061</v>
      </c>
      <c r="S179" s="35">
        <v>77.545150319254844</v>
      </c>
      <c r="T179" s="35">
        <v>36.361665213038052</v>
      </c>
      <c r="U179" s="35">
        <v>58.126185156926219</v>
      </c>
      <c r="V179" s="35">
        <v>52.376995539950727</v>
      </c>
      <c r="W179" s="35">
        <v>20.969823835596209</v>
      </c>
      <c r="X179" s="35">
        <v>84.061859741981593</v>
      </c>
      <c r="Y179" s="35">
        <v>189.69572718762464</v>
      </c>
      <c r="Z179" s="35">
        <v>234.31785598323964</v>
      </c>
      <c r="AA179" s="35"/>
      <c r="AB179" s="35">
        <v>206.2298681876747</v>
      </c>
      <c r="AC179" s="35">
        <v>149.72291369531223</v>
      </c>
      <c r="AD179" s="35">
        <v>127.31231588883824</v>
      </c>
      <c r="AE179" s="35">
        <v>106.24013544215282</v>
      </c>
      <c r="AF179" s="35">
        <v>74.67609294361047</v>
      </c>
      <c r="AG179" s="35">
        <v>27.980546421847393</v>
      </c>
      <c r="AH179" s="35">
        <v>30.014288910392306</v>
      </c>
      <c r="AI179" s="35">
        <v>20.063153684584105</v>
      </c>
      <c r="AJ179" s="35">
        <v>17.687714968758304</v>
      </c>
      <c r="AK179" s="35">
        <v>63.350717394618442</v>
      </c>
      <c r="AL179" s="35">
        <v>148.73439581465328</v>
      </c>
      <c r="AM179" s="29">
        <v>178.69755420747742</v>
      </c>
      <c r="AN179" s="29"/>
      <c r="AO179" s="29"/>
      <c r="AP179" s="29"/>
      <c r="AQ179" s="29"/>
      <c r="AR179" s="29"/>
      <c r="AS179" s="29"/>
      <c r="AT179" s="29"/>
      <c r="AU179" s="29"/>
      <c r="AV179" s="29"/>
      <c r="AW179" s="29"/>
      <c r="AX179" s="29"/>
      <c r="AY179" s="29"/>
      <c r="AZ179" s="29"/>
      <c r="BA179" s="29"/>
      <c r="BB179" s="29"/>
      <c r="BC179" s="29"/>
      <c r="BD179" s="29"/>
      <c r="BE179" s="29"/>
      <c r="BF179" s="29"/>
      <c r="BG179" s="29"/>
      <c r="BH179" s="29"/>
      <c r="BI179" s="29"/>
      <c r="BJ179" s="29"/>
      <c r="BK179" s="29"/>
      <c r="BL179" s="29"/>
      <c r="BM179" s="29"/>
      <c r="BN179" s="29"/>
      <c r="BO179" s="29"/>
      <c r="BP179" s="29"/>
      <c r="BQ179" s="29"/>
      <c r="BR179" s="29"/>
      <c r="BS179" s="29"/>
      <c r="BT179" s="29"/>
      <c r="BU179" s="29"/>
      <c r="BV179" s="29"/>
      <c r="BW179" s="29"/>
      <c r="BX179" s="29"/>
      <c r="BY179" s="29"/>
      <c r="BZ179" s="29"/>
      <c r="CA179" s="29"/>
      <c r="CB179" s="29"/>
      <c r="CC179" s="29"/>
      <c r="CD179" s="29"/>
      <c r="CE179" s="29"/>
      <c r="CF179" s="29"/>
      <c r="CG179" s="29"/>
      <c r="CH179" s="29"/>
      <c r="CI179" s="29"/>
      <c r="CJ179" s="29"/>
      <c r="CK179" s="29"/>
      <c r="CL179" s="29"/>
      <c r="CM179" s="29"/>
      <c r="CN179" s="29"/>
      <c r="CO179" s="29"/>
      <c r="CP179" s="29"/>
      <c r="CQ179" s="29"/>
      <c r="CR179" s="29"/>
      <c r="CS179" s="29"/>
      <c r="CT179" s="29"/>
      <c r="CU179" s="29"/>
      <c r="CV179" s="29"/>
      <c r="CW179" s="29"/>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row>
    <row r="180" spans="1:131">
      <c r="A180" s="7" t="s">
        <v>499</v>
      </c>
      <c r="B180" s="7"/>
      <c r="C180" s="35">
        <v>2719.2631585375898</v>
      </c>
      <c r="D180" s="35">
        <v>3612.3135270070575</v>
      </c>
      <c r="E180" s="35">
        <v>722.46270540141154</v>
      </c>
      <c r="F180" s="35">
        <v>4334.7762324084688</v>
      </c>
      <c r="G180" s="35">
        <v>5212.1515029627981</v>
      </c>
      <c r="H180" s="35">
        <v>2473.2451715167849</v>
      </c>
      <c r="I180" s="35">
        <v>13964.312235348249</v>
      </c>
      <c r="J180" s="35">
        <v>65.659682193230026</v>
      </c>
      <c r="K180" s="35">
        <v>112.06998870724475</v>
      </c>
      <c r="L180" s="109">
        <v>0.47451521125410345</v>
      </c>
      <c r="M180" s="35">
        <v>25.833078009293764</v>
      </c>
      <c r="N180" s="35">
        <v>0.88245981424829878</v>
      </c>
      <c r="O180" s="35">
        <v>256.88013210406393</v>
      </c>
      <c r="P180" s="35">
        <v>181.95722733803711</v>
      </c>
      <c r="Q180" s="35">
        <v>163.22054865109774</v>
      </c>
      <c r="R180" s="35">
        <v>123.5010936582695</v>
      </c>
      <c r="S180" s="35">
        <v>77.238188903977999</v>
      </c>
      <c r="T180" s="35">
        <v>43.895617636191197</v>
      </c>
      <c r="U180" s="35">
        <v>97.108994883472576</v>
      </c>
      <c r="V180" s="35">
        <v>90.316613746307723</v>
      </c>
      <c r="W180" s="35">
        <v>27.735447686016705</v>
      </c>
      <c r="X180" s="35">
        <v>84.335916011802496</v>
      </c>
      <c r="Y180" s="35">
        <v>185.23189112662328</v>
      </c>
      <c r="Z180" s="35">
        <v>228.76867492505812</v>
      </c>
      <c r="AA180" s="35"/>
      <c r="AB180" s="35">
        <v>201.49412046240371</v>
      </c>
      <c r="AC180" s="35">
        <v>146.25669864016137</v>
      </c>
      <c r="AD180" s="35">
        <v>124.30668476742144</v>
      </c>
      <c r="AE180" s="35">
        <v>103.80557277378671</v>
      </c>
      <c r="AF180" s="35">
        <v>73.421748645969913</v>
      </c>
      <c r="AG180" s="35">
        <v>29.332614934668179</v>
      </c>
      <c r="AH180" s="35">
        <v>45.240770621811585</v>
      </c>
      <c r="AI180" s="35">
        <v>31.882658707643639</v>
      </c>
      <c r="AJ180" s="35">
        <v>20.680926205375531</v>
      </c>
      <c r="AK180" s="35">
        <v>62.730911408012723</v>
      </c>
      <c r="AL180" s="35">
        <v>145.29908876825141</v>
      </c>
      <c r="AM180" s="29">
        <v>174.62101593116563</v>
      </c>
      <c r="AN180" s="29"/>
      <c r="AO180" s="29"/>
      <c r="AP180" s="29"/>
      <c r="AQ180" s="29"/>
      <c r="AR180" s="29"/>
      <c r="AS180" s="29"/>
      <c r="AT180" s="29"/>
      <c r="AU180" s="29"/>
      <c r="AV180" s="29"/>
      <c r="AW180" s="29"/>
      <c r="AX180" s="29"/>
      <c r="AY180" s="29"/>
      <c r="AZ180" s="29"/>
      <c r="BA180" s="29"/>
      <c r="BB180" s="29"/>
      <c r="BC180" s="29"/>
      <c r="BD180" s="29"/>
      <c r="BE180" s="29"/>
      <c r="BF180" s="29"/>
      <c r="BG180" s="29"/>
      <c r="BH180" s="29"/>
      <c r="BI180" s="29"/>
      <c r="BJ180" s="29"/>
      <c r="BK180" s="29"/>
      <c r="BL180" s="29"/>
      <c r="BM180" s="29"/>
      <c r="BN180" s="29"/>
      <c r="BO180" s="29"/>
      <c r="BP180" s="29"/>
      <c r="BQ180" s="29"/>
      <c r="BR180" s="29"/>
      <c r="BS180" s="29"/>
      <c r="BT180" s="29"/>
      <c r="BU180" s="29"/>
      <c r="BV180" s="29"/>
      <c r="BW180" s="29"/>
      <c r="BX180" s="29"/>
      <c r="BY180" s="29"/>
      <c r="BZ180" s="29"/>
      <c r="CA180" s="29"/>
      <c r="CB180" s="29"/>
      <c r="CC180" s="29"/>
      <c r="CD180" s="29"/>
      <c r="CE180" s="29"/>
      <c r="CF180" s="29"/>
      <c r="CG180" s="29"/>
      <c r="CH180" s="29"/>
      <c r="CI180" s="29"/>
      <c r="CJ180" s="29"/>
      <c r="CK180" s="29"/>
      <c r="CL180" s="29"/>
      <c r="CM180" s="29"/>
      <c r="CN180" s="29"/>
      <c r="CO180" s="29"/>
      <c r="CP180" s="29"/>
      <c r="CQ180" s="29"/>
      <c r="CR180" s="29"/>
      <c r="CS180" s="29"/>
      <c r="CT180" s="29"/>
      <c r="CU180" s="29"/>
      <c r="CV180" s="29"/>
      <c r="CW180" s="29"/>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row>
    <row r="181" spans="1:131">
      <c r="A181" s="7" t="s">
        <v>504</v>
      </c>
      <c r="B181" s="7"/>
      <c r="C181" s="35">
        <v>2664.0365823158331</v>
      </c>
      <c r="D181" s="35">
        <v>4405.939111130092</v>
      </c>
      <c r="E181" s="35">
        <v>881.1878222260184</v>
      </c>
      <c r="F181" s="35">
        <v>5287.1269333561104</v>
      </c>
      <c r="G181" s="35">
        <v>6357.2616242605618</v>
      </c>
      <c r="H181" s="35">
        <v>2859.327905386584</v>
      </c>
      <c r="I181" s="35">
        <v>17385.358836153046</v>
      </c>
      <c r="J181" s="35">
        <v>83.750036657343799</v>
      </c>
      <c r="K181" s="35">
        <v>134.8540761670649</v>
      </c>
      <c r="L181" s="109">
        <v>0.44977351482198341</v>
      </c>
      <c r="M181" s="35">
        <v>25.308584064192448</v>
      </c>
      <c r="N181" s="35">
        <v>0.98227153967436376</v>
      </c>
      <c r="O181" s="35">
        <v>240.44309768919737</v>
      </c>
      <c r="P181" s="35">
        <v>175.57856353845051</v>
      </c>
      <c r="Q181" s="35">
        <v>142.23549442690035</v>
      </c>
      <c r="R181" s="35">
        <v>122.22496079068762</v>
      </c>
      <c r="S181" s="35">
        <v>39.905707930182125</v>
      </c>
      <c r="T181" s="35">
        <v>23.209617560244467</v>
      </c>
      <c r="U181" s="35">
        <v>43.702008599026712</v>
      </c>
      <c r="V181" s="35">
        <v>43.325924197056416</v>
      </c>
      <c r="W181" s="35">
        <v>32.609878503965305</v>
      </c>
      <c r="X181" s="35">
        <v>109.08587679242567</v>
      </c>
      <c r="Y181" s="35">
        <v>174.00652312712381</v>
      </c>
      <c r="Z181" s="35">
        <v>303.6389440973112</v>
      </c>
      <c r="AA181" s="35"/>
      <c r="AB181" s="35">
        <v>228.14111108011312</v>
      </c>
      <c r="AC181" s="35">
        <v>161.58914080083255</v>
      </c>
      <c r="AD181" s="35">
        <v>119.32510828577509</v>
      </c>
      <c r="AE181" s="35">
        <v>110.99455679909522</v>
      </c>
      <c r="AF181" s="35">
        <v>42.370543601306274</v>
      </c>
      <c r="AG181" s="35">
        <v>12.237669572983741</v>
      </c>
      <c r="AH181" s="35">
        <v>28.645775615041035</v>
      </c>
      <c r="AI181" s="35">
        <v>20.953391014081873</v>
      </c>
      <c r="AJ181" s="35">
        <v>22.145881081478514</v>
      </c>
      <c r="AK181" s="35">
        <v>67.898898190646165</v>
      </c>
      <c r="AL181" s="35">
        <v>137.01551654807955</v>
      </c>
      <c r="AM181" s="29">
        <v>262.75239247382899</v>
      </c>
      <c r="AN181" s="29"/>
      <c r="AO181" s="29"/>
      <c r="AP181" s="29"/>
      <c r="AQ181" s="29"/>
      <c r="AR181" s="29"/>
      <c r="AS181" s="29"/>
      <c r="AT181" s="29"/>
      <c r="AU181" s="29"/>
      <c r="AV181" s="29"/>
      <c r="AW181" s="29"/>
      <c r="AX181" s="29"/>
      <c r="AY181" s="29"/>
      <c r="AZ181" s="29"/>
      <c r="BA181" s="29"/>
      <c r="BB181" s="29"/>
      <c r="BC181" s="29"/>
      <c r="BD181" s="29"/>
      <c r="BE181" s="29"/>
      <c r="BF181" s="29"/>
      <c r="BG181" s="29"/>
      <c r="BH181" s="29"/>
      <c r="BI181" s="29"/>
      <c r="BJ181" s="29"/>
      <c r="BK181" s="29"/>
      <c r="BL181" s="29"/>
      <c r="BM181" s="29"/>
      <c r="BN181" s="29"/>
      <c r="BO181" s="29"/>
      <c r="BP181" s="29"/>
      <c r="BQ181" s="29"/>
      <c r="BR181" s="29"/>
      <c r="BS181" s="29"/>
      <c r="BT181" s="29"/>
      <c r="BU181" s="29"/>
      <c r="BV181" s="29"/>
      <c r="BW181" s="29"/>
      <c r="BX181" s="29"/>
      <c r="BY181" s="29"/>
      <c r="BZ181" s="29"/>
      <c r="CA181" s="29"/>
      <c r="CB181" s="29"/>
      <c r="CC181" s="29"/>
      <c r="CD181" s="29"/>
      <c r="CE181" s="29"/>
      <c r="CF181" s="29"/>
      <c r="CG181" s="29"/>
      <c r="CH181" s="29"/>
      <c r="CI181" s="29"/>
      <c r="CJ181" s="29"/>
      <c r="CK181" s="29"/>
      <c r="CL181" s="29"/>
      <c r="CM181" s="29"/>
      <c r="CN181" s="29"/>
      <c r="CO181" s="29"/>
      <c r="CP181" s="29"/>
      <c r="CQ181" s="29"/>
      <c r="CR181" s="29"/>
      <c r="CS181" s="29"/>
      <c r="CT181" s="29"/>
      <c r="CU181" s="29"/>
      <c r="CV181" s="29"/>
      <c r="CW181" s="29"/>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row>
    <row r="182" spans="1:131">
      <c r="A182" s="7" t="s">
        <v>500</v>
      </c>
      <c r="B182" s="7"/>
      <c r="C182" s="35">
        <v>2095.6932158169034</v>
      </c>
      <c r="D182" s="35">
        <v>3618.3551360186466</v>
      </c>
      <c r="E182" s="35">
        <v>723.67102720372941</v>
      </c>
      <c r="F182" s="35">
        <v>4342.0261632223755</v>
      </c>
      <c r="G182" s="35">
        <v>5220.8688474719711</v>
      </c>
      <c r="H182" s="35">
        <v>2282.1107381306924</v>
      </c>
      <c r="I182" s="35">
        <v>18149.674247526484</v>
      </c>
      <c r="J182" s="35">
        <v>88.230312932125557</v>
      </c>
      <c r="K182" s="35">
        <v>141.14456252150947</v>
      </c>
      <c r="L182" s="109">
        <v>0.43711320946813809</v>
      </c>
      <c r="M182" s="35">
        <v>19.909015096486019</v>
      </c>
      <c r="N182" s="35">
        <v>0.77721691916961022</v>
      </c>
      <c r="O182" s="35">
        <v>226.36947607155599</v>
      </c>
      <c r="P182" s="35">
        <v>160.19611112124539</v>
      </c>
      <c r="Q182" s="35">
        <v>143.43524848250951</v>
      </c>
      <c r="R182" s="35">
        <v>107.87802171826637</v>
      </c>
      <c r="S182" s="35">
        <v>64.662739922983292</v>
      </c>
      <c r="T182" s="35">
        <v>20.037920810330881</v>
      </c>
      <c r="U182" s="35">
        <v>-4.0483445216891889</v>
      </c>
      <c r="V182" s="35">
        <v>-7.4147987498581163</v>
      </c>
      <c r="W182" s="35">
        <v>8.3137236507868799</v>
      </c>
      <c r="X182" s="35">
        <v>69.284131511728503</v>
      </c>
      <c r="Y182" s="35">
        <v>163.1547348504655</v>
      </c>
      <c r="Z182" s="35">
        <v>201.58092564853749</v>
      </c>
      <c r="AA182" s="35"/>
      <c r="AB182" s="35">
        <v>177.21860979755775</v>
      </c>
      <c r="AC182" s="35">
        <v>128.69831900192401</v>
      </c>
      <c r="AD182" s="35">
        <v>109.51269502390745</v>
      </c>
      <c r="AE182" s="35">
        <v>91.288071393601271</v>
      </c>
      <c r="AF182" s="35">
        <v>63.554361039236248</v>
      </c>
      <c r="AG182" s="35">
        <v>21.373019265633499</v>
      </c>
      <c r="AH182" s="35">
        <v>4.4760064336597045</v>
      </c>
      <c r="AI182" s="35">
        <v>0.79378028877508922</v>
      </c>
      <c r="AJ182" s="35">
        <v>10.646687257452834</v>
      </c>
      <c r="AK182" s="35">
        <v>53.320646742157784</v>
      </c>
      <c r="AL182" s="35">
        <v>127.83786690441329</v>
      </c>
      <c r="AM182" s="29">
        <v>153.52326215172215</v>
      </c>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c r="CA182" s="29"/>
      <c r="CB182" s="29"/>
      <c r="CC182" s="29"/>
      <c r="CD182" s="29"/>
      <c r="CE182" s="29"/>
      <c r="CF182" s="29"/>
      <c r="CG182" s="29"/>
      <c r="CH182" s="29"/>
      <c r="CI182" s="29"/>
      <c r="CJ182" s="29"/>
      <c r="CK182" s="29"/>
      <c r="CL182" s="29"/>
      <c r="CM182" s="29"/>
      <c r="CN182" s="29"/>
      <c r="CO182" s="29"/>
      <c r="CP182" s="29"/>
      <c r="CQ182" s="29"/>
      <c r="CR182" s="29"/>
      <c r="CS182" s="29"/>
      <c r="CT182" s="29"/>
      <c r="CU182" s="29"/>
      <c r="CV182" s="29"/>
      <c r="CW182" s="29"/>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row>
    <row r="183" spans="1:131">
      <c r="A183" s="7" t="s">
        <v>498</v>
      </c>
      <c r="B183" s="7"/>
      <c r="C183" s="35">
        <v>2379.1718416984891</v>
      </c>
      <c r="D183" s="35">
        <v>3914.8924998607772</v>
      </c>
      <c r="E183" s="35">
        <v>782.97849997215553</v>
      </c>
      <c r="F183" s="35">
        <v>4697.8709998329323</v>
      </c>
      <c r="G183" s="35">
        <v>5648.7380385260985</v>
      </c>
      <c r="H183" s="35">
        <v>2320.5966516413182</v>
      </c>
      <c r="I183" s="35">
        <v>17297.342393375478</v>
      </c>
      <c r="J183" s="35">
        <v>83.138057445731732</v>
      </c>
      <c r="K183" s="35">
        <v>140.89290532225266</v>
      </c>
      <c r="L183" s="109">
        <v>0.41081682949610138</v>
      </c>
      <c r="M183" s="35">
        <v>22.602054764727086</v>
      </c>
      <c r="N183" s="35">
        <v>0.88067350369815434</v>
      </c>
      <c r="O183" s="35">
        <v>256.49999013718872</v>
      </c>
      <c r="P183" s="35">
        <v>181.52098811065741</v>
      </c>
      <c r="Q183" s="35">
        <v>162.53296600261771</v>
      </c>
      <c r="R183" s="35">
        <v>122.25133603906411</v>
      </c>
      <c r="S183" s="35">
        <v>73.320880522138609</v>
      </c>
      <c r="T183" s="35">
        <v>22.986315935479531</v>
      </c>
      <c r="U183" s="35">
        <v>-3.2350454017071018</v>
      </c>
      <c r="V183" s="35">
        <v>-7.0891010475701979</v>
      </c>
      <c r="W183" s="35">
        <v>9.6636225415412369</v>
      </c>
      <c r="X183" s="35">
        <v>78.58203613005108</v>
      </c>
      <c r="Y183" s="35">
        <v>184.87231437744148</v>
      </c>
      <c r="Z183" s="35">
        <v>228.41224437290325</v>
      </c>
      <c r="AA183" s="35"/>
      <c r="AB183" s="35">
        <v>200.81216245826445</v>
      </c>
      <c r="AC183" s="35">
        <v>145.83130392519809</v>
      </c>
      <c r="AD183" s="35">
        <v>124.08963774833541</v>
      </c>
      <c r="AE183" s="35">
        <v>103.44164881529086</v>
      </c>
      <c r="AF183" s="35">
        <v>72.030955122357724</v>
      </c>
      <c r="AG183" s="35">
        <v>24.285361767075209</v>
      </c>
      <c r="AH183" s="35">
        <v>5.6057265643923673</v>
      </c>
      <c r="AI183" s="35">
        <v>1.3113410198207021</v>
      </c>
      <c r="AJ183" s="35">
        <v>12.178123517199731</v>
      </c>
      <c r="AK183" s="35">
        <v>60.447360886872993</v>
      </c>
      <c r="AL183" s="35">
        <v>144.85657301472563</v>
      </c>
      <c r="AM183" s="29">
        <v>173.96309913915042</v>
      </c>
      <c r="AN183" s="29"/>
      <c r="AO183" s="29"/>
      <c r="AP183" s="29"/>
      <c r="AQ183" s="29"/>
      <c r="AR183" s="29"/>
      <c r="AS183" s="29"/>
      <c r="AT183" s="29"/>
      <c r="AU183" s="29"/>
      <c r="AV183" s="29"/>
      <c r="AW183" s="29"/>
      <c r="AX183" s="29"/>
      <c r="AY183" s="29"/>
      <c r="AZ183" s="29"/>
      <c r="BA183" s="29"/>
      <c r="BB183" s="29"/>
      <c r="BC183" s="29"/>
      <c r="BD183" s="29"/>
      <c r="BE183" s="29"/>
      <c r="BF183" s="29"/>
      <c r="BG183" s="29"/>
      <c r="BH183" s="29"/>
      <c r="BI183" s="29"/>
      <c r="BJ183" s="29"/>
      <c r="BK183" s="29"/>
      <c r="BL183" s="29"/>
      <c r="BM183" s="29"/>
      <c r="BN183" s="29"/>
      <c r="BO183" s="29"/>
      <c r="BP183" s="29"/>
      <c r="BQ183" s="29"/>
      <c r="BR183" s="29"/>
      <c r="BS183" s="29"/>
      <c r="BT183" s="29"/>
      <c r="BU183" s="29"/>
      <c r="BV183" s="29"/>
      <c r="BW183" s="29"/>
      <c r="BX183" s="29"/>
      <c r="BY183" s="29"/>
      <c r="BZ183" s="29"/>
      <c r="CA183" s="29"/>
      <c r="CB183" s="29"/>
      <c r="CC183" s="29"/>
      <c r="CD183" s="29"/>
      <c r="CE183" s="29"/>
      <c r="CF183" s="29"/>
      <c r="CG183" s="29"/>
      <c r="CH183" s="29"/>
      <c r="CI183" s="29"/>
      <c r="CJ183" s="29"/>
      <c r="CK183" s="29"/>
      <c r="CL183" s="29"/>
      <c r="CM183" s="29"/>
      <c r="CN183" s="29"/>
      <c r="CO183" s="29"/>
      <c r="CP183" s="29"/>
      <c r="CQ183" s="29"/>
      <c r="CR183" s="29"/>
      <c r="CS183" s="29"/>
      <c r="CT183" s="29"/>
      <c r="CU183" s="29"/>
      <c r="CV183" s="29"/>
      <c r="CW183" s="29"/>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row>
    <row r="184" spans="1:131">
      <c r="A184" s="7" t="s">
        <v>490</v>
      </c>
      <c r="B184" s="7"/>
      <c r="C184" s="35">
        <v>2521.5432350451379</v>
      </c>
      <c r="D184" s="35">
        <v>4476.2075916098729</v>
      </c>
      <c r="E184" s="35">
        <v>895.24151832197458</v>
      </c>
      <c r="F184" s="35">
        <v>5371.4491099318475</v>
      </c>
      <c r="G184" s="35">
        <v>6458.6509315300918</v>
      </c>
      <c r="H184" s="35">
        <v>2577.8062056968665</v>
      </c>
      <c r="I184" s="35">
        <v>18660.752490393319</v>
      </c>
      <c r="J184" s="35">
        <v>91.367552432224244</v>
      </c>
      <c r="K184" s="35">
        <v>151.48739454562457</v>
      </c>
      <c r="L184" s="109">
        <v>0.39912455914166728</v>
      </c>
      <c r="M184" s="35">
        <v>23.95488081408519</v>
      </c>
      <c r="N184" s="35">
        <v>0.93249217108520432</v>
      </c>
      <c r="O184" s="35">
        <v>228.25796852566918</v>
      </c>
      <c r="P184" s="35">
        <v>166.68062678907347</v>
      </c>
      <c r="Q184" s="35">
        <v>135.02731133540482</v>
      </c>
      <c r="R184" s="35">
        <v>115.97562109629546</v>
      </c>
      <c r="S184" s="35">
        <v>37.612623117495893</v>
      </c>
      <c r="T184" s="35">
        <v>21.727057649498658</v>
      </c>
      <c r="U184" s="35">
        <v>39.391489339278571</v>
      </c>
      <c r="V184" s="35">
        <v>39.026753943521236</v>
      </c>
      <c r="W184" s="35">
        <v>30.109812079722033</v>
      </c>
      <c r="X184" s="35">
        <v>103.4066896496533</v>
      </c>
      <c r="Y184" s="35">
        <v>165.18825394003653</v>
      </c>
      <c r="Z184" s="35">
        <v>288.25118795683085</v>
      </c>
      <c r="AA184" s="35"/>
      <c r="AB184" s="35">
        <v>216.57941963320198</v>
      </c>
      <c r="AC184" s="35">
        <v>153.40015733237448</v>
      </c>
      <c r="AD184" s="35">
        <v>113.2779733466236</v>
      </c>
      <c r="AE184" s="35">
        <v>105.35433054635955</v>
      </c>
      <c r="AF184" s="35">
        <v>40.140809888821451</v>
      </c>
      <c r="AG184" s="35">
        <v>11.548858809080393</v>
      </c>
      <c r="AH184" s="35">
        <v>26.523995240282602</v>
      </c>
      <c r="AI184" s="35">
        <v>19.434368227043592</v>
      </c>
      <c r="AJ184" s="35">
        <v>20.709450425381654</v>
      </c>
      <c r="AK184" s="35">
        <v>64.409928529307223</v>
      </c>
      <c r="AL184" s="35">
        <v>130.07187049381022</v>
      </c>
      <c r="AM184" s="29">
        <v>249.43667715037139</v>
      </c>
      <c r="AN184" s="29"/>
      <c r="AO184" s="29"/>
      <c r="AP184" s="29"/>
      <c r="AQ184" s="29"/>
      <c r="AR184" s="29"/>
      <c r="AS184" s="29"/>
      <c r="AT184" s="29"/>
      <c r="AU184" s="29"/>
      <c r="AV184" s="29"/>
      <c r="AW184" s="29"/>
      <c r="AX184" s="29"/>
      <c r="AY184" s="29"/>
      <c r="AZ184" s="29"/>
      <c r="BA184" s="29"/>
      <c r="BB184" s="29"/>
      <c r="BC184" s="29"/>
      <c r="BD184" s="29"/>
      <c r="BE184" s="29"/>
      <c r="BF184" s="29"/>
      <c r="BG184" s="29"/>
      <c r="BH184" s="29"/>
      <c r="BI184" s="29"/>
      <c r="BJ184" s="29"/>
      <c r="BK184" s="29"/>
      <c r="BL184" s="29"/>
      <c r="BM184" s="29"/>
      <c r="BN184" s="29"/>
      <c r="BO184" s="29"/>
      <c r="BP184" s="29"/>
      <c r="BQ184" s="29"/>
      <c r="BR184" s="29"/>
      <c r="BS184" s="29"/>
      <c r="BT184" s="29"/>
      <c r="BU184" s="29"/>
      <c r="BV184" s="29"/>
      <c r="BW184" s="29"/>
      <c r="BX184" s="29"/>
      <c r="BY184" s="29"/>
      <c r="BZ184" s="29"/>
      <c r="CA184" s="29"/>
      <c r="CB184" s="29"/>
      <c r="CC184" s="29"/>
      <c r="CD184" s="29"/>
      <c r="CE184" s="29"/>
      <c r="CF184" s="29"/>
      <c r="CG184" s="29"/>
      <c r="CH184" s="29"/>
      <c r="CI184" s="29"/>
      <c r="CJ184" s="29"/>
      <c r="CK184" s="29"/>
      <c r="CL184" s="29"/>
      <c r="CM184" s="29"/>
      <c r="CN184" s="29"/>
      <c r="CO184" s="29"/>
      <c r="CP184" s="29"/>
      <c r="CQ184" s="29"/>
      <c r="CR184" s="29"/>
      <c r="CS184" s="29"/>
      <c r="CT184" s="29"/>
      <c r="CU184" s="29"/>
      <c r="CV184" s="29"/>
      <c r="CW184" s="29"/>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row>
    <row r="185" spans="1:131">
      <c r="A185" s="7" t="s">
        <v>496</v>
      </c>
      <c r="B185" s="7"/>
      <c r="C185" s="35">
        <v>826.55856987151878</v>
      </c>
      <c r="D185" s="35">
        <v>5356.8461304836164</v>
      </c>
      <c r="E185" s="35">
        <v>1071.3692260967234</v>
      </c>
      <c r="F185" s="35">
        <v>6428.2153565803401</v>
      </c>
      <c r="G185" s="35">
        <v>7729.3107039006145</v>
      </c>
      <c r="H185" s="35">
        <v>748.20352538904694</v>
      </c>
      <c r="I185" s="35">
        <v>68127.25507449139</v>
      </c>
      <c r="J185" s="35">
        <v>392.02430752478864</v>
      </c>
      <c r="K185" s="35">
        <v>659.71987190261939</v>
      </c>
      <c r="L185" s="109">
        <v>9.6800808513424652E-2</v>
      </c>
      <c r="M185" s="35">
        <v>7.8524346443248207</v>
      </c>
      <c r="N185" s="35">
        <v>0.26492414811323056</v>
      </c>
      <c r="O185" s="35">
        <v>64.848853145163943</v>
      </c>
      <c r="P185" s="35">
        <v>47.354524175452617</v>
      </c>
      <c r="Q185" s="35">
        <v>38.361711268762491</v>
      </c>
      <c r="R185" s="35">
        <v>33.762207401615235</v>
      </c>
      <c r="S185" s="35">
        <v>14.670912188671847</v>
      </c>
      <c r="T185" s="35">
        <v>10.681693765477398</v>
      </c>
      <c r="U185" s="35">
        <v>42.038179078232822</v>
      </c>
      <c r="V185" s="35">
        <v>42.048037788541343</v>
      </c>
      <c r="W185" s="35">
        <v>21.027747699427763</v>
      </c>
      <c r="X185" s="35">
        <v>31.59999858798388</v>
      </c>
      <c r="Y185" s="35">
        <v>46.93053605205818</v>
      </c>
      <c r="Z185" s="35">
        <v>81.893127663709336</v>
      </c>
      <c r="AA185" s="35"/>
      <c r="AB185" s="35">
        <v>61.530938300972842</v>
      </c>
      <c r="AC185" s="35">
        <v>43.581498335176391</v>
      </c>
      <c r="AD185" s="35">
        <v>32.182651521806072</v>
      </c>
      <c r="AE185" s="35">
        <v>30.15620142120698</v>
      </c>
      <c r="AF185" s="35">
        <v>12.61822717347115</v>
      </c>
      <c r="AG185" s="35">
        <v>4.2912346272906285</v>
      </c>
      <c r="AH185" s="35">
        <v>17.398037137545106</v>
      </c>
      <c r="AI185" s="35">
        <v>12.249929415538038</v>
      </c>
      <c r="AJ185" s="35">
        <v>10.507076905278243</v>
      </c>
      <c r="AK185" s="35">
        <v>19.0055971058895</v>
      </c>
      <c r="AL185" s="35">
        <v>36.953853933127014</v>
      </c>
      <c r="AM185" s="29">
        <v>70.865795179120056</v>
      </c>
      <c r="AN185" s="29"/>
      <c r="AO185" s="29"/>
      <c r="AP185" s="29"/>
      <c r="AQ185" s="29"/>
      <c r="AR185" s="29"/>
      <c r="AS185" s="29"/>
      <c r="AT185" s="29"/>
      <c r="AU185" s="29"/>
      <c r="AV185" s="29"/>
      <c r="AW185" s="29"/>
      <c r="AX185" s="29"/>
      <c r="AY185" s="29"/>
      <c r="AZ185" s="29"/>
      <c r="BA185" s="29"/>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29"/>
      <c r="BY185" s="29"/>
      <c r="BZ185" s="29"/>
      <c r="CA185" s="29"/>
      <c r="CB185" s="29"/>
      <c r="CC185" s="29"/>
      <c r="CD185" s="29"/>
      <c r="CE185" s="29"/>
      <c r="CF185" s="29"/>
      <c r="CG185" s="29"/>
      <c r="CH185" s="29"/>
      <c r="CI185" s="29"/>
      <c r="CJ185" s="29"/>
      <c r="CK185" s="29"/>
      <c r="CL185" s="29"/>
      <c r="CM185" s="29"/>
      <c r="CN185" s="29"/>
      <c r="CO185" s="29"/>
      <c r="CP185" s="29"/>
      <c r="CQ185" s="29"/>
      <c r="CR185" s="29"/>
      <c r="CS185" s="29"/>
      <c r="CT185" s="29"/>
      <c r="CU185" s="29"/>
      <c r="CV185" s="29"/>
      <c r="CW185" s="29"/>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row>
    <row r="186" spans="1:131">
      <c r="A186" s="7" t="s">
        <v>497</v>
      </c>
      <c r="B186" s="7"/>
      <c r="C186" s="35">
        <v>836.5766382149352</v>
      </c>
      <c r="D186" s="35">
        <v>5356.8461304836164</v>
      </c>
      <c r="E186" s="35">
        <v>1071.3692260967234</v>
      </c>
      <c r="F186" s="35">
        <v>6428.2153565803401</v>
      </c>
      <c r="G186" s="35">
        <v>7729.3107039006145</v>
      </c>
      <c r="H186" s="35">
        <v>716.82907383554186</v>
      </c>
      <c r="I186" s="35">
        <v>67311.426056313299</v>
      </c>
      <c r="J186" s="35">
        <v>389.37823354575096</v>
      </c>
      <c r="K186" s="35">
        <v>655.04492129634014</v>
      </c>
      <c r="L186" s="109">
        <v>9.2741655924608188E-2</v>
      </c>
      <c r="M186" s="35">
        <v>7.9476538162509875</v>
      </c>
      <c r="N186" s="35">
        <v>0.23474106182134899</v>
      </c>
      <c r="O186" s="35">
        <v>57.460555232912256</v>
      </c>
      <c r="P186" s="35">
        <v>41.959373526944042</v>
      </c>
      <c r="Q186" s="35">
        <v>33.991121234688215</v>
      </c>
      <c r="R186" s="35">
        <v>30.684574624066375</v>
      </c>
      <c r="S186" s="35">
        <v>16.767796159283208</v>
      </c>
      <c r="T186" s="35">
        <v>13.72850951712881</v>
      </c>
      <c r="U186" s="35">
        <v>66.418371374392351</v>
      </c>
      <c r="V186" s="35">
        <v>66.534417668964281</v>
      </c>
      <c r="W186" s="35">
        <v>30.427248957713843</v>
      </c>
      <c r="X186" s="35">
        <v>30.100780008885536</v>
      </c>
      <c r="Y186" s="35">
        <v>41.583690815518608</v>
      </c>
      <c r="Z186" s="35">
        <v>72.562957663769012</v>
      </c>
      <c r="AA186" s="35"/>
      <c r="AB186" s="35">
        <v>54.520653909815998</v>
      </c>
      <c r="AC186" s="35">
        <v>38.616212481287754</v>
      </c>
      <c r="AD186" s="35">
        <v>28.516048251012293</v>
      </c>
      <c r="AE186" s="35">
        <v>26.932940095522007</v>
      </c>
      <c r="AF186" s="35">
        <v>12.328692804438761</v>
      </c>
      <c r="AG186" s="35">
        <v>4.7575679424593922</v>
      </c>
      <c r="AH186" s="35">
        <v>24.742076605906828</v>
      </c>
      <c r="AI186" s="35">
        <v>17.216981901530115</v>
      </c>
      <c r="AJ186" s="35">
        <v>13.682050456380964</v>
      </c>
      <c r="AK186" s="35">
        <v>17.508373674341886</v>
      </c>
      <c r="AL186" s="35">
        <v>32.74366256316388</v>
      </c>
      <c r="AM186" s="29">
        <v>62.79198074480891</v>
      </c>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c r="CH186" s="29"/>
      <c r="CI186" s="29"/>
      <c r="CJ186" s="29"/>
      <c r="CK186" s="29"/>
      <c r="CL186" s="29"/>
      <c r="CM186" s="29"/>
      <c r="CN186" s="29"/>
      <c r="CO186" s="29"/>
      <c r="CP186" s="29"/>
      <c r="CQ186" s="29"/>
      <c r="CR186" s="29"/>
      <c r="CS186" s="29"/>
      <c r="CT186" s="29"/>
      <c r="CU186" s="29"/>
      <c r="CV186" s="29"/>
      <c r="CW186" s="29"/>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row>
    <row r="187" spans="1:131">
      <c r="A187" s="7" t="s">
        <v>495</v>
      </c>
      <c r="B187" s="7"/>
      <c r="C187" s="35">
        <v>701.41408178007782</v>
      </c>
      <c r="D187" s="35">
        <v>5356.8461304836183</v>
      </c>
      <c r="E187" s="35">
        <v>1071.3692260967237</v>
      </c>
      <c r="F187" s="35">
        <v>6428.2153565803419</v>
      </c>
      <c r="G187" s="35">
        <v>7729.3107039006172</v>
      </c>
      <c r="H187" s="35">
        <v>586.17408047102492</v>
      </c>
      <c r="I187" s="35">
        <v>80282.343891264594</v>
      </c>
      <c r="J187" s="35">
        <v>469.40807670231948</v>
      </c>
      <c r="K187" s="35">
        <v>787.61292404503399</v>
      </c>
      <c r="L187" s="109">
        <v>7.5837820851891821E-2</v>
      </c>
      <c r="M187" s="35">
        <v>6.663613899013578</v>
      </c>
      <c r="N187" s="35">
        <v>0.17301276658821213</v>
      </c>
      <c r="O187" s="35">
        <v>42.350535323499919</v>
      </c>
      <c r="P187" s="35">
        <v>30.925596237311332</v>
      </c>
      <c r="Q187" s="35">
        <v>25.052702235471795</v>
      </c>
      <c r="R187" s="35">
        <v>23.241689900054592</v>
      </c>
      <c r="S187" s="35">
        <v>15.426529758952544</v>
      </c>
      <c r="T187" s="35">
        <v>13.589828799669277</v>
      </c>
      <c r="U187" s="35">
        <v>72.701566957546049</v>
      </c>
      <c r="V187" s="35">
        <v>72.874465612903663</v>
      </c>
      <c r="W187" s="35">
        <v>32.029203300072915</v>
      </c>
      <c r="X187" s="35">
        <v>23.895932723796474</v>
      </c>
      <c r="Y187" s="35">
        <v>30.648704308993558</v>
      </c>
      <c r="Z187" s="35">
        <v>53.481559467369713</v>
      </c>
      <c r="AA187" s="35"/>
      <c r="AB187" s="35">
        <v>40.183720291401563</v>
      </c>
      <c r="AC187" s="35">
        <v>28.461564008901558</v>
      </c>
      <c r="AD187" s="35">
        <v>21.017372767212578</v>
      </c>
      <c r="AE187" s="35">
        <v>20.023545885839592</v>
      </c>
      <c r="AF187" s="35">
        <v>10.021415328874129</v>
      </c>
      <c r="AG187" s="35">
        <v>4.2842197743003441</v>
      </c>
      <c r="AH187" s="35">
        <v>25.828860207148651</v>
      </c>
      <c r="AI187" s="35">
        <v>17.869809738690783</v>
      </c>
      <c r="AJ187" s="35">
        <v>13.64373071925016</v>
      </c>
      <c r="AK187" s="35">
        <v>13.448257621779817</v>
      </c>
      <c r="AL187" s="35">
        <v>24.13327947112758</v>
      </c>
      <c r="AM187" s="29">
        <v>46.279991339909259</v>
      </c>
      <c r="AN187" s="29"/>
      <c r="AO187" s="29"/>
      <c r="AP187" s="29"/>
      <c r="AQ187" s="29"/>
      <c r="AR187" s="29"/>
      <c r="AS187" s="29"/>
      <c r="AT187" s="29"/>
      <c r="AU187" s="29"/>
      <c r="AV187" s="29"/>
      <c r="AW187" s="29"/>
      <c r="AX187" s="29"/>
      <c r="AY187" s="29"/>
      <c r="AZ187" s="29"/>
      <c r="BA187" s="29"/>
      <c r="BB187" s="29"/>
      <c r="BC187" s="29"/>
      <c r="BD187" s="29"/>
      <c r="BE187" s="29"/>
      <c r="BF187" s="29"/>
      <c r="BG187" s="29"/>
      <c r="BH187" s="29"/>
      <c r="BI187" s="29"/>
      <c r="BJ187" s="29"/>
      <c r="BK187" s="29"/>
      <c r="BL187" s="29"/>
      <c r="BM187" s="29"/>
      <c r="BN187" s="29"/>
      <c r="BO187" s="29"/>
      <c r="BP187" s="29"/>
      <c r="BQ187" s="29"/>
      <c r="BR187" s="29"/>
      <c r="BS187" s="29"/>
      <c r="BT187" s="29"/>
      <c r="BU187" s="29"/>
      <c r="BV187" s="29"/>
      <c r="BW187" s="29"/>
      <c r="BX187" s="29"/>
      <c r="BY187" s="29"/>
      <c r="BZ187" s="29"/>
      <c r="CA187" s="29"/>
      <c r="CB187" s="29"/>
      <c r="CC187" s="29"/>
      <c r="CD187" s="29"/>
      <c r="CE187" s="29"/>
      <c r="CF187" s="29"/>
      <c r="CG187" s="29"/>
      <c r="CH187" s="29"/>
      <c r="CI187" s="29"/>
      <c r="CJ187" s="29"/>
      <c r="CK187" s="29"/>
      <c r="CL187" s="29"/>
      <c r="CM187" s="29"/>
      <c r="CN187" s="29"/>
      <c r="CO187" s="29"/>
      <c r="CP187" s="29"/>
      <c r="CQ187" s="29"/>
      <c r="CR187" s="29"/>
      <c r="CS187" s="29"/>
      <c r="CT187" s="29"/>
      <c r="CU187" s="29"/>
      <c r="CV187" s="29"/>
      <c r="CW187" s="29"/>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row>
    <row r="188" spans="1:131">
      <c r="A188" s="7" t="s">
        <v>804</v>
      </c>
      <c r="B188" s="7"/>
      <c r="C188" s="35">
        <v>604.08127008718748</v>
      </c>
      <c r="D188" s="35">
        <v>5447.8150000000014</v>
      </c>
      <c r="E188" s="35">
        <v>1089.5630000000003</v>
      </c>
      <c r="F188" s="35">
        <v>6537.3780000000015</v>
      </c>
      <c r="G188" s="35">
        <v>7860.5682834068703</v>
      </c>
      <c r="H188" s="35">
        <v>531.2091213780202</v>
      </c>
      <c r="I188" s="35">
        <v>94800.872193462594</v>
      </c>
      <c r="J188" s="35">
        <v>555.28260783855706</v>
      </c>
      <c r="K188" s="35">
        <v>931.03029713947728</v>
      </c>
      <c r="L188" s="109">
        <v>6.7578971675542443E-2</v>
      </c>
      <c r="M188" s="35">
        <v>5.7389045291973249</v>
      </c>
      <c r="N188" s="35">
        <v>0.16546861636563115</v>
      </c>
      <c r="O188" s="35">
        <v>40.503857723992795</v>
      </c>
      <c r="P188" s="35">
        <v>29.577098387482376</v>
      </c>
      <c r="Q188" s="35">
        <v>23.960289502740732</v>
      </c>
      <c r="R188" s="35">
        <v>21.735634313086543</v>
      </c>
      <c r="S188" s="35">
        <v>12.33968592609981</v>
      </c>
      <c r="T188" s="35">
        <v>10.26567530022256</v>
      </c>
      <c r="U188" s="35">
        <v>50.844075064718389</v>
      </c>
      <c r="V188" s="35">
        <v>50.940686485528438</v>
      </c>
      <c r="W188" s="35">
        <v>23.076045072632748</v>
      </c>
      <c r="X188" s="35">
        <v>21.507965032533452</v>
      </c>
      <c r="Y188" s="35">
        <v>29.312280217326169</v>
      </c>
      <c r="Z188" s="35">
        <v>51.149518157839978</v>
      </c>
      <c r="AA188" s="35"/>
      <c r="AB188" s="35">
        <v>38.431525766346411</v>
      </c>
      <c r="AC188" s="35">
        <v>27.220509266601471</v>
      </c>
      <c r="AD188" s="35">
        <v>20.100918909115393</v>
      </c>
      <c r="AE188" s="35">
        <v>19.014312058700813</v>
      </c>
      <c r="AF188" s="35">
        <v>8.8489288099019294</v>
      </c>
      <c r="AG188" s="35">
        <v>3.4854401615939077</v>
      </c>
      <c r="AH188" s="35">
        <v>18.727815426034788</v>
      </c>
      <c r="AI188" s="35">
        <v>13.014376149394106</v>
      </c>
      <c r="AJ188" s="35">
        <v>10.247868434179708</v>
      </c>
      <c r="AK188" s="35">
        <v>12.43383469895099</v>
      </c>
      <c r="AL188" s="35">
        <v>23.080957788259806</v>
      </c>
      <c r="AM188" s="29">
        <v>44.261971433904172</v>
      </c>
      <c r="AN188" s="29"/>
      <c r="AO188" s="29"/>
      <c r="AP188" s="29"/>
      <c r="AQ188" s="29"/>
      <c r="AR188" s="29"/>
      <c r="AS188" s="29"/>
      <c r="AT188" s="29"/>
      <c r="AU188" s="29"/>
      <c r="AV188" s="29"/>
      <c r="AW188" s="29"/>
      <c r="AX188" s="29"/>
      <c r="AY188" s="29"/>
      <c r="AZ188" s="29"/>
      <c r="BA188" s="29"/>
      <c r="BB188" s="29"/>
      <c r="BC188" s="29"/>
      <c r="BD188" s="29"/>
      <c r="BE188" s="29"/>
      <c r="BF188" s="29"/>
      <c r="BG188" s="29"/>
      <c r="BH188" s="29"/>
      <c r="BI188" s="29"/>
      <c r="BJ188" s="29"/>
      <c r="BK188" s="29"/>
      <c r="BL188" s="29"/>
      <c r="BM188" s="29"/>
      <c r="BN188" s="29"/>
      <c r="BO188" s="29"/>
      <c r="BP188" s="29"/>
      <c r="BQ188" s="29"/>
      <c r="BR188" s="29"/>
      <c r="BS188" s="29"/>
      <c r="BT188" s="29"/>
      <c r="BU188" s="29"/>
      <c r="BV188" s="29"/>
      <c r="BW188" s="29"/>
      <c r="BX188" s="29"/>
      <c r="BY188" s="29"/>
      <c r="BZ188" s="29"/>
      <c r="CA188" s="29"/>
      <c r="CB188" s="29"/>
      <c r="CC188" s="29"/>
      <c r="CD188" s="29"/>
      <c r="CE188" s="29"/>
      <c r="CF188" s="29"/>
      <c r="CG188" s="29"/>
      <c r="CH188" s="29"/>
      <c r="CI188" s="29"/>
      <c r="CJ188" s="29"/>
      <c r="CK188" s="29"/>
      <c r="CL188" s="29"/>
      <c r="CM188" s="29"/>
      <c r="CN188" s="29"/>
      <c r="CO188" s="29"/>
      <c r="CP188" s="29"/>
      <c r="CQ188" s="29"/>
      <c r="CR188" s="29"/>
      <c r="CS188" s="29"/>
      <c r="CT188" s="29"/>
      <c r="CU188" s="29"/>
      <c r="CV188" s="29"/>
      <c r="CW188" s="29"/>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row>
    <row r="189" spans="1:131">
      <c r="A189" s="7" t="s">
        <v>494</v>
      </c>
      <c r="B189" s="7"/>
      <c r="C189" s="35">
        <v>563.46241624481468</v>
      </c>
      <c r="D189" s="35">
        <v>5356.8461304836173</v>
      </c>
      <c r="E189" s="35">
        <v>1071.3692260967234</v>
      </c>
      <c r="F189" s="35">
        <v>6428.215356580341</v>
      </c>
      <c r="G189" s="35">
        <v>7729.3107039006154</v>
      </c>
      <c r="H189" s="35">
        <v>514.34947011890438</v>
      </c>
      <c r="I189" s="35">
        <v>99937.750771255625</v>
      </c>
      <c r="J189" s="35">
        <v>584.33255814041115</v>
      </c>
      <c r="K189" s="35">
        <v>980.44302510700686</v>
      </c>
      <c r="L189" s="109">
        <v>6.6545322063368037E-2</v>
      </c>
      <c r="M189" s="35">
        <v>5.3529908100902377</v>
      </c>
      <c r="N189" s="35">
        <v>0.17301276658821213</v>
      </c>
      <c r="O189" s="35">
        <v>42.350535323499919</v>
      </c>
      <c r="P189" s="35">
        <v>30.925596237311328</v>
      </c>
      <c r="Q189" s="35">
        <v>25.052702235471791</v>
      </c>
      <c r="R189" s="35">
        <v>22.223582842688948</v>
      </c>
      <c r="S189" s="35">
        <v>10.437017724732678</v>
      </c>
      <c r="T189" s="35">
        <v>7.9443322148543931</v>
      </c>
      <c r="U189" s="35">
        <v>34.079344093332494</v>
      </c>
      <c r="V189" s="35">
        <v>34.110157324952382</v>
      </c>
      <c r="W189" s="35">
        <v>16.411687563089423</v>
      </c>
      <c r="X189" s="35">
        <v>21.114089444793141</v>
      </c>
      <c r="Y189" s="35">
        <v>30.648704308993551</v>
      </c>
      <c r="Z189" s="35">
        <v>53.481559467369706</v>
      </c>
      <c r="AA189" s="35"/>
      <c r="AB189" s="35">
        <v>40.183720291401556</v>
      </c>
      <c r="AC189" s="35">
        <v>28.461564008901554</v>
      </c>
      <c r="AD189" s="35">
        <v>21.017372767212578</v>
      </c>
      <c r="AE189" s="35">
        <v>19.742228691237344</v>
      </c>
      <c r="AF189" s="35">
        <v>8.5013025969706444</v>
      </c>
      <c r="AG189" s="35">
        <v>3.0194316552166294</v>
      </c>
      <c r="AH189" s="35">
        <v>13.480434904655633</v>
      </c>
      <c r="AI189" s="35">
        <v>9.445243721813176</v>
      </c>
      <c r="AJ189" s="35">
        <v>7.8548872570651866</v>
      </c>
      <c r="AK189" s="35">
        <v>12.563650758213813</v>
      </c>
      <c r="AL189" s="35">
        <v>24.133279471127576</v>
      </c>
      <c r="AM189" s="29">
        <v>46.279991339909252</v>
      </c>
      <c r="AN189" s="29"/>
      <c r="AO189" s="29"/>
      <c r="AP189" s="29"/>
      <c r="AQ189" s="29"/>
      <c r="AR189" s="29"/>
      <c r="AS189" s="29"/>
      <c r="AT189" s="29"/>
      <c r="AU189" s="29"/>
      <c r="AV189" s="29"/>
      <c r="AW189" s="29"/>
      <c r="AX189" s="29"/>
      <c r="AY189" s="29"/>
      <c r="AZ189" s="29"/>
      <c r="BA189" s="29"/>
      <c r="BB189" s="29"/>
      <c r="BC189" s="29"/>
      <c r="BD189" s="29"/>
      <c r="BE189" s="29"/>
      <c r="BF189" s="29"/>
      <c r="BG189" s="29"/>
      <c r="BH189" s="29"/>
      <c r="BI189" s="29"/>
      <c r="BJ189" s="29"/>
      <c r="BK189" s="29"/>
      <c r="BL189" s="29"/>
      <c r="BM189" s="29"/>
      <c r="BN189" s="29"/>
      <c r="BO189" s="29"/>
      <c r="BP189" s="29"/>
      <c r="BQ189" s="29"/>
      <c r="BR189" s="29"/>
      <c r="BS189" s="29"/>
      <c r="BT189" s="29"/>
      <c r="BU189" s="29"/>
      <c r="BV189" s="29"/>
      <c r="BW189" s="29"/>
      <c r="BX189" s="29"/>
      <c r="BY189" s="29"/>
      <c r="BZ189" s="29"/>
      <c r="CA189" s="29"/>
      <c r="CB189" s="29"/>
      <c r="CC189" s="29"/>
      <c r="CD189" s="29"/>
      <c r="CE189" s="29"/>
      <c r="CF189" s="29"/>
      <c r="CG189" s="29"/>
      <c r="CH189" s="29"/>
      <c r="CI189" s="29"/>
      <c r="CJ189" s="29"/>
      <c r="CK189" s="29"/>
      <c r="CL189" s="29"/>
      <c r="CM189" s="29"/>
      <c r="CN189" s="29"/>
      <c r="CO189" s="29"/>
      <c r="CP189" s="29"/>
      <c r="CQ189" s="29"/>
      <c r="CR189" s="29"/>
      <c r="CS189" s="29"/>
      <c r="CT189" s="29"/>
      <c r="CU189" s="29"/>
      <c r="CV189" s="29"/>
      <c r="CW189" s="29"/>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row>
    <row r="190" spans="1:131">
      <c r="A190" s="7"/>
      <c r="B190" s="7"/>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c r="BM190" s="29"/>
      <c r="BN190" s="29"/>
      <c r="BO190" s="29"/>
      <c r="BP190" s="29"/>
      <c r="BQ190" s="29"/>
      <c r="BR190" s="29"/>
      <c r="BS190" s="29"/>
      <c r="BT190" s="29"/>
      <c r="BU190" s="29"/>
      <c r="BV190" s="29"/>
      <c r="BW190" s="29"/>
      <c r="BX190" s="29"/>
      <c r="BY190" s="29"/>
      <c r="BZ190" s="29"/>
      <c r="CA190" s="29"/>
      <c r="CB190" s="29"/>
      <c r="CC190" s="29"/>
      <c r="CD190" s="29"/>
      <c r="CE190" s="29"/>
      <c r="CF190" s="29"/>
      <c r="CG190" s="29"/>
      <c r="CH190" s="29"/>
      <c r="CI190" s="29"/>
      <c r="CJ190" s="29"/>
      <c r="CK190" s="29"/>
      <c r="CL190" s="29"/>
      <c r="CM190" s="29"/>
      <c r="CN190" s="29"/>
      <c r="CO190" s="29"/>
      <c r="CP190" s="29"/>
      <c r="CQ190" s="29"/>
      <c r="CR190" s="29"/>
      <c r="CS190" s="29"/>
      <c r="CT190" s="29"/>
      <c r="CU190" s="29"/>
      <c r="CV190" s="29"/>
      <c r="CW190" s="29"/>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row>
  </sheetData>
  <mergeCells count="3">
    <mergeCell ref="I6:N6"/>
    <mergeCell ref="O6:P6"/>
    <mergeCell ref="R6:T6"/>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sheetPr codeName="Sheet7"/>
  <dimension ref="A2:DC322"/>
  <sheetViews>
    <sheetView topLeftCell="C160" workbookViewId="0">
      <selection activeCell="G181" sqref="G181"/>
    </sheetView>
  </sheetViews>
  <sheetFormatPr defaultRowHeight="12.75"/>
  <cols>
    <col min="1" max="2" width="39" customWidth="1"/>
    <col min="3" max="3" width="98.85546875" customWidth="1"/>
    <col min="4" max="4" width="30.7109375" customWidth="1"/>
    <col min="5" max="5" width="17.28515625" customWidth="1"/>
    <col min="9" max="9" width="14.7109375" customWidth="1"/>
    <col min="10" max="10" width="9.85546875" customWidth="1"/>
    <col min="17" max="18" width="9.85546875" customWidth="1"/>
  </cols>
  <sheetData>
    <row r="2" spans="1:107">
      <c r="A2" t="s">
        <v>53</v>
      </c>
    </row>
    <row r="3" spans="1:107">
      <c r="A3" s="42" t="s">
        <v>454</v>
      </c>
      <c r="B3" s="42"/>
      <c r="C3" s="42"/>
      <c r="E3">
        <v>4</v>
      </c>
      <c r="F3">
        <v>5</v>
      </c>
      <c r="G3">
        <v>6</v>
      </c>
      <c r="H3">
        <v>7</v>
      </c>
      <c r="I3">
        <v>8</v>
      </c>
      <c r="J3">
        <v>9</v>
      </c>
      <c r="K3">
        <v>10</v>
      </c>
      <c r="L3">
        <v>11</v>
      </c>
      <c r="M3">
        <v>12</v>
      </c>
      <c r="N3">
        <v>13</v>
      </c>
      <c r="O3">
        <v>14</v>
      </c>
      <c r="P3">
        <v>15</v>
      </c>
      <c r="Q3">
        <v>16</v>
      </c>
      <c r="R3">
        <v>17</v>
      </c>
    </row>
    <row r="4" spans="1:107" s="7" customFormat="1">
      <c r="C4" s="451" t="s">
        <v>3</v>
      </c>
      <c r="D4" s="452"/>
      <c r="E4" s="452"/>
      <c r="F4" s="452"/>
      <c r="G4" s="452"/>
      <c r="H4" s="452"/>
      <c r="I4" s="452"/>
      <c r="J4" s="453"/>
      <c r="K4" s="454" t="s">
        <v>4</v>
      </c>
      <c r="L4" s="455"/>
      <c r="M4" s="455"/>
      <c r="N4" s="455"/>
      <c r="O4" s="455"/>
      <c r="P4" s="456"/>
      <c r="Q4" s="457" t="s">
        <v>5</v>
      </c>
      <c r="R4" s="458"/>
      <c r="S4" s="16"/>
      <c r="T4" s="17"/>
      <c r="U4" s="17"/>
      <c r="V4" s="17"/>
      <c r="W4" s="17"/>
      <c r="X4" s="17"/>
      <c r="Y4" s="17"/>
      <c r="Z4" s="18"/>
      <c r="AA4" s="19"/>
      <c r="AB4" s="17"/>
      <c r="AC4" s="17"/>
      <c r="AD4" s="17"/>
      <c r="AE4" s="17"/>
      <c r="AF4" s="17"/>
      <c r="AG4" s="20"/>
      <c r="AH4" s="20"/>
      <c r="AI4" s="20"/>
      <c r="AJ4" s="20"/>
      <c r="AK4" s="20"/>
      <c r="AL4" s="20"/>
      <c r="AM4" s="20"/>
      <c r="AN4" s="20"/>
      <c r="AO4" s="20"/>
      <c r="AP4" s="20"/>
      <c r="AQ4" s="20"/>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row>
    <row r="5" spans="1:107" ht="38.25">
      <c r="A5" s="7"/>
      <c r="B5" s="7"/>
      <c r="C5" s="21" t="s">
        <v>6</v>
      </c>
      <c r="D5" s="21" t="s">
        <v>7</v>
      </c>
      <c r="E5" s="21" t="s">
        <v>8</v>
      </c>
      <c r="F5" s="21" t="s">
        <v>9</v>
      </c>
      <c r="G5" s="21" t="s">
        <v>10</v>
      </c>
      <c r="H5" s="21" t="s">
        <v>11</v>
      </c>
      <c r="I5" s="21" t="s">
        <v>12</v>
      </c>
      <c r="J5" s="21" t="s">
        <v>13</v>
      </c>
      <c r="K5" s="21" t="s">
        <v>14</v>
      </c>
      <c r="L5" s="21" t="s">
        <v>15</v>
      </c>
      <c r="M5" s="21" t="s">
        <v>16</v>
      </c>
      <c r="N5" s="21" t="s">
        <v>17</v>
      </c>
      <c r="O5" s="21" t="s">
        <v>18</v>
      </c>
      <c r="P5" s="21" t="s">
        <v>19</v>
      </c>
      <c r="Q5" s="22" t="s">
        <v>20</v>
      </c>
      <c r="R5" s="21" t="s">
        <v>12</v>
      </c>
    </row>
    <row r="6" spans="1:107" ht="25.5">
      <c r="A6" t="str">
        <f>Composite!A90</f>
        <v>Heating Zone 1</v>
      </c>
      <c r="C6" s="24" t="str">
        <f>IF(LEFT(Composite!B90,4)="Exis",LEFT(Composite!B90,FIND("- He",Composite!B90)-2),LEFT(Composite!B90,FIND("HZ",Composite!B90)-2))</f>
        <v>Existing Single Family Home HVAC Conversion - Convert FAF w/CAC to Heat Pump - House with "Good Insulation"</v>
      </c>
      <c r="D6" s="24" t="str">
        <f>Composite!C90</f>
        <v>Heating Savings</v>
      </c>
      <c r="E6" s="44">
        <f>Composite!D90*VLOOKUP($A6,weighting!$A$7:$C$27,3,FALSE)</f>
        <v>2610.3529019871903</v>
      </c>
      <c r="F6" s="24">
        <f>Composite!E90</f>
        <v>15</v>
      </c>
      <c r="G6" s="44">
        <f>Composite!F90*VLOOKUP($A6,weighting!$A$7:$C$27,3,FALSE)</f>
        <v>2878.5049609349367</v>
      </c>
      <c r="H6" s="44">
        <f>Composite!G90</f>
        <v>0</v>
      </c>
      <c r="I6" s="24" t="str">
        <f>Composite!H90</f>
        <v>ResSpHtHPZ1</v>
      </c>
      <c r="J6" s="44">
        <f>Composite!I90*VLOOKUP($A6,weighting!$A$7:$C$27,3,FALSE)</f>
        <v>41.534869287695713</v>
      </c>
      <c r="K6" s="44">
        <f>Composite!J90*VLOOKUP($A6,weighting!$A$7:$C$27,3,FALSE)</f>
        <v>0</v>
      </c>
      <c r="L6" s="24">
        <f>Composite!K90</f>
        <v>0</v>
      </c>
      <c r="M6" s="44">
        <f>Composite!L90*VLOOKUP($A6,weighting!$A$7:$C$27,3,FALSE)</f>
        <v>0</v>
      </c>
      <c r="N6" s="24">
        <f>Composite!M90</f>
        <v>0</v>
      </c>
      <c r="O6" s="44">
        <f>Composite!N90*VLOOKUP($A6,weighting!$A$7:$C$27,3,FALSE)</f>
        <v>0</v>
      </c>
      <c r="P6" s="24">
        <f>Composite!O90</f>
        <v>0</v>
      </c>
      <c r="Q6" s="44">
        <f>Composite!P90*VLOOKUP($A6,weighting!$A$7:$C$27,3,FALSE)</f>
        <v>0</v>
      </c>
      <c r="R6" s="44">
        <f>Composite!Q90</f>
        <v>0</v>
      </c>
    </row>
    <row r="7" spans="1:107" ht="25.5">
      <c r="A7" t="str">
        <f>Composite!A91</f>
        <v>Heating Zone 2</v>
      </c>
      <c r="C7" s="24" t="str">
        <f>IF(LEFT(Composite!B91,4)="Exis",LEFT(Composite!B91,FIND("- He",Composite!B91)-2),LEFT(Composite!B91,FIND("HZ",Composite!B91)-2))</f>
        <v>Existing Single Family Home HVAC Conversion - Convert FAF w/CAC to Heat Pump - House with "Good Insulation"</v>
      </c>
      <c r="D7" s="24" t="str">
        <f>Composite!C91</f>
        <v>Heating Savings</v>
      </c>
      <c r="E7" s="44">
        <f>Composite!D91*VLOOKUP($A7,weighting!$A$7:$C$27,3,FALSE)</f>
        <v>1781.6879870512096</v>
      </c>
      <c r="F7" s="24">
        <f>Composite!E91</f>
        <v>15</v>
      </c>
      <c r="G7" s="44">
        <f>Composite!F91*VLOOKUP($A7,weighting!$A$7:$C$27,3,FALSE)</f>
        <v>1922.8589377943797</v>
      </c>
      <c r="H7" s="44">
        <f>Composite!G91</f>
        <v>0</v>
      </c>
      <c r="I7" s="24" t="str">
        <f>Composite!H91</f>
        <v>ResSpHtHPZ2</v>
      </c>
      <c r="J7" s="44">
        <f>Composite!I91*VLOOKUP($A7,weighting!$A$7:$C$27,3,FALSE)</f>
        <v>20.729717967848195</v>
      </c>
      <c r="K7" s="44">
        <f>Composite!J91*VLOOKUP($A7,weighting!$A$7:$C$27,3,FALSE)</f>
        <v>0</v>
      </c>
      <c r="L7" s="24">
        <f>Composite!K91</f>
        <v>0</v>
      </c>
      <c r="M7" s="44">
        <f>Composite!L91*VLOOKUP($A7,weighting!$A$7:$C$27,3,FALSE)</f>
        <v>0</v>
      </c>
      <c r="N7" s="24">
        <f>Composite!M91</f>
        <v>0</v>
      </c>
      <c r="O7" s="44">
        <f>Composite!N91*VLOOKUP($A7,weighting!$A$7:$C$27,3,FALSE)</f>
        <v>0</v>
      </c>
      <c r="P7" s="24">
        <f>Composite!O91</f>
        <v>0</v>
      </c>
      <c r="Q7" s="44">
        <f>Composite!P91*VLOOKUP($A7,weighting!$A$7:$C$27,3,FALSE)</f>
        <v>0</v>
      </c>
      <c r="R7" s="44">
        <f>Composite!Q91</f>
        <v>0</v>
      </c>
    </row>
    <row r="8" spans="1:107" ht="25.5">
      <c r="A8" t="str">
        <f>Composite!A92</f>
        <v>Heating Zone 3</v>
      </c>
      <c r="C8" s="24" t="str">
        <f>IF(LEFT(Composite!B92,4)="Exis",LEFT(Composite!B92,FIND("- He",Composite!B92)-2),LEFT(Composite!B92,FIND("HZ",Composite!B92)-2))</f>
        <v>Existing Single Family Home HVAC Conversion - Convert FAF w/CAC to Heat Pump - House with "Good Insulation"</v>
      </c>
      <c r="D8" s="24" t="str">
        <f>Composite!C92</f>
        <v>Heating Savings</v>
      </c>
      <c r="E8" s="44">
        <f>Composite!D92*VLOOKUP($A8,weighting!$A$7:$C$27,3,FALSE)</f>
        <v>782.2992469197975</v>
      </c>
      <c r="F8" s="24">
        <f>Composite!E92</f>
        <v>15</v>
      </c>
      <c r="G8" s="44">
        <f>Composite!F92*VLOOKUP($A8,weighting!$A$7:$C$27,3,FALSE)</f>
        <v>988.6739737710227</v>
      </c>
      <c r="H8" s="44">
        <f>Composite!G92</f>
        <v>0</v>
      </c>
      <c r="I8" s="24" t="str">
        <f>Composite!H92</f>
        <v>ResSpHtHPZ3</v>
      </c>
      <c r="J8" s="44">
        <f>Composite!I92*VLOOKUP($A8,weighting!$A$7:$C$27,3,FALSE)</f>
        <v>9.2581402618820086</v>
      </c>
      <c r="K8" s="44">
        <f>Composite!J92*VLOOKUP($A8,weighting!$A$7:$C$27,3,FALSE)</f>
        <v>0</v>
      </c>
      <c r="L8" s="24">
        <f>Composite!K92</f>
        <v>0</v>
      </c>
      <c r="M8" s="44">
        <f>Composite!L92*VLOOKUP($A8,weighting!$A$7:$C$27,3,FALSE)</f>
        <v>0</v>
      </c>
      <c r="N8" s="24">
        <f>Composite!M92</f>
        <v>0</v>
      </c>
      <c r="O8" s="44">
        <f>Composite!N92*VLOOKUP($A8,weighting!$A$7:$C$27,3,FALSE)</f>
        <v>0</v>
      </c>
      <c r="P8" s="24">
        <f>Composite!O92</f>
        <v>0</v>
      </c>
      <c r="Q8" s="44">
        <f>Composite!P92*VLOOKUP($A8,weighting!$A$7:$C$27,3,FALSE)</f>
        <v>0</v>
      </c>
      <c r="R8" s="44">
        <f>Composite!Q92</f>
        <v>0</v>
      </c>
    </row>
    <row r="9" spans="1:107" ht="25.5">
      <c r="A9" t="str">
        <f>Composite!A93</f>
        <v>Heating Zone 1 - Cooling Zone 1</v>
      </c>
      <c r="C9" s="24" t="str">
        <f>IF(LEFT(Composite!B93,4)="Exis",LEFT(Composite!B93,FIND("- He",Composite!B93)-2),LEFT(Composite!B93,FIND("HZ",Composite!B93)-2))</f>
        <v>Existing Single Family Home HVAC Conversion - Convert FAF w/o CAC to Heat Pump - House with "Good Insulation"</v>
      </c>
      <c r="D9" s="24" t="str">
        <f>Composite!C93</f>
        <v>Heating Savings</v>
      </c>
      <c r="E9" s="44">
        <f>Composite!D93*VLOOKUP($A9,weighting!$A$7:$C$27,3,FALSE)</f>
        <v>2610.3529019871903</v>
      </c>
      <c r="F9" s="24">
        <f>Composite!E93</f>
        <v>15</v>
      </c>
      <c r="G9" s="44">
        <f>Composite!F93*VLOOKUP($A9,weighting!$A$7:$C$27,3,FALSE)</f>
        <v>4405.939111130092</v>
      </c>
      <c r="H9" s="44">
        <f>Composite!G93</f>
        <v>0</v>
      </c>
      <c r="I9" s="24" t="str">
        <f>Composite!H93</f>
        <v>ResSpHtHPZ1</v>
      </c>
      <c r="J9" s="44">
        <f>Composite!I93*VLOOKUP($A9,weighting!$A$7:$C$27,3,FALSE)</f>
        <v>41.534869287695713</v>
      </c>
      <c r="K9" s="44">
        <f>Composite!J93*VLOOKUP($A9,weighting!$A$7:$C$27,3,FALSE)</f>
        <v>0</v>
      </c>
      <c r="L9" s="24">
        <f>Composite!K93</f>
        <v>0</v>
      </c>
      <c r="M9" s="44">
        <f>Composite!L93*VLOOKUP($A9,weighting!$A$7:$C$27,3,FALSE)</f>
        <v>0</v>
      </c>
      <c r="N9" s="24">
        <f>Composite!M93</f>
        <v>0</v>
      </c>
      <c r="O9" s="44">
        <f>Composite!N93*VLOOKUP($A9,weighting!$A$7:$C$27,3,FALSE)</f>
        <v>0</v>
      </c>
      <c r="P9" s="24">
        <f>Composite!O93</f>
        <v>0</v>
      </c>
      <c r="Q9" s="44">
        <f>Composite!P93*VLOOKUP($A9,weighting!$A$7:$C$27,3,FALSE)</f>
        <v>0</v>
      </c>
      <c r="R9" s="44">
        <f>Composite!Q93</f>
        <v>0</v>
      </c>
      <c r="S9" s="41"/>
    </row>
    <row r="10" spans="1:107" ht="25.5">
      <c r="A10" t="str">
        <f>Composite!A94</f>
        <v>Heating Zone 1 - Cooling Zone 2</v>
      </c>
      <c r="C10" s="24" t="str">
        <f>IF(LEFT(Composite!B94,4)="Exis",LEFT(Composite!B94,FIND("- He",Composite!B94)-2),LEFT(Composite!B94,FIND("HZ",Composite!B94)-2))</f>
        <v>Existing Single Family Home HVAC Conversion - Convert FAF w/o CAC to Heat Pump - House with "Good Insulation"</v>
      </c>
      <c r="D10" s="24" t="str">
        <f>Composite!C94</f>
        <v>Heating Savings</v>
      </c>
      <c r="E10" s="44">
        <f>Composite!D94*VLOOKUP($A10,weighting!$A$7:$C$27,3,FALSE)</f>
        <v>1457.613870975053</v>
      </c>
      <c r="F10" s="24">
        <f>Composite!E94</f>
        <v>15</v>
      </c>
      <c r="G10" s="44">
        <f>Composite!F94*VLOOKUP($A10,weighting!$A$7:$C$27,3,FALSE)</f>
        <v>1959.9123566552744</v>
      </c>
      <c r="H10" s="44">
        <f>Composite!G94</f>
        <v>0</v>
      </c>
      <c r="I10" s="24" t="str">
        <f>Composite!H94</f>
        <v>ResSpHtHPZ1</v>
      </c>
      <c r="J10" s="44">
        <f>Composite!I94*VLOOKUP($A10,weighting!$A$7:$C$27,3,FALSE)</f>
        <v>23.192956613947555</v>
      </c>
      <c r="K10" s="44">
        <f>Composite!J94*VLOOKUP($A10,weighting!$A$7:$C$27,3,FALSE)</f>
        <v>0</v>
      </c>
      <c r="L10" s="24">
        <f>Composite!K94</f>
        <v>0</v>
      </c>
      <c r="M10" s="44">
        <f>Composite!L94*VLOOKUP($A10,weighting!$A$7:$C$27,3,FALSE)</f>
        <v>0</v>
      </c>
      <c r="N10" s="24">
        <f>Composite!M94</f>
        <v>0</v>
      </c>
      <c r="O10" s="44">
        <f>Composite!N94*VLOOKUP($A10,weighting!$A$7:$C$27,3,FALSE)</f>
        <v>0</v>
      </c>
      <c r="P10" s="24">
        <f>Composite!O94</f>
        <v>0</v>
      </c>
      <c r="Q10" s="44">
        <f>Composite!P94*VLOOKUP($A10,weighting!$A$7:$C$27,3,FALSE)</f>
        <v>0</v>
      </c>
      <c r="R10" s="44">
        <f>Composite!Q94</f>
        <v>0</v>
      </c>
      <c r="S10" s="41"/>
    </row>
    <row r="11" spans="1:107" ht="25.5">
      <c r="A11" t="str">
        <f>Composite!A95</f>
        <v>Heating Zone 1 - Cooling Zone 3</v>
      </c>
      <c r="C11" s="24" t="str">
        <f>IF(LEFT(Composite!B95,4)="Exis",LEFT(Composite!B95,FIND("- He",Composite!B95)-2),LEFT(Composite!B95,FIND("HZ",Composite!B95)-2))</f>
        <v>Existing Single Family Home HVAC Conversion - Convert FAF w/o CAC to Heat Pump - House with "Good Insulation"</v>
      </c>
      <c r="D11" s="24" t="str">
        <f>Composite!C95</f>
        <v>Heating Savings</v>
      </c>
      <c r="E11" s="44">
        <f>Composite!D95*VLOOKUP($A11,weighting!$A$7:$C$27,3,FALSE)</f>
        <v>1152.7390310121373</v>
      </c>
      <c r="F11" s="24">
        <f>Composite!E95</f>
        <v>15</v>
      </c>
      <c r="G11" s="44">
        <f>Composite!F95*VLOOKUP($A11,weighting!$A$7:$C$27,3,FALSE)</f>
        <v>1271.1557187940914</v>
      </c>
      <c r="H11" s="44">
        <f>Composite!G95</f>
        <v>0</v>
      </c>
      <c r="I11" s="24" t="str">
        <f>Composite!H95</f>
        <v>ResSpHtHPZ1</v>
      </c>
      <c r="J11" s="44">
        <f>Composite!I95*VLOOKUP($A11,weighting!$A$7:$C$27,3,FALSE)</f>
        <v>18.341912673748162</v>
      </c>
      <c r="K11" s="44">
        <f>Composite!J95*VLOOKUP($A11,weighting!$A$7:$C$27,3,FALSE)</f>
        <v>0</v>
      </c>
      <c r="L11" s="24">
        <f>Composite!K95</f>
        <v>0</v>
      </c>
      <c r="M11" s="44">
        <f>Composite!L95*VLOOKUP($A11,weighting!$A$7:$C$27,3,FALSE)</f>
        <v>0</v>
      </c>
      <c r="N11" s="24">
        <f>Composite!M95</f>
        <v>0</v>
      </c>
      <c r="O11" s="44">
        <f>Composite!N95*VLOOKUP($A11,weighting!$A$7:$C$27,3,FALSE)</f>
        <v>0</v>
      </c>
      <c r="P11" s="24">
        <f>Composite!O95</f>
        <v>0</v>
      </c>
      <c r="Q11" s="44">
        <f>Composite!P95*VLOOKUP($A11,weighting!$A$7:$C$27,3,FALSE)</f>
        <v>0</v>
      </c>
      <c r="R11" s="44">
        <f>Composite!Q95</f>
        <v>0</v>
      </c>
      <c r="S11" s="41"/>
    </row>
    <row r="12" spans="1:107" ht="25.5">
      <c r="A12" t="str">
        <f>Composite!A96</f>
        <v>Heating Zone 2 - Cooling Zone 1</v>
      </c>
      <c r="C12" s="24" t="str">
        <f>IF(LEFT(Composite!B96,4)="Exis",LEFT(Composite!B96,FIND("- He",Composite!B96)-2),LEFT(Composite!B96,FIND("HZ",Composite!B96)-2))</f>
        <v>Existing Single Family Home HVAC Conversion - Convert FAF w/o CAC to Heat Pump - House with "Good Insulation"</v>
      </c>
      <c r="D12" s="24" t="str">
        <f>Composite!C96</f>
        <v>Heating Savings</v>
      </c>
      <c r="E12" s="44">
        <f>Composite!D96*VLOOKUP($A12,weighting!$A$7:$C$27,3,FALSE)</f>
        <v>1157.0195103817071</v>
      </c>
      <c r="F12" s="24">
        <f>Composite!E96</f>
        <v>15</v>
      </c>
      <c r="G12" s="44">
        <f>Composite!F96*VLOOKUP($A12,weighting!$A$7:$C$27,3,FALSE)</f>
        <v>1913.6786455615782</v>
      </c>
      <c r="H12" s="44">
        <f>Composite!G96</f>
        <v>0</v>
      </c>
      <c r="I12" s="24" t="str">
        <f>Composite!H96</f>
        <v>ResSpHtHPZ2</v>
      </c>
      <c r="J12" s="44">
        <f>Composite!I96*VLOOKUP($A12,weighting!$A$7:$C$27,3,FALSE)</f>
        <v>13.46177799245678</v>
      </c>
      <c r="K12" s="44">
        <f>Composite!J96*VLOOKUP($A12,weighting!$A$7:$C$27,3,FALSE)</f>
        <v>0</v>
      </c>
      <c r="L12" s="24">
        <f>Composite!K96</f>
        <v>0</v>
      </c>
      <c r="M12" s="44">
        <f>Composite!L96*VLOOKUP($A12,weighting!$A$7:$C$27,3,FALSE)</f>
        <v>0</v>
      </c>
      <c r="N12" s="24">
        <f>Composite!M96</f>
        <v>0</v>
      </c>
      <c r="O12" s="44">
        <f>Composite!N96*VLOOKUP($A12,weighting!$A$7:$C$27,3,FALSE)</f>
        <v>0</v>
      </c>
      <c r="P12" s="24">
        <f>Composite!O96</f>
        <v>0</v>
      </c>
      <c r="Q12" s="44">
        <f>Composite!P96*VLOOKUP($A12,weighting!$A$7:$C$27,3,FALSE)</f>
        <v>0</v>
      </c>
      <c r="R12" s="44">
        <f>Composite!Q96</f>
        <v>0</v>
      </c>
      <c r="S12" s="41"/>
    </row>
    <row r="13" spans="1:107" ht="25.5">
      <c r="A13" t="str">
        <f>Composite!A97</f>
        <v>Heating Zone 2 - Cooling Zone 2</v>
      </c>
      <c r="C13" s="24" t="str">
        <f>IF(LEFT(Composite!B97,4)="Exis",LEFT(Composite!B97,FIND("- He",Composite!B97)-2),LEFT(Composite!B97,FIND("HZ",Composite!B97)-2))</f>
        <v>Existing Single Family Home HVAC Conversion - Convert FAF w/o CAC to Heat Pump - House with "Good Insulation"</v>
      </c>
      <c r="D13" s="24" t="str">
        <f>Composite!C97</f>
        <v>Heating Savings</v>
      </c>
      <c r="E13" s="44">
        <f>Composite!D97*VLOOKUP($A13,weighting!$A$7:$C$27,3,FALSE)</f>
        <v>2139.4728728634609</v>
      </c>
      <c r="F13" s="24">
        <f>Composite!E97</f>
        <v>15</v>
      </c>
      <c r="G13" s="44">
        <f>Composite!F97*VLOOKUP($A13,weighting!$A$7:$C$27,3,FALSE)</f>
        <v>2819.255110659004</v>
      </c>
      <c r="H13" s="44">
        <f>Composite!G97</f>
        <v>0</v>
      </c>
      <c r="I13" s="24" t="str">
        <f>Composite!H97</f>
        <v>ResSpHtHPZ2</v>
      </c>
      <c r="J13" s="44">
        <f>Composite!I97*VLOOKUP($A13,weighting!$A$7:$C$27,3,FALSE)</f>
        <v>24.892500581835456</v>
      </c>
      <c r="K13" s="44">
        <f>Composite!J97*VLOOKUP($A13,weighting!$A$7:$C$27,3,FALSE)</f>
        <v>0</v>
      </c>
      <c r="L13" s="24">
        <f>Composite!K97</f>
        <v>0</v>
      </c>
      <c r="M13" s="44">
        <f>Composite!L97*VLOOKUP($A13,weighting!$A$7:$C$27,3,FALSE)</f>
        <v>0</v>
      </c>
      <c r="N13" s="24">
        <f>Composite!M97</f>
        <v>0</v>
      </c>
      <c r="O13" s="44">
        <f>Composite!N97*VLOOKUP($A13,weighting!$A$7:$C$27,3,FALSE)</f>
        <v>0</v>
      </c>
      <c r="P13" s="24">
        <f>Composite!O97</f>
        <v>0</v>
      </c>
      <c r="Q13" s="44">
        <f>Composite!P97*VLOOKUP($A13,weighting!$A$7:$C$27,3,FALSE)</f>
        <v>0</v>
      </c>
      <c r="R13" s="44">
        <f>Composite!Q97</f>
        <v>0</v>
      </c>
      <c r="S13" s="41"/>
    </row>
    <row r="14" spans="1:107" ht="25.5">
      <c r="A14" t="str">
        <f>Composite!A98</f>
        <v>Heating Zone 2 - Cooling Zone 3</v>
      </c>
      <c r="C14" s="24" t="str">
        <f>IF(LEFT(Composite!B98,4)="Exis",LEFT(Composite!B98,FIND("- He",Composite!B98)-2),LEFT(Composite!B98,FIND("HZ",Composite!B98)-2))</f>
        <v>Existing Single Family Home HVAC Conversion - Convert FAF w/o CAC to Heat Pump - House with "Good Insulation"</v>
      </c>
      <c r="D14" s="24" t="str">
        <f>Composite!C98</f>
        <v>Heating Savings</v>
      </c>
      <c r="E14" s="44">
        <f>Composite!D98*VLOOKUP($A14,weighting!$A$7:$C$27,3,FALSE)</f>
        <v>146.89009378374209</v>
      </c>
      <c r="F14" s="24">
        <f>Composite!E98</f>
        <v>15</v>
      </c>
      <c r="G14" s="44">
        <f>Composite!F98*VLOOKUP($A14,weighting!$A$7:$C$27,3,FALSE)</f>
        <v>158.52883993060505</v>
      </c>
      <c r="H14" s="44">
        <f>Composite!G98</f>
        <v>0</v>
      </c>
      <c r="I14" s="24" t="str">
        <f>Composite!H98</f>
        <v>ResSpHtHPZ2</v>
      </c>
      <c r="J14" s="44">
        <f>Composite!I98*VLOOKUP($A14,weighting!$A$7:$C$27,3,FALSE)</f>
        <v>1.7090479581934932</v>
      </c>
      <c r="K14" s="44">
        <f>Composite!J98*VLOOKUP($A14,weighting!$A$7:$C$27,3,FALSE)</f>
        <v>0</v>
      </c>
      <c r="L14" s="24">
        <f>Composite!K98</f>
        <v>0</v>
      </c>
      <c r="M14" s="44">
        <f>Composite!L98*VLOOKUP($A14,weighting!$A$7:$C$27,3,FALSE)</f>
        <v>0</v>
      </c>
      <c r="N14" s="24">
        <f>Composite!M98</f>
        <v>0</v>
      </c>
      <c r="O14" s="44">
        <f>Composite!N98*VLOOKUP($A14,weighting!$A$7:$C$27,3,FALSE)</f>
        <v>0</v>
      </c>
      <c r="P14" s="24">
        <f>Composite!O98</f>
        <v>0</v>
      </c>
      <c r="Q14" s="44">
        <f>Composite!P98*VLOOKUP($A14,weighting!$A$7:$C$27,3,FALSE)</f>
        <v>0</v>
      </c>
      <c r="R14" s="44">
        <f>Composite!Q98</f>
        <v>0</v>
      </c>
      <c r="S14" s="41"/>
    </row>
    <row r="15" spans="1:107" ht="25.5">
      <c r="A15" t="str">
        <f>Composite!A99</f>
        <v>Heating Zone 3 - Cooling Zone 1</v>
      </c>
      <c r="C15" s="24" t="str">
        <f>IF(LEFT(Composite!B99,4)="Exis",LEFT(Composite!B99,FIND("- He",Composite!B99)-2),LEFT(Composite!B99,FIND("HZ",Composite!B99)-2))</f>
        <v>Existing Single Family Home HVAC Conversion - Convert FAF w/o CAC to Heat Pump - House with "Good Insulation"</v>
      </c>
      <c r="D15" s="24" t="str">
        <f>Composite!C99</f>
        <v>Heating Savings</v>
      </c>
      <c r="E15" s="44">
        <f>Composite!D99*VLOOKUP($A15,weighting!$A$7:$C$27,3,FALSE)</f>
        <v>1321.0464281667585</v>
      </c>
      <c r="F15" s="24">
        <f>Composite!E99</f>
        <v>15</v>
      </c>
      <c r="G15" s="44">
        <f>Composite!F99*VLOOKUP($A15,weighting!$A$7:$C$27,3,FALSE)</f>
        <v>2562.528946048295</v>
      </c>
      <c r="H15" s="44">
        <f>Composite!G99</f>
        <v>0</v>
      </c>
      <c r="I15" s="24" t="str">
        <f>Composite!H99</f>
        <v>ResSpHtHPZ3</v>
      </c>
      <c r="J15" s="44">
        <f>Composite!I99*VLOOKUP($A15,weighting!$A$7:$C$27,3,FALSE)</f>
        <v>15.633957430717004</v>
      </c>
      <c r="K15" s="44">
        <f>Composite!J99*VLOOKUP($A15,weighting!$A$7:$C$27,3,FALSE)</f>
        <v>0</v>
      </c>
      <c r="L15" s="24">
        <f>Composite!K99</f>
        <v>0</v>
      </c>
      <c r="M15" s="44">
        <f>Composite!L99*VLOOKUP($A15,weighting!$A$7:$C$27,3,FALSE)</f>
        <v>0</v>
      </c>
      <c r="N15" s="24">
        <f>Composite!M99</f>
        <v>0</v>
      </c>
      <c r="O15" s="44">
        <f>Composite!N99*VLOOKUP($A15,weighting!$A$7:$C$27,3,FALSE)</f>
        <v>0</v>
      </c>
      <c r="P15" s="24">
        <f>Composite!O99</f>
        <v>0</v>
      </c>
      <c r="Q15" s="44">
        <f>Composite!P99*VLOOKUP($A15,weighting!$A$7:$C$27,3,FALSE)</f>
        <v>0</v>
      </c>
      <c r="R15" s="44">
        <f>Composite!Q99</f>
        <v>0</v>
      </c>
      <c r="S15" s="41"/>
    </row>
    <row r="16" spans="1:107" ht="25.5">
      <c r="A16" t="str">
        <f>Composite!A100</f>
        <v>Heating Zone 3 - Cooling Zone 2</v>
      </c>
      <c r="C16" s="24" t="str">
        <f>IF(LEFT(Composite!B100,4)="Exis",LEFT(Composite!B100,FIND("- He",Composite!B100)-2),LEFT(Composite!B100,FIND("HZ",Composite!B100)-2))</f>
        <v>Existing Single Family Home HVAC Conversion - Convert FAF w/o CAC to Heat Pump - House with "Good Insulation"</v>
      </c>
      <c r="D16" s="24" t="str">
        <f>Composite!C100</f>
        <v>Heating Savings</v>
      </c>
      <c r="E16" s="44">
        <f>Composite!D100*VLOOKUP($A16,weighting!$A$7:$C$27,3,FALSE)</f>
        <v>347.04081327378361</v>
      </c>
      <c r="F16" s="24">
        <f>Composite!E100</f>
        <v>15</v>
      </c>
      <c r="G16" s="44">
        <f>Composite!F100*VLOOKUP($A16,weighting!$A$7:$C$27,3,FALSE)</f>
        <v>536.39459538980952</v>
      </c>
      <c r="H16" s="44">
        <f>Composite!G100</f>
        <v>0</v>
      </c>
      <c r="I16" s="24" t="str">
        <f>Composite!H100</f>
        <v>ResSpHtHPZ3</v>
      </c>
      <c r="J16" s="44">
        <f>Composite!I100*VLOOKUP($A16,weighting!$A$7:$C$27,3,FALSE)</f>
        <v>4.1070632990340696</v>
      </c>
      <c r="K16" s="44">
        <f>Composite!J100*VLOOKUP($A16,weighting!$A$7:$C$27,3,FALSE)</f>
        <v>0</v>
      </c>
      <c r="L16" s="24">
        <f>Composite!K100</f>
        <v>0</v>
      </c>
      <c r="M16" s="44">
        <f>Composite!L100*VLOOKUP($A16,weighting!$A$7:$C$27,3,FALSE)</f>
        <v>0</v>
      </c>
      <c r="N16" s="24">
        <f>Composite!M100</f>
        <v>0</v>
      </c>
      <c r="O16" s="44">
        <f>Composite!N100*VLOOKUP($A16,weighting!$A$7:$C$27,3,FALSE)</f>
        <v>0</v>
      </c>
      <c r="P16" s="24">
        <f>Composite!O100</f>
        <v>0</v>
      </c>
      <c r="Q16" s="44">
        <f>Composite!P100*VLOOKUP($A16,weighting!$A$7:$C$27,3,FALSE)</f>
        <v>0</v>
      </c>
      <c r="R16" s="44">
        <f>Composite!Q100</f>
        <v>0</v>
      </c>
      <c r="S16" s="41"/>
    </row>
    <row r="17" spans="1:19" ht="25.5">
      <c r="A17" t="str">
        <f>Composite!A101</f>
        <v>Heating Zone 3 - Cooling Zone 3</v>
      </c>
      <c r="C17" s="24" t="str">
        <f>IF(LEFT(Composite!B101,4)="Exis",LEFT(Composite!B101,FIND("- He",Composite!B101)-2),LEFT(Composite!B101,FIND("HZ",Composite!B101)-2))</f>
        <v>Existing Single Family Home HVAC Conversion - Convert FAF w/o CAC to Heat Pump - House with "Good Insulation"</v>
      </c>
      <c r="D17" s="24" t="str">
        <f>Composite!C101</f>
        <v>Heating Savings</v>
      </c>
      <c r="E17" s="44">
        <f>Composite!D101*VLOOKUP($A17,weighting!$A$7:$C$27,3,FALSE)</f>
        <v>0</v>
      </c>
      <c r="F17" s="24">
        <f>Composite!E101</f>
        <v>15</v>
      </c>
      <c r="G17" s="44">
        <f>Composite!F101*VLOOKUP($A17,weighting!$A$7:$C$27,3,FALSE)</f>
        <v>0</v>
      </c>
      <c r="H17" s="44">
        <f>Composite!G101</f>
        <v>0</v>
      </c>
      <c r="I17" s="24" t="str">
        <f>Composite!H101</f>
        <v>ResSpHtHPZ3</v>
      </c>
      <c r="J17" s="44">
        <f>Composite!I101*VLOOKUP($A17,weighting!$A$7:$C$27,3,FALSE)</f>
        <v>0</v>
      </c>
      <c r="K17" s="44">
        <f>Composite!J101*VLOOKUP($A17,weighting!$A$7:$C$27,3,FALSE)</f>
        <v>0</v>
      </c>
      <c r="L17" s="24">
        <f>Composite!K101</f>
        <v>0</v>
      </c>
      <c r="M17" s="44">
        <f>Composite!L101*VLOOKUP($A17,weighting!$A$7:$C$27,3,FALSE)</f>
        <v>0</v>
      </c>
      <c r="N17" s="24">
        <f>Composite!M101</f>
        <v>0</v>
      </c>
      <c r="O17" s="44">
        <f>Composite!N101*VLOOKUP($A17,weighting!$A$7:$C$27,3,FALSE)</f>
        <v>0</v>
      </c>
      <c r="P17" s="24">
        <f>Composite!O101</f>
        <v>0</v>
      </c>
      <c r="Q17" s="44">
        <f>Composite!P101*VLOOKUP($A17,weighting!$A$7:$C$27,3,FALSE)</f>
        <v>0</v>
      </c>
      <c r="R17" s="44">
        <f>Composite!Q101</f>
        <v>0</v>
      </c>
      <c r="S17" s="41"/>
    </row>
    <row r="18" spans="1:19" ht="24.95" customHeight="1">
      <c r="A18" t="str">
        <f>Composite!A102</f>
        <v>Heating Zone 1</v>
      </c>
      <c r="C18" s="24" t="str">
        <f>IF(LEFT(Composite!B102,4)="Exis",LEFT(Composite!B102,FIND("- He",Composite!B102)-2),LEFT(Composite!B102,FIND("HZ",Composite!B102)-2))</f>
        <v>Existing Single Family Home HVAC Upgrade</v>
      </c>
      <c r="D18" s="24" t="str">
        <f>Composite!C102</f>
        <v>Heating Savings</v>
      </c>
      <c r="E18" s="44">
        <f>Composite!D102*VLOOKUP($A18,weighting!$A$7:$C$27,3,FALSE)</f>
        <v>115.19308595364367</v>
      </c>
      <c r="F18" s="24">
        <f>Composite!E102</f>
        <v>15</v>
      </c>
      <c r="G18" s="44">
        <f>Composite!F102*VLOOKUP($A18,weighting!$A$7:$C$27,3,FALSE)</f>
        <v>89.471516996608102</v>
      </c>
      <c r="H18" s="44">
        <f>Composite!G102</f>
        <v>0</v>
      </c>
      <c r="I18" s="24" t="str">
        <f>Composite!H102</f>
        <v>ResSpHtHPZ1</v>
      </c>
      <c r="J18" s="44">
        <f>Composite!I102*VLOOKUP($A18,weighting!$A$7:$C$27,3,FALSE)</f>
        <v>1.6807132651285106</v>
      </c>
      <c r="K18" s="44">
        <f>Composite!J102*VLOOKUP($A18,weighting!$A$7:$C$27,3,FALSE)</f>
        <v>0</v>
      </c>
      <c r="L18" s="24">
        <f>Composite!K102</f>
        <v>0</v>
      </c>
      <c r="M18" s="44">
        <f>Composite!L102*VLOOKUP($A18,weighting!$A$7:$C$27,3,FALSE)</f>
        <v>0</v>
      </c>
      <c r="N18" s="24">
        <f>Composite!M102</f>
        <v>0</v>
      </c>
      <c r="O18" s="44">
        <f>Composite!N102*VLOOKUP($A18,weighting!$A$7:$C$27,3,FALSE)</f>
        <v>0</v>
      </c>
      <c r="P18" s="24">
        <f>Composite!O102</f>
        <v>0</v>
      </c>
      <c r="Q18" s="44">
        <f>Composite!P102*VLOOKUP($A18,weighting!$A$7:$C$27,3,FALSE)</f>
        <v>0</v>
      </c>
      <c r="R18" s="44">
        <f>Composite!Q102</f>
        <v>0</v>
      </c>
      <c r="S18" s="41"/>
    </row>
    <row r="19" spans="1:19" ht="24.95" customHeight="1">
      <c r="A19" t="str">
        <f>Composite!A103</f>
        <v>Heating Zone 2</v>
      </c>
      <c r="C19" s="24" t="str">
        <f>IF(LEFT(Composite!B103,4)="Exis",LEFT(Composite!B103,FIND("- He",Composite!B103)-2),LEFT(Composite!B103,FIND("HZ",Composite!B103)-2))</f>
        <v>Existing Single Family Home HVAC Upgrade</v>
      </c>
      <c r="D19" s="24" t="str">
        <f>Composite!C103</f>
        <v>Heating Savings</v>
      </c>
      <c r="E19" s="44">
        <f>Composite!D103*VLOOKUP($A19,weighting!$A$7:$C$27,3,FALSE)</f>
        <v>57.415323195063543</v>
      </c>
      <c r="F19" s="24">
        <f>Composite!E103</f>
        <v>15</v>
      </c>
      <c r="G19" s="44">
        <f>Composite!F103*VLOOKUP($A19,weighting!$A$7:$C$27,3,FALSE)</f>
        <v>59.287871170156563</v>
      </c>
      <c r="H19" s="44">
        <f>Composite!G103</f>
        <v>0</v>
      </c>
      <c r="I19" s="24" t="str">
        <f>Composite!H103</f>
        <v>ResSpHtHPZ2</v>
      </c>
      <c r="J19" s="44">
        <f>Composite!I103*VLOOKUP($A19,weighting!$A$7:$C$27,3,FALSE)</f>
        <v>0.68572044121034526</v>
      </c>
      <c r="K19" s="44">
        <f>Composite!J103*VLOOKUP($A19,weighting!$A$7:$C$27,3,FALSE)</f>
        <v>0</v>
      </c>
      <c r="L19" s="24">
        <f>Composite!K103</f>
        <v>0</v>
      </c>
      <c r="M19" s="44">
        <f>Composite!L103*VLOOKUP($A19,weighting!$A$7:$C$27,3,FALSE)</f>
        <v>0</v>
      </c>
      <c r="N19" s="24">
        <f>Composite!M103</f>
        <v>0</v>
      </c>
      <c r="O19" s="44">
        <f>Composite!N103*VLOOKUP($A19,weighting!$A$7:$C$27,3,FALSE)</f>
        <v>0</v>
      </c>
      <c r="P19" s="24">
        <f>Composite!O103</f>
        <v>0</v>
      </c>
      <c r="Q19" s="44">
        <f>Composite!P103*VLOOKUP($A19,weighting!$A$7:$C$27,3,FALSE)</f>
        <v>0</v>
      </c>
      <c r="R19" s="44">
        <f>Composite!Q103</f>
        <v>0</v>
      </c>
      <c r="S19" s="41"/>
    </row>
    <row r="20" spans="1:19" ht="24.95" customHeight="1">
      <c r="A20" t="str">
        <f>Composite!A104</f>
        <v>Heating Zone 3</v>
      </c>
      <c r="C20" s="24" t="str">
        <f>IF(LEFT(Composite!B104,4)="Exis",LEFT(Composite!B104,FIND("- He",Composite!B104)-2),LEFT(Composite!B104,FIND("HZ",Composite!B104)-2))</f>
        <v>Existing Single Family Home HVAC Upgrade</v>
      </c>
      <c r="D20" s="24" t="str">
        <f>Composite!C104</f>
        <v>Heating Savings</v>
      </c>
      <c r="E20" s="44">
        <f>Composite!D104*VLOOKUP($A20,weighting!$A$7:$C$27,3,FALSE)</f>
        <v>23.206861790224949</v>
      </c>
      <c r="F20" s="24">
        <f>Composite!E104</f>
        <v>15</v>
      </c>
      <c r="G20" s="44">
        <f>Composite!F104*VLOOKUP($A20,weighting!$A$7:$C$27,3,FALSE)</f>
        <v>30.183645826451542</v>
      </c>
      <c r="H20" s="44">
        <f>Composite!G104</f>
        <v>0</v>
      </c>
      <c r="I20" s="24" t="str">
        <f>Composite!H104</f>
        <v>ResSpHtHPZ3</v>
      </c>
      <c r="J20" s="44">
        <f>Composite!I104*VLOOKUP($A20,weighting!$A$7:$C$27,3,FALSE)</f>
        <v>0.2646162379281673</v>
      </c>
      <c r="K20" s="44">
        <f>Composite!J104*VLOOKUP($A20,weighting!$A$7:$C$27,3,FALSE)</f>
        <v>0</v>
      </c>
      <c r="L20" s="24">
        <f>Composite!K104</f>
        <v>0</v>
      </c>
      <c r="M20" s="44">
        <f>Composite!L104*VLOOKUP($A20,weighting!$A$7:$C$27,3,FALSE)</f>
        <v>0</v>
      </c>
      <c r="N20" s="24">
        <f>Composite!M104</f>
        <v>0</v>
      </c>
      <c r="O20" s="44">
        <f>Composite!N104*VLOOKUP($A20,weighting!$A$7:$C$27,3,FALSE)</f>
        <v>0</v>
      </c>
      <c r="P20" s="24">
        <f>Composite!O104</f>
        <v>0</v>
      </c>
      <c r="Q20" s="44">
        <f>Composite!P104*VLOOKUP($A20,weighting!$A$7:$C$27,3,FALSE)</f>
        <v>0</v>
      </c>
      <c r="R20" s="44">
        <f>Composite!Q104</f>
        <v>0</v>
      </c>
      <c r="S20" s="41"/>
    </row>
    <row r="21" spans="1:19" ht="24.95" customHeight="1">
      <c r="A21" t="str">
        <f>Composite!A105</f>
        <v>Heating Zone 1 - Cooling Zone 1</v>
      </c>
      <c r="C21" s="24" t="str">
        <f>IF(LEFT(Composite!B105,4)="Exis",LEFT(Composite!B105,FIND("- He",Composite!B105)-2),LEFT(Composite!B105,FIND("HZ",Composite!B105)-2))</f>
        <v>Existing Single Family Home HVAC Upgrade - Central Heat Pump Upgrade to Variable Capacity Central Heat Pump</v>
      </c>
      <c r="D21" s="24" t="str">
        <f>Composite!C105</f>
        <v>Heating Savings</v>
      </c>
      <c r="E21" s="44">
        <f>Composite!D105*VLOOKUP($A21,weighting!$A$7:$C$27,3,FALSE)</f>
        <v>459.77548885727816</v>
      </c>
      <c r="F21" s="24">
        <f>Composite!E105</f>
        <v>15</v>
      </c>
      <c r="G21" s="44">
        <f>Composite!F105*VLOOKUP($A21,weighting!$A$7:$C$27,3,FALSE)</f>
        <v>5356.8461304836173</v>
      </c>
      <c r="H21" s="44">
        <f>Composite!G105</f>
        <v>0</v>
      </c>
      <c r="I21" s="24" t="str">
        <f>Composite!H105</f>
        <v>ResSpHtHPZ1</v>
      </c>
      <c r="J21" s="44">
        <f>Composite!I105*VLOOKUP($A21,weighting!$A$7:$C$27,3,FALSE)</f>
        <v>6.4703973995617137</v>
      </c>
      <c r="K21" s="44">
        <f>Composite!J105*VLOOKUP($A21,weighting!$A$7:$C$27,3,FALSE)</f>
        <v>0</v>
      </c>
      <c r="L21" s="24">
        <f>Composite!K105</f>
        <v>0</v>
      </c>
      <c r="M21" s="44">
        <f>Composite!L105*VLOOKUP($A21,weighting!$A$7:$C$27,3,FALSE)</f>
        <v>0</v>
      </c>
      <c r="N21" s="24">
        <f>Composite!M105</f>
        <v>0</v>
      </c>
      <c r="O21" s="44">
        <f>Composite!N105*VLOOKUP($A21,weighting!$A$7:$C$27,3,FALSE)</f>
        <v>0</v>
      </c>
      <c r="P21" s="24">
        <f>Composite!O105</f>
        <v>0</v>
      </c>
      <c r="Q21" s="44">
        <f>Composite!P105*VLOOKUP($A21,weighting!$A$7:$C$27,3,FALSE)</f>
        <v>0</v>
      </c>
      <c r="R21" s="44">
        <f>Composite!Q105</f>
        <v>0</v>
      </c>
      <c r="S21" s="41"/>
    </row>
    <row r="22" spans="1:19" ht="24.95" customHeight="1">
      <c r="A22" t="str">
        <f>Composite!A106</f>
        <v>Heating Zone 1 - Cooling Zone 2</v>
      </c>
      <c r="C22" s="24" t="str">
        <f>IF(LEFT(Composite!B106,4)="Exis",LEFT(Composite!B106,FIND("- He",Composite!B106)-2),LEFT(Composite!B106,FIND("HZ",Composite!B106)-2))</f>
        <v>Existing Single Family Home HVAC Upgrade - Central Heat Pump Upgrade to Variable Capacity Central Heat Pump</v>
      </c>
      <c r="D22" s="24" t="str">
        <f>Composite!C106</f>
        <v>Heating Savings</v>
      </c>
      <c r="E22" s="44">
        <f>Composite!D106*VLOOKUP($A22,weighting!$A$7:$C$27,3,FALSE)</f>
        <v>256.73736665357342</v>
      </c>
      <c r="F22" s="24">
        <f>Composite!E106</f>
        <v>15</v>
      </c>
      <c r="G22" s="44">
        <f>Composite!F106*VLOOKUP($A22,weighting!$A$7:$C$27,3,FALSE)</f>
        <v>2991.2481253120145</v>
      </c>
      <c r="H22" s="44">
        <f>Composite!G106</f>
        <v>0</v>
      </c>
      <c r="I22" s="24" t="str">
        <f>Composite!H106</f>
        <v>ResSpHtHPZ1</v>
      </c>
      <c r="J22" s="44">
        <f>Composite!I106*VLOOKUP($A22,weighting!$A$7:$C$27,3,FALSE)</f>
        <v>3.6130520869964533</v>
      </c>
      <c r="K22" s="44">
        <f>Composite!J106*VLOOKUP($A22,weighting!$A$7:$C$27,3,FALSE)</f>
        <v>0</v>
      </c>
      <c r="L22" s="24">
        <f>Composite!K106</f>
        <v>0</v>
      </c>
      <c r="M22" s="44">
        <f>Composite!L106*VLOOKUP($A22,weighting!$A$7:$C$27,3,FALSE)</f>
        <v>0</v>
      </c>
      <c r="N22" s="24">
        <f>Composite!M106</f>
        <v>0</v>
      </c>
      <c r="O22" s="44">
        <f>Composite!N106*VLOOKUP($A22,weighting!$A$7:$C$27,3,FALSE)</f>
        <v>0</v>
      </c>
      <c r="P22" s="24">
        <f>Composite!O106</f>
        <v>0</v>
      </c>
      <c r="Q22" s="44">
        <f>Composite!P106*VLOOKUP($A22,weighting!$A$7:$C$27,3,FALSE)</f>
        <v>0</v>
      </c>
      <c r="R22" s="44">
        <f>Composite!Q106</f>
        <v>0</v>
      </c>
      <c r="S22" s="41"/>
    </row>
    <row r="23" spans="1:19" ht="24.95" customHeight="1">
      <c r="A23" t="str">
        <f>Composite!A107</f>
        <v>Heating Zone 1 - Cooling Zone 3</v>
      </c>
      <c r="C23" s="24" t="str">
        <f>IF(LEFT(Composite!B107,4)="Exis",LEFT(Composite!B107,FIND("- He",Composite!B107)-2),LEFT(Composite!B107,FIND("HZ",Composite!B107)-2))</f>
        <v>Existing Single Family Home HVAC Upgrade - Central Heat Pump Upgrade to Variable Capacity Central Heat Pump</v>
      </c>
      <c r="D23" s="24" t="str">
        <f>Composite!C107</f>
        <v>Heating Savings</v>
      </c>
      <c r="E23" s="44">
        <f>Composite!D107*VLOOKUP($A23,weighting!$A$7:$C$27,3,FALSE)</f>
        <v>203.0381222037048</v>
      </c>
      <c r="F23" s="24">
        <f>Composite!E107</f>
        <v>15</v>
      </c>
      <c r="G23" s="44">
        <f>Composite!F107*VLOOKUP($A23,weighting!$A$7:$C$27,3,FALSE)</f>
        <v>2365.5980051716033</v>
      </c>
      <c r="H23" s="44">
        <f>Composite!G107</f>
        <v>0</v>
      </c>
      <c r="I23" s="24" t="str">
        <f>Composite!H107</f>
        <v>ResSpHtHPZ1</v>
      </c>
      <c r="J23" s="44">
        <f>Composite!I107*VLOOKUP($A23,weighting!$A$7:$C$27,3,FALSE)</f>
        <v>2.8573453125652604</v>
      </c>
      <c r="K23" s="44">
        <f>Composite!J107*VLOOKUP($A23,weighting!$A$7:$C$27,3,FALSE)</f>
        <v>0</v>
      </c>
      <c r="L23" s="24">
        <f>Composite!K107</f>
        <v>0</v>
      </c>
      <c r="M23" s="44">
        <f>Composite!L107*VLOOKUP($A23,weighting!$A$7:$C$27,3,FALSE)</f>
        <v>0</v>
      </c>
      <c r="N23" s="24">
        <f>Composite!M107</f>
        <v>0</v>
      </c>
      <c r="O23" s="44">
        <f>Composite!N107*VLOOKUP($A23,weighting!$A$7:$C$27,3,FALSE)</f>
        <v>0</v>
      </c>
      <c r="P23" s="24">
        <f>Composite!O107</f>
        <v>0</v>
      </c>
      <c r="Q23" s="44">
        <f>Composite!P107*VLOOKUP($A23,weighting!$A$7:$C$27,3,FALSE)</f>
        <v>0</v>
      </c>
      <c r="R23" s="44">
        <f>Composite!Q107</f>
        <v>0</v>
      </c>
      <c r="S23" s="41"/>
    </row>
    <row r="24" spans="1:19" ht="24.95" customHeight="1">
      <c r="A24" t="str">
        <f>Composite!A108</f>
        <v>Heating Zone 2 - Cooling Zone 1</v>
      </c>
      <c r="C24" s="24" t="str">
        <f>IF(LEFT(Composite!B108,4)="Exis",LEFT(Composite!B108,FIND("- He",Composite!B108)-2),LEFT(Composite!B108,FIND("HZ",Composite!B108)-2))</f>
        <v>Existing Single Family Home HVAC Upgrade - Central Heat Pump Upgrade to Variable Capacity Central Heat Pump</v>
      </c>
      <c r="D24" s="24" t="str">
        <f>Composite!C108</f>
        <v>Heating Savings</v>
      </c>
      <c r="E24" s="44">
        <f>Composite!D108*VLOOKUP($A24,weighting!$A$7:$C$27,3,FALSE)</f>
        <v>256.14157348385032</v>
      </c>
      <c r="F24" s="24">
        <f>Composite!E108</f>
        <v>15</v>
      </c>
      <c r="G24" s="44">
        <f>Composite!F108*VLOOKUP($A24,weighting!$A$7:$C$27,3,FALSE)</f>
        <v>2305.1503567695436</v>
      </c>
      <c r="H24" s="44">
        <f>Composite!G108</f>
        <v>0</v>
      </c>
      <c r="I24" s="24" t="str">
        <f>Composite!H108</f>
        <v>ResSpHtHPZ2</v>
      </c>
      <c r="J24" s="44">
        <f>Composite!I108*VLOOKUP($A24,weighting!$A$7:$C$27,3,FALSE)</f>
        <v>3.0390991684852269</v>
      </c>
      <c r="K24" s="44">
        <f>Composite!J108*VLOOKUP($A24,weighting!$A$7:$C$27,3,FALSE)</f>
        <v>0</v>
      </c>
      <c r="L24" s="24">
        <f>Composite!K108</f>
        <v>0</v>
      </c>
      <c r="M24" s="44">
        <f>Composite!L108*VLOOKUP($A24,weighting!$A$7:$C$27,3,FALSE)</f>
        <v>0</v>
      </c>
      <c r="N24" s="24">
        <f>Composite!M108</f>
        <v>0</v>
      </c>
      <c r="O24" s="44">
        <f>Composite!N108*VLOOKUP($A24,weighting!$A$7:$C$27,3,FALSE)</f>
        <v>0</v>
      </c>
      <c r="P24" s="24">
        <f>Composite!O108</f>
        <v>0</v>
      </c>
      <c r="Q24" s="44">
        <f>Composite!P108*VLOOKUP($A24,weighting!$A$7:$C$27,3,FALSE)</f>
        <v>0</v>
      </c>
      <c r="R24" s="44">
        <f>Composite!Q108</f>
        <v>0</v>
      </c>
      <c r="S24" s="41"/>
    </row>
    <row r="25" spans="1:19" ht="24.95" customHeight="1">
      <c r="A25" t="str">
        <f>Composite!A109</f>
        <v>Heating Zone 2 - Cooling Zone 2</v>
      </c>
      <c r="C25" s="24" t="str">
        <f>IF(LEFT(Composite!B109,4)="Exis",LEFT(Composite!B109,FIND("- He",Composite!B109)-2),LEFT(Composite!B109,FIND("HZ",Composite!B109)-2))</f>
        <v>Existing Single Family Home HVAC Upgrade - Central Heat Pump Upgrade to Variable Capacity Central Heat Pump</v>
      </c>
      <c r="D25" s="24" t="str">
        <f>Composite!C109</f>
        <v>Heating Savings</v>
      </c>
      <c r="E25" s="44">
        <f>Composite!D109*VLOOKUP($A25,weighting!$A$7:$C$27,3,FALSE)</f>
        <v>473.63760348385978</v>
      </c>
      <c r="F25" s="24">
        <f>Composite!E109</f>
        <v>15</v>
      </c>
      <c r="G25" s="44">
        <f>Composite!F109*VLOOKUP($A25,weighting!$A$7:$C$27,3,FALSE)</f>
        <v>4262.5095012900329</v>
      </c>
      <c r="H25" s="44">
        <f>Composite!G109</f>
        <v>0</v>
      </c>
      <c r="I25" s="24" t="str">
        <f>Composite!H109</f>
        <v>ResSpHtHPZ2</v>
      </c>
      <c r="J25" s="44">
        <f>Composite!I109*VLOOKUP($A25,weighting!$A$7:$C$27,3,FALSE)</f>
        <v>5.6196720717103341</v>
      </c>
      <c r="K25" s="44">
        <f>Composite!J109*VLOOKUP($A25,weighting!$A$7:$C$27,3,FALSE)</f>
        <v>0</v>
      </c>
      <c r="L25" s="24">
        <f>Composite!K109</f>
        <v>0</v>
      </c>
      <c r="M25" s="44">
        <f>Composite!L109*VLOOKUP($A25,weighting!$A$7:$C$27,3,FALSE)</f>
        <v>0</v>
      </c>
      <c r="N25" s="24">
        <f>Composite!M109</f>
        <v>0</v>
      </c>
      <c r="O25" s="44">
        <f>Composite!N109*VLOOKUP($A25,weighting!$A$7:$C$27,3,FALSE)</f>
        <v>0</v>
      </c>
      <c r="P25" s="24">
        <f>Composite!O109</f>
        <v>0</v>
      </c>
      <c r="Q25" s="44">
        <f>Composite!P109*VLOOKUP($A25,weighting!$A$7:$C$27,3,FALSE)</f>
        <v>0</v>
      </c>
      <c r="R25" s="44">
        <f>Composite!Q109</f>
        <v>0</v>
      </c>
      <c r="S25" s="41"/>
    </row>
    <row r="26" spans="1:19" ht="24.95" customHeight="1">
      <c r="A26" t="str">
        <f>Composite!A110</f>
        <v>Heating Zone 2 - Cooling Zone 3</v>
      </c>
      <c r="C26" s="24" t="str">
        <f>IF(LEFT(Composite!B110,4)="Exis",LEFT(Composite!B110,FIND("- He",Composite!B110)-2),LEFT(Composite!B110,FIND("HZ",Composite!B110)-2))</f>
        <v>Existing Single Family Home HVAC Upgrade - Central Heat Pump Upgrade to Variable Capacity Central Heat Pump</v>
      </c>
      <c r="D26" s="24" t="str">
        <f>Composite!C110</f>
        <v>Heating Savings</v>
      </c>
      <c r="E26" s="44">
        <f>Composite!D110*VLOOKUP($A26,weighting!$A$7:$C$27,3,FALSE)</f>
        <v>32.518604408447239</v>
      </c>
      <c r="F26" s="24">
        <f>Composite!E110</f>
        <v>15</v>
      </c>
      <c r="G26" s="44">
        <f>Composite!F110*VLOOKUP($A26,weighting!$A$7:$C$27,3,FALSE)</f>
        <v>292.65172199196331</v>
      </c>
      <c r="H26" s="44">
        <f>Composite!G110</f>
        <v>0</v>
      </c>
      <c r="I26" s="24" t="str">
        <f>Composite!H110</f>
        <v>ResSpHtHPZ2</v>
      </c>
      <c r="J26" s="44">
        <f>Composite!I110*VLOOKUP($A26,weighting!$A$7:$C$27,3,FALSE)</f>
        <v>0.38583062590674316</v>
      </c>
      <c r="K26" s="44">
        <f>Composite!J110*VLOOKUP($A26,weighting!$A$7:$C$27,3,FALSE)</f>
        <v>0</v>
      </c>
      <c r="L26" s="24">
        <f>Composite!K110</f>
        <v>0</v>
      </c>
      <c r="M26" s="44">
        <f>Composite!L110*VLOOKUP($A26,weighting!$A$7:$C$27,3,FALSE)</f>
        <v>0</v>
      </c>
      <c r="N26" s="24">
        <f>Composite!M110</f>
        <v>0</v>
      </c>
      <c r="O26" s="44">
        <f>Composite!N110*VLOOKUP($A26,weighting!$A$7:$C$27,3,FALSE)</f>
        <v>0</v>
      </c>
      <c r="P26" s="24">
        <f>Composite!O110</f>
        <v>0</v>
      </c>
      <c r="Q26" s="44">
        <f>Composite!P110*VLOOKUP($A26,weighting!$A$7:$C$27,3,FALSE)</f>
        <v>0</v>
      </c>
      <c r="R26" s="44">
        <f>Composite!Q110</f>
        <v>0</v>
      </c>
      <c r="S26" s="41"/>
    </row>
    <row r="27" spans="1:19" ht="24.95" customHeight="1">
      <c r="A27" t="str">
        <f>Composite!A111</f>
        <v>Heating Zone 3 - Cooling Zone 1</v>
      </c>
      <c r="C27" s="24" t="str">
        <f>IF(LEFT(Composite!B111,4)="Exis",LEFT(Composite!B111,FIND("- He",Composite!B111)-2),LEFT(Composite!B111,FIND("HZ",Composite!B111)-2))</f>
        <v>Existing Single Family Home HVAC Upgrade - Central Heat Pump Upgrade to Variable Capacity Central Heat Pump</v>
      </c>
      <c r="D27" s="24" t="str">
        <f>Composite!C111</f>
        <v>Heating Savings</v>
      </c>
      <c r="E27" s="44">
        <f>Composite!D111*VLOOKUP($A27,weighting!$A$7:$C$27,3,FALSE)</f>
        <v>447.88525708390932</v>
      </c>
      <c r="F27" s="24">
        <f>Composite!E111</f>
        <v>15</v>
      </c>
      <c r="G27" s="44">
        <f>Composite!F111*VLOOKUP($A27,weighting!$A$7:$C$27,3,FALSE)</f>
        <v>3051.6957737140733</v>
      </c>
      <c r="H27" s="44">
        <f>Composite!G111</f>
        <v>0</v>
      </c>
      <c r="I27" s="24" t="str">
        <f>Composite!H111</f>
        <v>ResSpHtHPZ3</v>
      </c>
      <c r="J27" s="44">
        <f>Composite!I111*VLOOKUP($A27,weighting!$A$7:$C$27,3,FALSE)</f>
        <v>5.3585961948474425</v>
      </c>
      <c r="K27" s="44">
        <f>Composite!J111*VLOOKUP($A27,weighting!$A$7:$C$27,3,FALSE)</f>
        <v>0</v>
      </c>
      <c r="L27" s="24">
        <f>Composite!K111</f>
        <v>0</v>
      </c>
      <c r="M27" s="44">
        <f>Composite!L111*VLOOKUP($A27,weighting!$A$7:$C$27,3,FALSE)</f>
        <v>0</v>
      </c>
      <c r="N27" s="24">
        <f>Composite!M111</f>
        <v>0</v>
      </c>
      <c r="O27" s="44">
        <f>Composite!N111*VLOOKUP($A27,weighting!$A$7:$C$27,3,FALSE)</f>
        <v>0</v>
      </c>
      <c r="P27" s="24">
        <f>Composite!O111</f>
        <v>0</v>
      </c>
      <c r="Q27" s="44">
        <f>Composite!P111*VLOOKUP($A27,weighting!$A$7:$C$27,3,FALSE)</f>
        <v>0</v>
      </c>
      <c r="R27" s="44">
        <f>Composite!Q111</f>
        <v>0</v>
      </c>
      <c r="S27" s="41"/>
    </row>
    <row r="28" spans="1:19" ht="24.95" customHeight="1">
      <c r="A28" t="str">
        <f>Composite!A112</f>
        <v>Heating Zone 3 - Cooling Zone 2</v>
      </c>
      <c r="C28" s="24" t="str">
        <f>IF(LEFT(Composite!B112,4)="Exis",LEFT(Composite!B112,FIND("- He",Composite!B112)-2),LEFT(Composite!B112,FIND("HZ",Composite!B112)-2))</f>
        <v>Existing Single Family Home HVAC Upgrade - Central Heat Pump Upgrade to Variable Capacity Central Heat Pump</v>
      </c>
      <c r="D28" s="24" t="str">
        <f>Composite!C112</f>
        <v>Heating Savings</v>
      </c>
      <c r="E28" s="44">
        <f>Composite!D112*VLOOKUP($A28,weighting!$A$7:$C$27,3,FALSE)</f>
        <v>117.66010683472869</v>
      </c>
      <c r="F28" s="24">
        <f>Composite!E112</f>
        <v>15</v>
      </c>
      <c r="G28" s="44">
        <f>Composite!F112*VLOOKUP($A28,weighting!$A$7:$C$27,3,FALSE)</f>
        <v>801.68490720162072</v>
      </c>
      <c r="H28" s="44">
        <f>Composite!G112</f>
        <v>0</v>
      </c>
      <c r="I28" s="24" t="str">
        <f>Composite!H112</f>
        <v>ResSpHtHPZ3</v>
      </c>
      <c r="J28" s="44">
        <f>Composite!I112*VLOOKUP($A28,weighting!$A$7:$C$27,3,FALSE)</f>
        <v>1.4077109947197941</v>
      </c>
      <c r="K28" s="44">
        <f>Composite!J112*VLOOKUP($A28,weighting!$A$7:$C$27,3,FALSE)</f>
        <v>0</v>
      </c>
      <c r="L28" s="24">
        <f>Composite!K112</f>
        <v>0</v>
      </c>
      <c r="M28" s="44">
        <f>Composite!L112*VLOOKUP($A28,weighting!$A$7:$C$27,3,FALSE)</f>
        <v>0</v>
      </c>
      <c r="N28" s="24">
        <f>Composite!M112</f>
        <v>0</v>
      </c>
      <c r="O28" s="44">
        <f>Composite!N112*VLOOKUP($A28,weighting!$A$7:$C$27,3,FALSE)</f>
        <v>0</v>
      </c>
      <c r="P28" s="24">
        <f>Composite!O112</f>
        <v>0</v>
      </c>
      <c r="Q28" s="44">
        <f>Composite!P112*VLOOKUP($A28,weighting!$A$7:$C$27,3,FALSE)</f>
        <v>0</v>
      </c>
      <c r="R28" s="44">
        <f>Composite!Q112</f>
        <v>0</v>
      </c>
      <c r="S28" s="41"/>
    </row>
    <row r="29" spans="1:19" ht="24.95" customHeight="1">
      <c r="A29" t="str">
        <f>Composite!A113</f>
        <v>Heating Zone 3 - Cooling Zone 3</v>
      </c>
      <c r="C29" s="24" t="str">
        <f>IF(LEFT(Composite!B113,4)="Exis",LEFT(Composite!B113,FIND("- He",Composite!B113)-2),LEFT(Composite!B113,FIND("HZ",Composite!B113)-2))</f>
        <v>Existing Single Family Home HVAC Upgrade - Central Heat Pump Upgrade to Variable Capacity Central Heat Pump</v>
      </c>
      <c r="D29" s="24" t="str">
        <f>Composite!C113</f>
        <v>Heating Savings</v>
      </c>
      <c r="E29" s="44">
        <f>Composite!D113*VLOOKUP($A29,weighting!$A$7:$C$27,3,FALSE)</f>
        <v>0</v>
      </c>
      <c r="F29" s="24">
        <f>Composite!E113</f>
        <v>15</v>
      </c>
      <c r="G29" s="44">
        <f>Composite!F113*VLOOKUP($A29,weighting!$A$7:$C$27,3,FALSE)</f>
        <v>0</v>
      </c>
      <c r="H29" s="44">
        <f>Composite!G113</f>
        <v>0</v>
      </c>
      <c r="I29" s="24" t="str">
        <f>Composite!H113</f>
        <v>ResSpHtHPZ3</v>
      </c>
      <c r="J29" s="44">
        <f>Composite!I113*VLOOKUP($A29,weighting!$A$7:$C$27,3,FALSE)</f>
        <v>0</v>
      </c>
      <c r="K29" s="44">
        <f>Composite!J113*VLOOKUP($A29,weighting!$A$7:$C$27,3,FALSE)</f>
        <v>0</v>
      </c>
      <c r="L29" s="24">
        <f>Composite!K113</f>
        <v>0</v>
      </c>
      <c r="M29" s="44">
        <f>Composite!L113*VLOOKUP($A29,weighting!$A$7:$C$27,3,FALSE)</f>
        <v>0</v>
      </c>
      <c r="N29" s="24">
        <f>Composite!M113</f>
        <v>0</v>
      </c>
      <c r="O29" s="44">
        <f>Composite!N113*VLOOKUP($A29,weighting!$A$7:$C$27,3,FALSE)</f>
        <v>0</v>
      </c>
      <c r="P29" s="24">
        <f>Composite!O113</f>
        <v>0</v>
      </c>
      <c r="Q29" s="44">
        <f>Composite!P113*VLOOKUP($A29,weighting!$A$7:$C$27,3,FALSE)</f>
        <v>0</v>
      </c>
      <c r="R29" s="44">
        <f>Composite!Q113</f>
        <v>0</v>
      </c>
      <c r="S29" s="41"/>
    </row>
    <row r="30" spans="1:19" ht="24.95" customHeight="1">
      <c r="A30" t="str">
        <f>Composite!A114</f>
        <v>HZ1CZ1</v>
      </c>
      <c r="C30" s="24" t="str">
        <f>IF(LEFT(Composite!B114,4)="Exis",LEFT(Composite!B114,FIND("- He",Composite!B114)-2),LEFT(Composite!B114,FIND("HZ",Composite!B114)-2))</f>
        <v>Zonal to DHP No Screen</v>
      </c>
      <c r="D30" s="24" t="str">
        <f>Composite!C114</f>
        <v>Heating Savings</v>
      </c>
      <c r="E30" s="44">
        <f>Composite!D114*VLOOKUP($A30,weighting!$A$7:$C$27,3,FALSE)</f>
        <v>2240.0588630952484</v>
      </c>
      <c r="F30" s="24">
        <f>Composite!E114</f>
        <v>15</v>
      </c>
      <c r="G30" s="44">
        <f>Composite!F114*VLOOKUP($A30,weighting!$A$7:$C$27,3,FALSE)</f>
        <v>3914.8924998607772</v>
      </c>
      <c r="H30" s="44">
        <f>Composite!G114</f>
        <v>0</v>
      </c>
      <c r="I30" s="24" t="str">
        <f>Composite!H114</f>
        <v>R-All-HVAC-ERconvertDHP-HZ1-All-N</v>
      </c>
      <c r="J30" s="44">
        <f>Composite!I114*VLOOKUP($A30,weighting!$A$7:$C$27,3,FALSE)</f>
        <v>26.167052040603416</v>
      </c>
      <c r="K30" s="44">
        <f>Composite!J114*VLOOKUP($A30,weighting!$A$7:$C$27,3,FALSE)</f>
        <v>0</v>
      </c>
      <c r="L30" s="24">
        <f>Composite!K114</f>
        <v>0</v>
      </c>
      <c r="M30" s="44">
        <f>Composite!L114*VLOOKUP($A30,weighting!$A$7:$C$27,3,FALSE)</f>
        <v>0</v>
      </c>
      <c r="N30" s="24">
        <f>Composite!M114</f>
        <v>0</v>
      </c>
      <c r="O30" s="44">
        <f>Composite!N114*VLOOKUP($A30,weighting!$A$7:$C$27,3,FALSE)</f>
        <v>0</v>
      </c>
      <c r="P30" s="24">
        <f>Composite!O114</f>
        <v>0</v>
      </c>
      <c r="Q30" s="44">
        <f>Composite!P114*VLOOKUP($A30,weighting!$A$7:$C$27,3,FALSE)</f>
        <v>0</v>
      </c>
      <c r="R30" s="44">
        <f>Composite!Q114</f>
        <v>0</v>
      </c>
      <c r="S30" s="41"/>
    </row>
    <row r="31" spans="1:19" ht="24.95" customHeight="1">
      <c r="A31" t="str">
        <f>Composite!A115</f>
        <v>HZ2CZ1</v>
      </c>
      <c r="C31" s="24" t="str">
        <f>IF(LEFT(Composite!B115,4)="Exis",LEFT(Composite!B115,FIND("- He",Composite!B115)-2),LEFT(Composite!B115,FIND("HZ",Composite!B115)-2))</f>
        <v>Zonal to DHP No Screen</v>
      </c>
      <c r="D31" s="24" t="str">
        <f>Composite!C115</f>
        <v>Heating Savings</v>
      </c>
      <c r="E31" s="44">
        <f>Composite!D115*VLOOKUP($A31,weighting!$A$7:$C$27,3,FALSE)</f>
        <v>1307.1256725969624</v>
      </c>
      <c r="F31" s="24">
        <f>Composite!E115</f>
        <v>15</v>
      </c>
      <c r="G31" s="44">
        <f>Composite!F115*VLOOKUP($A31,weighting!$A$7:$C$27,3,FALSE)</f>
        <v>2074.5486271555601</v>
      </c>
      <c r="H31" s="44">
        <f>Composite!G115</f>
        <v>0</v>
      </c>
      <c r="I31" s="24" t="str">
        <f>Composite!H115</f>
        <v>R-All-HVAC-ERconvertDHP-HZ2-All-N</v>
      </c>
      <c r="J31" s="44">
        <f>Composite!I115*VLOOKUP($A31,weighting!$A$7:$C$27,3,FALSE)</f>
        <v>11.578174911901167</v>
      </c>
      <c r="K31" s="44">
        <f>Composite!J115*VLOOKUP($A31,weighting!$A$7:$C$27,3,FALSE)</f>
        <v>0</v>
      </c>
      <c r="L31" s="24">
        <f>Composite!K115</f>
        <v>0</v>
      </c>
      <c r="M31" s="44">
        <f>Composite!L115*VLOOKUP($A31,weighting!$A$7:$C$27,3,FALSE)</f>
        <v>0</v>
      </c>
      <c r="N31" s="24">
        <f>Composite!M115</f>
        <v>0</v>
      </c>
      <c r="O31" s="44">
        <f>Composite!N115*VLOOKUP($A31,weighting!$A$7:$C$27,3,FALSE)</f>
        <v>0</v>
      </c>
      <c r="P31" s="24">
        <f>Composite!O115</f>
        <v>0</v>
      </c>
      <c r="Q31" s="44">
        <f>Composite!P115*VLOOKUP($A31,weighting!$A$7:$C$27,3,FALSE)</f>
        <v>0</v>
      </c>
      <c r="R31" s="44">
        <f>Composite!Q115</f>
        <v>0</v>
      </c>
      <c r="S31" s="41"/>
    </row>
    <row r="32" spans="1:19" ht="24.95" customHeight="1">
      <c r="A32" t="str">
        <f>Composite!A116</f>
        <v>HZ3CZ1</v>
      </c>
      <c r="C32" s="24" t="str">
        <f>IF(LEFT(Composite!B116,4)="Exis",LEFT(Composite!B116,FIND("- He",Composite!B116)-2),LEFT(Composite!B116,FIND("HZ",Composite!B116)-2))</f>
        <v>Zonal to DHP No Screen</v>
      </c>
      <c r="D32" s="24" t="str">
        <f>Composite!C116</f>
        <v>Heating Savings</v>
      </c>
      <c r="E32" s="44">
        <f>Composite!D116*VLOOKUP($A32,weighting!$A$7:$C$27,3,FALSE)</f>
        <v>669.83766824458553</v>
      </c>
      <c r="F32" s="24">
        <f>Composite!E116</f>
        <v>15</v>
      </c>
      <c r="G32" s="44">
        <f>Composite!F116*VLOOKUP($A32,weighting!$A$7:$C$27,3,FALSE)</f>
        <v>1543.8065088630865</v>
      </c>
      <c r="H32" s="44">
        <f>Composite!G116</f>
        <v>0</v>
      </c>
      <c r="I32" s="24" t="str">
        <f>Composite!H116</f>
        <v>R-All-HVAC-ERconvertDHP-HZ3-All-N</v>
      </c>
      <c r="J32" s="44">
        <f>Composite!I116*VLOOKUP($A32,weighting!$A$7:$C$27,3,FALSE)</f>
        <v>28.392121569181288</v>
      </c>
      <c r="K32" s="44">
        <f>Composite!J116*VLOOKUP($A32,weighting!$A$7:$C$27,3,FALSE)</f>
        <v>0</v>
      </c>
      <c r="L32" s="24">
        <f>Composite!K116</f>
        <v>0</v>
      </c>
      <c r="M32" s="44">
        <f>Composite!L116*VLOOKUP($A32,weighting!$A$7:$C$27,3,FALSE)</f>
        <v>0</v>
      </c>
      <c r="N32" s="24">
        <f>Composite!M116</f>
        <v>0</v>
      </c>
      <c r="O32" s="44">
        <f>Composite!N116*VLOOKUP($A32,weighting!$A$7:$C$27,3,FALSE)</f>
        <v>0</v>
      </c>
      <c r="P32" s="24">
        <f>Composite!O116</f>
        <v>0</v>
      </c>
      <c r="Q32" s="44">
        <f>Composite!P116*VLOOKUP($A32,weighting!$A$7:$C$27,3,FALSE)</f>
        <v>0</v>
      </c>
      <c r="R32" s="44">
        <f>Composite!Q116</f>
        <v>0</v>
      </c>
      <c r="S32" s="41"/>
    </row>
    <row r="33" spans="1:19" ht="24.95" customHeight="1">
      <c r="A33" t="str">
        <f>Composite!A117</f>
        <v>HZ1CZ2</v>
      </c>
      <c r="C33" s="24" t="str">
        <f>IF(LEFT(Composite!B117,4)="Exis",LEFT(Composite!B117,FIND("- He",Composite!B117)-2),LEFT(Composite!B117,FIND("HZ",Composite!B117)-2))</f>
        <v>Zonal to DHP No Screen</v>
      </c>
      <c r="D33" s="24" t="str">
        <f>Composite!C117</f>
        <v>Heating Savings</v>
      </c>
      <c r="E33" s="44">
        <f>Composite!D117*VLOOKUP($A33,weighting!$A$7:$C$27,3,FALSE)</f>
        <v>963.93892258066649</v>
      </c>
      <c r="F33" s="24">
        <f>Composite!E117</f>
        <v>15</v>
      </c>
      <c r="G33" s="44">
        <f>Composite!F117*VLOOKUP($A33,weighting!$A$7:$C$27,3,FALSE)</f>
        <v>1600.2246609585964</v>
      </c>
      <c r="H33" s="44">
        <f>Composite!G117</f>
        <v>0</v>
      </c>
      <c r="I33" s="24" t="str">
        <f>Composite!H117</f>
        <v>R-All-HVAC-ERconvertDHP-HZ1-All-N</v>
      </c>
      <c r="J33" s="44">
        <f>Composite!I117*VLOOKUP($A33,weighting!$A$7:$C$27,3,FALSE)</f>
        <v>11.260168367307308</v>
      </c>
      <c r="K33" s="44">
        <f>Composite!J117*VLOOKUP($A33,weighting!$A$7:$C$27,3,FALSE)</f>
        <v>0</v>
      </c>
      <c r="L33" s="24">
        <f>Composite!K117</f>
        <v>0</v>
      </c>
      <c r="M33" s="44">
        <f>Composite!L117*VLOOKUP($A33,weighting!$A$7:$C$27,3,FALSE)</f>
        <v>0</v>
      </c>
      <c r="N33" s="24">
        <f>Composite!M117</f>
        <v>0</v>
      </c>
      <c r="O33" s="44">
        <f>Composite!N117*VLOOKUP($A33,weighting!$A$7:$C$27,3,FALSE)</f>
        <v>0</v>
      </c>
      <c r="P33" s="24">
        <f>Composite!O117</f>
        <v>0</v>
      </c>
      <c r="Q33" s="44">
        <f>Composite!P117*VLOOKUP($A33,weighting!$A$7:$C$27,3,FALSE)</f>
        <v>0</v>
      </c>
      <c r="R33" s="44">
        <f>Composite!Q117</f>
        <v>0</v>
      </c>
      <c r="S33" s="41"/>
    </row>
    <row r="34" spans="1:19" ht="24.95" customHeight="1">
      <c r="A34" t="str">
        <f>Composite!A118</f>
        <v>HZ2CZ2</v>
      </c>
      <c r="C34" s="24" t="str">
        <f>IF(LEFT(Composite!B118,4)="Exis",LEFT(Composite!B118,FIND("- He",Composite!B118)-2),LEFT(Composite!B118,FIND("HZ",Composite!B118)-2))</f>
        <v>Zonal to DHP No Screen</v>
      </c>
      <c r="D34" s="24" t="str">
        <f>Composite!C118</f>
        <v>Heating Savings</v>
      </c>
      <c r="E34" s="44">
        <f>Composite!D118*VLOOKUP($A34,weighting!$A$7:$C$27,3,FALSE)</f>
        <v>1862.6457469968341</v>
      </c>
      <c r="F34" s="24">
        <f>Composite!E118</f>
        <v>15</v>
      </c>
      <c r="G34" s="44">
        <f>Composite!F118*VLOOKUP($A34,weighting!$A$7:$C$27,3,FALSE)</f>
        <v>2800.1038892370202</v>
      </c>
      <c r="H34" s="44">
        <f>Composite!G118</f>
        <v>0</v>
      </c>
      <c r="I34" s="24" t="str">
        <f>Composite!H118</f>
        <v>R-All-HVAC-ERconvertDHP-HZ2-All-N</v>
      </c>
      <c r="J34" s="44">
        <f>Composite!I118*VLOOKUP($A34,weighting!$A$7:$C$27,3,FALSE)</f>
        <v>16.498825407346889</v>
      </c>
      <c r="K34" s="44">
        <f>Composite!J118*VLOOKUP($A34,weighting!$A$7:$C$27,3,FALSE)</f>
        <v>0</v>
      </c>
      <c r="L34" s="24">
        <f>Composite!K118</f>
        <v>0</v>
      </c>
      <c r="M34" s="44">
        <f>Composite!L118*VLOOKUP($A34,weighting!$A$7:$C$27,3,FALSE)</f>
        <v>0</v>
      </c>
      <c r="N34" s="24">
        <f>Composite!M118</f>
        <v>0</v>
      </c>
      <c r="O34" s="44">
        <f>Composite!N118*VLOOKUP($A34,weighting!$A$7:$C$27,3,FALSE)</f>
        <v>0</v>
      </c>
      <c r="P34" s="24">
        <f>Composite!O118</f>
        <v>0</v>
      </c>
      <c r="Q34" s="44">
        <f>Composite!P118*VLOOKUP($A34,weighting!$A$7:$C$27,3,FALSE)</f>
        <v>0</v>
      </c>
      <c r="R34" s="44">
        <f>Composite!Q118</f>
        <v>0</v>
      </c>
      <c r="S34" s="41"/>
    </row>
    <row r="35" spans="1:19" ht="24.95" customHeight="1">
      <c r="A35" t="str">
        <f>Composite!A119</f>
        <v>HZ3CZ2</v>
      </c>
      <c r="C35" s="24" t="str">
        <f>IF(LEFT(Composite!B119,4)="Exis",LEFT(Composite!B119,FIND("- He",Composite!B119)-2),LEFT(Composite!B119,FIND("HZ",Composite!B119)-2))</f>
        <v>Zonal to DHP No Screen</v>
      </c>
      <c r="D35" s="24" t="str">
        <f>Composite!C119</f>
        <v>Heating Savings</v>
      </c>
      <c r="E35" s="44">
        <f>Composite!D119*VLOOKUP($A35,weighting!$A$7:$C$27,3,FALSE)</f>
        <v>82.86663526022005</v>
      </c>
      <c r="F35" s="24">
        <f>Composite!E119</f>
        <v>15</v>
      </c>
      <c r="G35" s="44">
        <f>Composite!F119*VLOOKUP($A35,weighting!$A$7:$C$27,3,FALSE)</f>
        <v>180.26826049716544</v>
      </c>
      <c r="H35" s="44">
        <f>Composite!G119</f>
        <v>0</v>
      </c>
      <c r="I35" s="24" t="str">
        <f>Composite!H119</f>
        <v>R-All-HVAC-ERconvertDHP-HZ3-All-N</v>
      </c>
      <c r="J35" s="44">
        <f>Composite!I119*VLOOKUP($A35,weighting!$A$7:$C$27,3,FALSE)</f>
        <v>3.5124324801006597</v>
      </c>
      <c r="K35" s="44">
        <f>Composite!J119*VLOOKUP($A35,weighting!$A$7:$C$27,3,FALSE)</f>
        <v>0</v>
      </c>
      <c r="L35" s="24">
        <f>Composite!K119</f>
        <v>0</v>
      </c>
      <c r="M35" s="44">
        <f>Composite!L119*VLOOKUP($A35,weighting!$A$7:$C$27,3,FALSE)</f>
        <v>0</v>
      </c>
      <c r="N35" s="24">
        <f>Composite!M119</f>
        <v>0</v>
      </c>
      <c r="O35" s="44">
        <f>Composite!N119*VLOOKUP($A35,weighting!$A$7:$C$27,3,FALSE)</f>
        <v>0</v>
      </c>
      <c r="P35" s="24">
        <f>Composite!O119</f>
        <v>0</v>
      </c>
      <c r="Q35" s="44">
        <f>Composite!P119*VLOOKUP($A35,weighting!$A$7:$C$27,3,FALSE)</f>
        <v>0</v>
      </c>
      <c r="R35" s="44">
        <f>Composite!Q119</f>
        <v>0</v>
      </c>
      <c r="S35" s="41"/>
    </row>
    <row r="36" spans="1:19" ht="24.95" customHeight="1">
      <c r="A36" t="str">
        <f>Composite!A120</f>
        <v>HZ1CZ3</v>
      </c>
      <c r="C36" s="24" t="str">
        <f>IF(LEFT(Composite!B120,4)="Exis",LEFT(Composite!B120,FIND("- He",Composite!B120)-2),LEFT(Composite!B120,FIND("HZ",Composite!B120)-2))</f>
        <v>Zonal to DHP No Screen</v>
      </c>
      <c r="D36" s="24" t="str">
        <f>Composite!C120</f>
        <v>Heating Savings</v>
      </c>
      <c r="E36" s="44">
        <f>Composite!D120*VLOOKUP($A36,weighting!$A$7:$C$27,3,FALSE)</f>
        <v>1276.1199405145817</v>
      </c>
      <c r="F36" s="24">
        <f>Composite!E120</f>
        <v>15</v>
      </c>
      <c r="G36" s="44">
        <f>Composite!F120*VLOOKUP($A36,weighting!$A$7:$C$27,3,FALSE)</f>
        <v>2012.0888660484611</v>
      </c>
      <c r="H36" s="44">
        <f>Composite!G120</f>
        <v>0</v>
      </c>
      <c r="I36" s="24" t="str">
        <f>Composite!H120</f>
        <v>R-All-HVAC-ERconvertDHP-HZ1-All-N</v>
      </c>
      <c r="J36" s="44">
        <f>Composite!I120*VLOOKUP($A36,weighting!$A$7:$C$27,3,FALSE)</f>
        <v>14.906883673296106</v>
      </c>
      <c r="K36" s="44">
        <f>Composite!J120*VLOOKUP($A36,weighting!$A$7:$C$27,3,FALSE)</f>
        <v>0</v>
      </c>
      <c r="L36" s="24">
        <f>Composite!K120</f>
        <v>0</v>
      </c>
      <c r="M36" s="44">
        <f>Composite!L120*VLOOKUP($A36,weighting!$A$7:$C$27,3,FALSE)</f>
        <v>0</v>
      </c>
      <c r="N36" s="24">
        <f>Composite!M120</f>
        <v>0</v>
      </c>
      <c r="O36" s="44">
        <f>Composite!N120*VLOOKUP($A36,weighting!$A$7:$C$27,3,FALSE)</f>
        <v>0</v>
      </c>
      <c r="P36" s="24">
        <f>Composite!O120</f>
        <v>0</v>
      </c>
      <c r="Q36" s="44">
        <f>Composite!P120*VLOOKUP($A36,weighting!$A$7:$C$27,3,FALSE)</f>
        <v>0</v>
      </c>
      <c r="R36" s="44">
        <f>Composite!Q120</f>
        <v>0</v>
      </c>
      <c r="S36" s="41"/>
    </row>
    <row r="37" spans="1:19" ht="24.95" customHeight="1">
      <c r="A37" t="str">
        <f>Composite!A121</f>
        <v>HZ2CZ3</v>
      </c>
      <c r="C37" s="24" t="str">
        <f>IF(LEFT(Composite!B121,4)="Exis",LEFT(Composite!B121,FIND("- He",Composite!B121)-2),LEFT(Composite!B121,FIND("HZ",Composite!B121)-2))</f>
        <v>Zonal to DHP No Screen</v>
      </c>
      <c r="D37" s="24" t="str">
        <f>Composite!C121</f>
        <v>Heating Savings</v>
      </c>
      <c r="E37" s="44">
        <f>Composite!D121*VLOOKUP($A37,weighting!$A$7:$C$27,3,FALSE)</f>
        <v>350.322968753201</v>
      </c>
      <c r="F37" s="24">
        <f>Composite!E121</f>
        <v>15</v>
      </c>
      <c r="G37" s="44">
        <f>Composite!F121*VLOOKUP($A37,weighting!$A$7:$C$27,3,FALSE)</f>
        <v>498.6910918901707</v>
      </c>
      <c r="H37" s="44">
        <f>Composite!G121</f>
        <v>0</v>
      </c>
      <c r="I37" s="24" t="str">
        <f>Composite!H121</f>
        <v>R-All-HVAC-ERconvertDHP-HZ2-All-N</v>
      </c>
      <c r="J37" s="44">
        <f>Composite!I121*VLOOKUP($A37,weighting!$A$7:$C$27,3,FALSE)</f>
        <v>3.1030685823976634</v>
      </c>
      <c r="K37" s="44">
        <f>Composite!J121*VLOOKUP($A37,weighting!$A$7:$C$27,3,FALSE)</f>
        <v>0</v>
      </c>
      <c r="L37" s="24">
        <f>Composite!K121</f>
        <v>0</v>
      </c>
      <c r="M37" s="44">
        <f>Composite!L121*VLOOKUP($A37,weighting!$A$7:$C$27,3,FALSE)</f>
        <v>0</v>
      </c>
      <c r="N37" s="24">
        <f>Composite!M121</f>
        <v>0</v>
      </c>
      <c r="O37" s="44">
        <f>Composite!N121*VLOOKUP($A37,weighting!$A$7:$C$27,3,FALSE)</f>
        <v>0</v>
      </c>
      <c r="P37" s="24">
        <f>Composite!O121</f>
        <v>0</v>
      </c>
      <c r="Q37" s="44">
        <f>Composite!P121*VLOOKUP($A37,weighting!$A$7:$C$27,3,FALSE)</f>
        <v>0</v>
      </c>
      <c r="R37" s="44">
        <f>Composite!Q121</f>
        <v>0</v>
      </c>
      <c r="S37" s="41"/>
    </row>
    <row r="38" spans="1:19" ht="24.95" customHeight="1">
      <c r="A38" t="str">
        <f>Composite!A122</f>
        <v>HZ3CZ3</v>
      </c>
      <c r="C38" s="24" t="str">
        <f>IF(LEFT(Composite!B122,4)="Exis",LEFT(Composite!B122,FIND("- He",Composite!B122)-2),LEFT(Composite!B122,FIND("HZ",Composite!B122)-2))</f>
        <v>Zonal to DHP No Screen</v>
      </c>
      <c r="D38" s="24" t="str">
        <f>Composite!C122</f>
        <v>Heating Savings</v>
      </c>
      <c r="E38" s="44">
        <f>Composite!D122*VLOOKUP($A38,weighting!$A$7:$C$27,3,FALSE)</f>
        <v>0</v>
      </c>
      <c r="F38" s="24">
        <f>Composite!E122</f>
        <v>15</v>
      </c>
      <c r="G38" s="44">
        <f>Composite!F122*VLOOKUP($A38,weighting!$A$7:$C$27,3,FALSE)</f>
        <v>0</v>
      </c>
      <c r="H38" s="44">
        <f>Composite!G122</f>
        <v>0</v>
      </c>
      <c r="I38" s="24" t="str">
        <f>Composite!H122</f>
        <v>R-All-HVAC-ERconvertDHP-HZ3-All-N</v>
      </c>
      <c r="J38" s="44">
        <f>Composite!I122*VLOOKUP($A38,weighting!$A$7:$C$27,3,FALSE)</f>
        <v>0</v>
      </c>
      <c r="K38" s="44">
        <f>Composite!J122*VLOOKUP($A38,weighting!$A$7:$C$27,3,FALSE)</f>
        <v>0</v>
      </c>
      <c r="L38" s="24">
        <f>Composite!K122</f>
        <v>0</v>
      </c>
      <c r="M38" s="44">
        <f>Composite!L122*VLOOKUP($A38,weighting!$A$7:$C$27,3,FALSE)</f>
        <v>0</v>
      </c>
      <c r="N38" s="24">
        <f>Composite!M122</f>
        <v>0</v>
      </c>
      <c r="O38" s="44">
        <f>Composite!N122*VLOOKUP($A38,weighting!$A$7:$C$27,3,FALSE)</f>
        <v>0</v>
      </c>
      <c r="P38" s="24">
        <f>Composite!O122</f>
        <v>0</v>
      </c>
      <c r="Q38" s="44">
        <f>Composite!P122*VLOOKUP($A38,weighting!$A$7:$C$27,3,FALSE)</f>
        <v>0</v>
      </c>
      <c r="R38" s="44">
        <f>Composite!Q122</f>
        <v>0</v>
      </c>
      <c r="S38" s="41"/>
    </row>
    <row r="39" spans="1:19" ht="24.95" customHeight="1">
      <c r="A39" t="str">
        <f>Composite!A123</f>
        <v>Heating Zone 1</v>
      </c>
      <c r="C39" s="24" t="str">
        <f>IF(LEFT(Composite!B123,4)="Exis",LEFT(Composite!B123,FIND("- He",Composite!B123)-2),LEFT(Composite!B123,FIND("HZ",Composite!B123)-2))</f>
        <v>Existing Single Family Home HVAC Conversion - Convert FAF w/CAC to Heat Pump - House with "Good Insulation"</v>
      </c>
      <c r="D39" s="24" t="str">
        <f>Composite!C123</f>
        <v>Cooling Savings</v>
      </c>
      <c r="E39" s="44">
        <f>Composite!D123*VLOOKUP($A39,weighting!$A$7:$C$27,3,FALSE)</f>
        <v>0</v>
      </c>
      <c r="F39" s="24">
        <f>Composite!E123</f>
        <v>15</v>
      </c>
      <c r="G39" s="44">
        <f>Composite!F123*VLOOKUP($A39,weighting!$A$7:$C$27,3,FALSE)</f>
        <v>0</v>
      </c>
      <c r="H39" s="44">
        <f>Composite!G123</f>
        <v>0</v>
      </c>
      <c r="I39" s="24" t="str">
        <f>Composite!H123</f>
        <v>ResCACZ1</v>
      </c>
      <c r="J39" s="44">
        <f>Composite!I123*VLOOKUP($A39,weighting!$A$7:$C$27,3,FALSE)</f>
        <v>0</v>
      </c>
      <c r="K39" s="44">
        <f>Composite!J123*VLOOKUP($A39,weighting!$A$7:$C$27,3,FALSE)</f>
        <v>0</v>
      </c>
      <c r="L39" s="24">
        <f>Composite!K123</f>
        <v>0</v>
      </c>
      <c r="M39" s="44">
        <f>Composite!L123*VLOOKUP($A39,weighting!$A$7:$C$27,3,FALSE)</f>
        <v>0</v>
      </c>
      <c r="N39" s="24">
        <f>Composite!M123</f>
        <v>0</v>
      </c>
      <c r="O39" s="44">
        <f>Composite!N123*VLOOKUP($A39,weighting!$A$7:$C$27,3,FALSE)</f>
        <v>0</v>
      </c>
      <c r="P39" s="24">
        <f>Composite!O123</f>
        <v>0</v>
      </c>
      <c r="Q39" s="44">
        <f>Composite!P123*VLOOKUP($A39,weighting!$A$7:$C$27,3,FALSE)</f>
        <v>0</v>
      </c>
      <c r="R39" s="44">
        <f>Composite!Q123</f>
        <v>0</v>
      </c>
      <c r="S39" s="41"/>
    </row>
    <row r="40" spans="1:19" ht="24.95" customHeight="1">
      <c r="A40" t="str">
        <f>Composite!A124</f>
        <v>Heating Zone 2</v>
      </c>
      <c r="C40" s="24" t="str">
        <f>IF(LEFT(Composite!B124,4)="Exis",LEFT(Composite!B124,FIND("- He",Composite!B124)-2),LEFT(Composite!B124,FIND("HZ",Composite!B124)-2))</f>
        <v>Existing Single Family Home HVAC Conversion - Convert FAF w/CAC to Heat Pump - House with "Good Insulation"</v>
      </c>
      <c r="D40" s="24" t="str">
        <f>Composite!C124</f>
        <v>Cooling Savings</v>
      </c>
      <c r="E40" s="44">
        <f>Composite!D124*VLOOKUP($A40,weighting!$A$7:$C$27,3,FALSE)</f>
        <v>0</v>
      </c>
      <c r="F40" s="24">
        <f>Composite!E124</f>
        <v>15</v>
      </c>
      <c r="G40" s="44">
        <f>Composite!F124*VLOOKUP($A40,weighting!$A$7:$C$27,3,FALSE)</f>
        <v>0</v>
      </c>
      <c r="H40" s="44">
        <f>Composite!G124</f>
        <v>0</v>
      </c>
      <c r="I40" s="24" t="str">
        <f>Composite!H124</f>
        <v>ResCACZ2</v>
      </c>
      <c r="J40" s="44">
        <f>Composite!I124*VLOOKUP($A40,weighting!$A$7:$C$27,3,FALSE)</f>
        <v>0</v>
      </c>
      <c r="K40" s="44">
        <f>Composite!J124*VLOOKUP($A40,weighting!$A$7:$C$27,3,FALSE)</f>
        <v>0</v>
      </c>
      <c r="L40" s="24">
        <f>Composite!K124</f>
        <v>0</v>
      </c>
      <c r="M40" s="44">
        <f>Composite!L124*VLOOKUP($A40,weighting!$A$7:$C$27,3,FALSE)</f>
        <v>0</v>
      </c>
      <c r="N40" s="24">
        <f>Composite!M124</f>
        <v>0</v>
      </c>
      <c r="O40" s="44">
        <f>Composite!N124*VLOOKUP($A40,weighting!$A$7:$C$27,3,FALSE)</f>
        <v>0</v>
      </c>
      <c r="P40" s="24">
        <f>Composite!O124</f>
        <v>0</v>
      </c>
      <c r="Q40" s="44">
        <f>Composite!P124*VLOOKUP($A40,weighting!$A$7:$C$27,3,FALSE)</f>
        <v>0</v>
      </c>
      <c r="R40" s="44">
        <f>Composite!Q124</f>
        <v>0</v>
      </c>
      <c r="S40" s="41"/>
    </row>
    <row r="41" spans="1:19" ht="24.95" customHeight="1">
      <c r="A41" t="str">
        <f>Composite!A125</f>
        <v>Heating Zone 3</v>
      </c>
      <c r="C41" s="24" t="str">
        <f>IF(LEFT(Composite!B125,4)="Exis",LEFT(Composite!B125,FIND("- He",Composite!B125)-2),LEFT(Composite!B125,FIND("HZ",Composite!B125)-2))</f>
        <v>Existing Single Family Home HVAC Conversion - Convert FAF w/CAC to Heat Pump - House with "Good Insulation"</v>
      </c>
      <c r="D41" s="24" t="str">
        <f>Composite!C125</f>
        <v>Cooling Savings</v>
      </c>
      <c r="E41" s="44">
        <f>Composite!D125*VLOOKUP($A41,weighting!$A$7:$C$27,3,FALSE)</f>
        <v>0</v>
      </c>
      <c r="F41" s="24">
        <f>Composite!E125</f>
        <v>15</v>
      </c>
      <c r="G41" s="44">
        <f>Composite!F125*VLOOKUP($A41,weighting!$A$7:$C$27,3,FALSE)</f>
        <v>0</v>
      </c>
      <c r="H41" s="44">
        <f>Composite!G125</f>
        <v>0</v>
      </c>
      <c r="I41" s="24" t="str">
        <f>Composite!H125</f>
        <v>ResCACZ3</v>
      </c>
      <c r="J41" s="44">
        <f>Composite!I125*VLOOKUP($A41,weighting!$A$7:$C$27,3,FALSE)</f>
        <v>0</v>
      </c>
      <c r="K41" s="44">
        <f>Composite!J125*VLOOKUP($A41,weighting!$A$7:$C$27,3,FALSE)</f>
        <v>0</v>
      </c>
      <c r="L41" s="24">
        <f>Composite!K125</f>
        <v>0</v>
      </c>
      <c r="M41" s="44">
        <f>Composite!L125*VLOOKUP($A41,weighting!$A$7:$C$27,3,FALSE)</f>
        <v>0</v>
      </c>
      <c r="N41" s="24">
        <f>Composite!M125</f>
        <v>0</v>
      </c>
      <c r="O41" s="44">
        <f>Composite!N125*VLOOKUP($A41,weighting!$A$7:$C$27,3,FALSE)</f>
        <v>0</v>
      </c>
      <c r="P41" s="24">
        <f>Composite!O125</f>
        <v>0</v>
      </c>
      <c r="Q41" s="44">
        <f>Composite!P125*VLOOKUP($A41,weighting!$A$7:$C$27,3,FALSE)</f>
        <v>0</v>
      </c>
      <c r="R41" s="44">
        <f>Composite!Q125</f>
        <v>0</v>
      </c>
      <c r="S41" s="41"/>
    </row>
    <row r="42" spans="1:19" ht="24.95" customHeight="1">
      <c r="A42" t="str">
        <f>Composite!A126</f>
        <v>Heating Zone 1 - Cooling Zone 1</v>
      </c>
      <c r="C42" s="24" t="str">
        <f>IF(LEFT(Composite!B126,4)="Exis",LEFT(Composite!B126,FIND("- He",Composite!B126)-2),LEFT(Composite!B126,FIND("HZ",Composite!B126)-2))</f>
        <v>Existing Single Family Home HVAC Conversion - Convert FAF w/o CAC to Heat Pump - House with "Good Insulation"</v>
      </c>
      <c r="D42" s="24" t="str">
        <f>Composite!C126</f>
        <v>Cooling Savings</v>
      </c>
      <c r="E42" s="44">
        <f>Composite!D126*VLOOKUP($A42,weighting!$A$7:$C$27,3,FALSE)</f>
        <v>-137.82461431953399</v>
      </c>
      <c r="F42" s="24">
        <f>Composite!E126</f>
        <v>15</v>
      </c>
      <c r="G42" s="44">
        <f>Composite!F126*VLOOKUP($A42,weighting!$A$7:$C$27,3,FALSE)</f>
        <v>0</v>
      </c>
      <c r="H42" s="44">
        <f>Composite!G126</f>
        <v>0</v>
      </c>
      <c r="I42" s="24" t="str">
        <f>Composite!H126</f>
        <v>ResCACZ1</v>
      </c>
      <c r="J42" s="44">
        <f>Composite!I126*VLOOKUP($A42,weighting!$A$7:$C$27,3,FALSE)</f>
        <v>11.217675837393347</v>
      </c>
      <c r="K42" s="44">
        <f>Composite!J126*VLOOKUP($A42,weighting!$A$7:$C$27,3,FALSE)</f>
        <v>0</v>
      </c>
      <c r="L42" s="24">
        <f>Composite!K126</f>
        <v>0</v>
      </c>
      <c r="M42" s="44">
        <f>Composite!L126*VLOOKUP($A42,weighting!$A$7:$C$27,3,FALSE)</f>
        <v>0</v>
      </c>
      <c r="N42" s="24">
        <f>Composite!M126</f>
        <v>0</v>
      </c>
      <c r="O42" s="44">
        <f>Composite!N126*VLOOKUP($A42,weighting!$A$7:$C$27,3,FALSE)</f>
        <v>0</v>
      </c>
      <c r="P42" s="24">
        <f>Composite!O126</f>
        <v>0</v>
      </c>
      <c r="Q42" s="44">
        <f>Composite!P126*VLOOKUP($A42,weighting!$A$7:$C$27,3,FALSE)</f>
        <v>0</v>
      </c>
      <c r="R42" s="44">
        <f>Composite!Q126</f>
        <v>0</v>
      </c>
      <c r="S42" s="41"/>
    </row>
    <row r="43" spans="1:19" ht="24.95" customHeight="1">
      <c r="A43" t="str">
        <f>Composite!A127</f>
        <v>Heating Zone 1 - Cooling Zone 2</v>
      </c>
      <c r="C43" s="24" t="str">
        <f>IF(LEFT(Composite!B127,4)="Exis",LEFT(Composite!B127,FIND("- He",Composite!B127)-2),LEFT(Composite!B127,FIND("HZ",Composite!B127)-2))</f>
        <v>Existing Single Family Home HVAC Conversion - Convert FAF w/o CAC to Heat Pump - House with "Good Insulation"</v>
      </c>
      <c r="D43" s="24" t="str">
        <f>Composite!C127</f>
        <v>Cooling Savings</v>
      </c>
      <c r="E43" s="44">
        <f>Composite!D127*VLOOKUP($A43,weighting!$A$7:$C$27,3,FALSE)</f>
        <v>-63.271546719710798</v>
      </c>
      <c r="F43" s="24">
        <f>Composite!E127</f>
        <v>15</v>
      </c>
      <c r="G43" s="44">
        <f>Composite!F127*VLOOKUP($A43,weighting!$A$7:$C$27,3,FALSE)</f>
        <v>0</v>
      </c>
      <c r="H43" s="44">
        <f>Composite!G127</f>
        <v>0</v>
      </c>
      <c r="I43" s="24" t="str">
        <f>Composite!H127</f>
        <v>ResCACZ2</v>
      </c>
      <c r="J43" s="44">
        <f>Composite!I127*VLOOKUP($A43,weighting!$A$7:$C$27,3,FALSE)</f>
        <v>5.1497310863986172</v>
      </c>
      <c r="K43" s="44">
        <f>Composite!J127*VLOOKUP($A43,weighting!$A$7:$C$27,3,FALSE)</f>
        <v>0</v>
      </c>
      <c r="L43" s="24">
        <f>Composite!K127</f>
        <v>0</v>
      </c>
      <c r="M43" s="44">
        <f>Composite!L127*VLOOKUP($A43,weighting!$A$7:$C$27,3,FALSE)</f>
        <v>0</v>
      </c>
      <c r="N43" s="24">
        <f>Composite!M127</f>
        <v>0</v>
      </c>
      <c r="O43" s="44">
        <f>Composite!N127*VLOOKUP($A43,weighting!$A$7:$C$27,3,FALSE)</f>
        <v>0</v>
      </c>
      <c r="P43" s="24">
        <f>Composite!O127</f>
        <v>0</v>
      </c>
      <c r="Q43" s="44">
        <f>Composite!P127*VLOOKUP($A43,weighting!$A$7:$C$27,3,FALSE)</f>
        <v>0</v>
      </c>
      <c r="R43" s="44">
        <f>Composite!Q127</f>
        <v>0</v>
      </c>
      <c r="S43" s="41"/>
    </row>
    <row r="44" spans="1:19" ht="24.95" customHeight="1">
      <c r="A44" t="str">
        <f>Composite!A128</f>
        <v>Heating Zone 1 - Cooling Zone 3</v>
      </c>
      <c r="C44" s="24" t="str">
        <f>IF(LEFT(Composite!B128,4)="Exis",LEFT(Composite!B128,FIND("- He",Composite!B128)-2),LEFT(Composite!B128,FIND("HZ",Composite!B128)-2))</f>
        <v>Existing Single Family Home HVAC Conversion - Convert FAF w/o CAC to Heat Pump - House with "Good Insulation"</v>
      </c>
      <c r="D44" s="24" t="str">
        <f>Composite!C128</f>
        <v>Cooling Savings</v>
      </c>
      <c r="E44" s="44">
        <f>Composite!D128*VLOOKUP($A44,weighting!$A$7:$C$27,3,FALSE)</f>
        <v>0</v>
      </c>
      <c r="F44" s="24">
        <f>Composite!E128</f>
        <v>15</v>
      </c>
      <c r="G44" s="44">
        <f>Composite!F128*VLOOKUP($A44,weighting!$A$7:$C$27,3,FALSE)</f>
        <v>0</v>
      </c>
      <c r="H44" s="44">
        <f>Composite!G128</f>
        <v>0</v>
      </c>
      <c r="I44" s="24" t="str">
        <f>Composite!H128</f>
        <v>ResCACZ3</v>
      </c>
      <c r="J44" s="44">
        <f>Composite!I128*VLOOKUP($A44,weighting!$A$7:$C$27,3,FALSE)</f>
        <v>0</v>
      </c>
      <c r="K44" s="44">
        <f>Composite!J128*VLOOKUP($A44,weighting!$A$7:$C$27,3,FALSE)</f>
        <v>0</v>
      </c>
      <c r="L44" s="24">
        <f>Composite!K128</f>
        <v>0</v>
      </c>
      <c r="M44" s="44">
        <f>Composite!L128*VLOOKUP($A44,weighting!$A$7:$C$27,3,FALSE)</f>
        <v>0</v>
      </c>
      <c r="N44" s="24">
        <f>Composite!M128</f>
        <v>0</v>
      </c>
      <c r="O44" s="44">
        <f>Composite!N128*VLOOKUP($A44,weighting!$A$7:$C$27,3,FALSE)</f>
        <v>0</v>
      </c>
      <c r="P44" s="24">
        <f>Composite!O128</f>
        <v>0</v>
      </c>
      <c r="Q44" s="44">
        <f>Composite!P128*VLOOKUP($A44,weighting!$A$7:$C$27,3,FALSE)</f>
        <v>0</v>
      </c>
      <c r="R44" s="44">
        <f>Composite!Q128</f>
        <v>0</v>
      </c>
      <c r="S44" s="41"/>
    </row>
    <row r="45" spans="1:19" ht="24.95" customHeight="1">
      <c r="A45" t="str">
        <f>Composite!A129</f>
        <v>Heating Zone 2 - Cooling Zone 1</v>
      </c>
      <c r="C45" s="24" t="str">
        <f>IF(LEFT(Composite!B129,4)="Exis",LEFT(Composite!B129,FIND("- He",Composite!B129)-2),LEFT(Composite!B129,FIND("HZ",Composite!B129)-2))</f>
        <v>Existing Single Family Home HVAC Conversion - Convert FAF w/o CAC to Heat Pump - House with "Good Insulation"</v>
      </c>
      <c r="D45" s="24" t="str">
        <f>Composite!C129</f>
        <v>Cooling Savings</v>
      </c>
      <c r="E45" s="44">
        <f>Composite!D129*VLOOKUP($A45,weighting!$A$7:$C$27,3,FALSE)</f>
        <v>-59.308490692379834</v>
      </c>
      <c r="F45" s="24">
        <f>Composite!E129</f>
        <v>15</v>
      </c>
      <c r="G45" s="44">
        <f>Composite!F129*VLOOKUP($A45,weighting!$A$7:$C$27,3,FALSE)</f>
        <v>0</v>
      </c>
      <c r="H45" s="44">
        <f>Composite!G129</f>
        <v>0</v>
      </c>
      <c r="I45" s="24" t="str">
        <f>Composite!H129</f>
        <v>ResCACZ1</v>
      </c>
      <c r="J45" s="44">
        <f>Composite!I129*VLOOKUP($A45,weighting!$A$7:$C$27,3,FALSE)</f>
        <v>4.8271742045272932</v>
      </c>
      <c r="K45" s="44">
        <f>Composite!J129*VLOOKUP($A45,weighting!$A$7:$C$27,3,FALSE)</f>
        <v>0</v>
      </c>
      <c r="L45" s="24">
        <f>Composite!K129</f>
        <v>0</v>
      </c>
      <c r="M45" s="44">
        <f>Composite!L129*VLOOKUP($A45,weighting!$A$7:$C$27,3,FALSE)</f>
        <v>0</v>
      </c>
      <c r="N45" s="24">
        <f>Composite!M129</f>
        <v>0</v>
      </c>
      <c r="O45" s="44">
        <f>Composite!N129*VLOOKUP($A45,weighting!$A$7:$C$27,3,FALSE)</f>
        <v>0</v>
      </c>
      <c r="P45" s="24">
        <f>Composite!O129</f>
        <v>0</v>
      </c>
      <c r="Q45" s="44">
        <f>Composite!P129*VLOOKUP($A45,weighting!$A$7:$C$27,3,FALSE)</f>
        <v>0</v>
      </c>
      <c r="R45" s="44">
        <f>Composite!Q129</f>
        <v>0</v>
      </c>
      <c r="S45" s="41"/>
    </row>
    <row r="46" spans="1:19" ht="25.5">
      <c r="A46" t="str">
        <f>Composite!A130</f>
        <v>Heating Zone 2 - Cooling Zone 2</v>
      </c>
      <c r="C46" s="24" t="str">
        <f>IF(LEFT(Composite!B130,4)="Exis",LEFT(Composite!B130,FIND("- He",Composite!B130)-2),LEFT(Composite!B130,FIND("HZ",Composite!B130)-2))</f>
        <v>Existing Single Family Home HVAC Conversion - Convert FAF w/o CAC to Heat Pump - House with "Good Insulation"</v>
      </c>
      <c r="D46" s="24" t="str">
        <f>Composite!C130</f>
        <v>Cooling Savings</v>
      </c>
      <c r="E46" s="44">
        <f>Composite!D130*VLOOKUP($A46,weighting!$A$7:$C$27,3,FALSE)</f>
        <v>-90.161550548720115</v>
      </c>
      <c r="F46" s="24">
        <f>Composite!E130</f>
        <v>15</v>
      </c>
      <c r="G46" s="44">
        <f>Composite!F130*VLOOKUP($A46,weighting!$A$7:$C$27,3,FALSE)</f>
        <v>0</v>
      </c>
      <c r="H46" s="44">
        <f>Composite!G130</f>
        <v>0</v>
      </c>
      <c r="I46" s="24" t="str">
        <f>Composite!H130</f>
        <v>ResCACZ2</v>
      </c>
      <c r="J46" s="44">
        <f>Composite!I130*VLOOKUP($A46,weighting!$A$7:$C$27,3,FALSE)</f>
        <v>7.3383339546842441</v>
      </c>
      <c r="K46" s="44">
        <f>Composite!J130*VLOOKUP($A46,weighting!$A$7:$C$27,3,FALSE)</f>
        <v>0</v>
      </c>
      <c r="L46" s="24">
        <f>Composite!K130</f>
        <v>0</v>
      </c>
      <c r="M46" s="44">
        <f>Composite!L130*VLOOKUP($A46,weighting!$A$7:$C$27,3,FALSE)</f>
        <v>0</v>
      </c>
      <c r="N46" s="24">
        <f>Composite!M130</f>
        <v>0</v>
      </c>
      <c r="O46" s="44">
        <f>Composite!N130*VLOOKUP($A46,weighting!$A$7:$C$27,3,FALSE)</f>
        <v>0</v>
      </c>
      <c r="P46" s="24">
        <f>Composite!O130</f>
        <v>0</v>
      </c>
      <c r="Q46" s="44">
        <f>Composite!P130*VLOOKUP($A46,weighting!$A$7:$C$27,3,FALSE)</f>
        <v>0</v>
      </c>
      <c r="R46" s="44">
        <f>Composite!Q130</f>
        <v>0</v>
      </c>
    </row>
    <row r="47" spans="1:19" ht="25.5">
      <c r="A47" t="str">
        <f>Composite!A131</f>
        <v>Heating Zone 2 - Cooling Zone 3</v>
      </c>
      <c r="C47" s="24" t="str">
        <f>IF(LEFT(Composite!B131,4)="Exis",LEFT(Composite!B131,FIND("- He",Composite!B131)-2),LEFT(Composite!B131,FIND("HZ",Composite!B131)-2))</f>
        <v>Existing Single Family Home HVAC Conversion - Convert FAF w/o CAC to Heat Pump - House with "Good Insulation"</v>
      </c>
      <c r="D47" s="24" t="str">
        <f>Composite!C131</f>
        <v>Cooling Savings</v>
      </c>
      <c r="E47" s="44">
        <f>Composite!D131*VLOOKUP($A47,weighting!$A$7:$C$27,3,FALSE)</f>
        <v>0</v>
      </c>
      <c r="F47" s="24">
        <f>Composite!E131</f>
        <v>15</v>
      </c>
      <c r="G47" s="44">
        <f>Composite!F131*VLOOKUP($A47,weighting!$A$7:$C$27,3,FALSE)</f>
        <v>0</v>
      </c>
      <c r="H47" s="44">
        <f>Composite!G131</f>
        <v>0</v>
      </c>
      <c r="I47" s="24" t="str">
        <f>Composite!H131</f>
        <v>ResCACZ3</v>
      </c>
      <c r="J47" s="44">
        <f>Composite!I131*VLOOKUP($A47,weighting!$A$7:$C$27,3,FALSE)</f>
        <v>0</v>
      </c>
      <c r="K47" s="44">
        <f>Composite!J131*VLOOKUP($A47,weighting!$A$7:$C$27,3,FALSE)</f>
        <v>0</v>
      </c>
      <c r="L47" s="24">
        <f>Composite!K131</f>
        <v>0</v>
      </c>
      <c r="M47" s="44">
        <f>Composite!L131*VLOOKUP($A47,weighting!$A$7:$C$27,3,FALSE)</f>
        <v>0</v>
      </c>
      <c r="N47" s="24">
        <f>Composite!M131</f>
        <v>0</v>
      </c>
      <c r="O47" s="44">
        <f>Composite!N131*VLOOKUP($A47,weighting!$A$7:$C$27,3,FALSE)</f>
        <v>0</v>
      </c>
      <c r="P47" s="24">
        <f>Composite!O131</f>
        <v>0</v>
      </c>
      <c r="Q47" s="44">
        <f>Composite!P131*VLOOKUP($A47,weighting!$A$7:$C$27,3,FALSE)</f>
        <v>0</v>
      </c>
      <c r="R47" s="44">
        <f>Composite!Q131</f>
        <v>0</v>
      </c>
    </row>
    <row r="48" spans="1:19" ht="25.5">
      <c r="A48" t="str">
        <f>Composite!A132</f>
        <v>Heating Zone 3 - Cooling Zone 1</v>
      </c>
      <c r="C48" s="24" t="str">
        <f>IF(LEFT(Composite!B132,4)="Exis",LEFT(Composite!B132,FIND("- He",Composite!B132)-2),LEFT(Composite!B132,FIND("HZ",Composite!B132)-2))</f>
        <v>Existing Single Family Home HVAC Conversion - Convert FAF w/o CAC to Heat Pump - House with "Good Insulation"</v>
      </c>
      <c r="D48" s="24" t="str">
        <f>Composite!C132</f>
        <v>Cooling Savings</v>
      </c>
      <c r="E48" s="44">
        <f>Composite!D132*VLOOKUP($A48,weighting!$A$7:$C$27,3,FALSE)</f>
        <v>-78.516123627154144</v>
      </c>
      <c r="F48" s="24">
        <f>Composite!E132</f>
        <v>15</v>
      </c>
      <c r="G48" s="44">
        <f>Composite!F132*VLOOKUP($A48,weighting!$A$7:$C$27,3,FALSE)</f>
        <v>0</v>
      </c>
      <c r="H48" s="44">
        <f>Composite!G132</f>
        <v>0</v>
      </c>
      <c r="I48" s="24" t="str">
        <f>Composite!H132</f>
        <v>ResCACZ1</v>
      </c>
      <c r="J48" s="44">
        <f>Composite!I132*VLOOKUP($A48,weighting!$A$7:$C$27,3,FALSE)</f>
        <v>6.3905016328660533</v>
      </c>
      <c r="K48" s="44">
        <f>Composite!J132*VLOOKUP($A48,weighting!$A$7:$C$27,3,FALSE)</f>
        <v>0</v>
      </c>
      <c r="L48" s="24">
        <f>Composite!K132</f>
        <v>0</v>
      </c>
      <c r="M48" s="44">
        <f>Composite!L132*VLOOKUP($A48,weighting!$A$7:$C$27,3,FALSE)</f>
        <v>0</v>
      </c>
      <c r="N48" s="24">
        <f>Composite!M132</f>
        <v>0</v>
      </c>
      <c r="O48" s="44">
        <f>Composite!N132*VLOOKUP($A48,weighting!$A$7:$C$27,3,FALSE)</f>
        <v>0</v>
      </c>
      <c r="P48" s="24">
        <f>Composite!O132</f>
        <v>0</v>
      </c>
      <c r="Q48" s="44">
        <f>Composite!P132*VLOOKUP($A48,weighting!$A$7:$C$27,3,FALSE)</f>
        <v>0</v>
      </c>
      <c r="R48" s="44">
        <f>Composite!Q132</f>
        <v>0</v>
      </c>
    </row>
    <row r="49" spans="1:18" ht="25.5">
      <c r="A49" t="str">
        <f>Composite!A133</f>
        <v>Heating Zone 3 - Cooling Zone 2</v>
      </c>
      <c r="C49" s="24" t="str">
        <f>IF(LEFT(Composite!B133,4)="Exis",LEFT(Composite!B133,FIND("- He",Composite!B133)-2),LEFT(Composite!B133,FIND("HZ",Composite!B133)-2))</f>
        <v>Existing Single Family Home HVAC Conversion - Convert FAF w/o CAC to Heat Pump - House with "Good Insulation"</v>
      </c>
      <c r="D49" s="24" t="str">
        <f>Composite!C133</f>
        <v>Cooling Savings</v>
      </c>
      <c r="E49" s="44">
        <f>Composite!D133*VLOOKUP($A49,weighting!$A$7:$C$27,3,FALSE)</f>
        <v>-16.95741775189693</v>
      </c>
      <c r="F49" s="24">
        <f>Composite!E133</f>
        <v>15</v>
      </c>
      <c r="G49" s="44">
        <f>Composite!F133*VLOOKUP($A49,weighting!$A$7:$C$27,3,FALSE)</f>
        <v>0</v>
      </c>
      <c r="H49" s="44">
        <f>Composite!G133</f>
        <v>0</v>
      </c>
      <c r="I49" s="24" t="str">
        <f>Composite!H133</f>
        <v>ResCACZ2</v>
      </c>
      <c r="J49" s="44">
        <f>Composite!I133*VLOOKUP($A49,weighting!$A$7:$C$27,3,FALSE)</f>
        <v>1.380180284336038</v>
      </c>
      <c r="K49" s="44">
        <f>Composite!J133*VLOOKUP($A49,weighting!$A$7:$C$27,3,FALSE)</f>
        <v>0</v>
      </c>
      <c r="L49" s="24">
        <f>Composite!K133</f>
        <v>0</v>
      </c>
      <c r="M49" s="44">
        <f>Composite!L133*VLOOKUP($A49,weighting!$A$7:$C$27,3,FALSE)</f>
        <v>0</v>
      </c>
      <c r="N49" s="24">
        <f>Composite!M133</f>
        <v>0</v>
      </c>
      <c r="O49" s="44">
        <f>Composite!N133*VLOOKUP($A49,weighting!$A$7:$C$27,3,FALSE)</f>
        <v>0</v>
      </c>
      <c r="P49" s="24">
        <f>Composite!O133</f>
        <v>0</v>
      </c>
      <c r="Q49" s="44">
        <f>Composite!P133*VLOOKUP($A49,weighting!$A$7:$C$27,3,FALSE)</f>
        <v>0</v>
      </c>
      <c r="R49" s="44">
        <f>Composite!Q133</f>
        <v>0</v>
      </c>
    </row>
    <row r="50" spans="1:18" ht="25.5">
      <c r="A50" t="str">
        <f>Composite!A134</f>
        <v>Heating Zone 3 - Cooling Zone 3</v>
      </c>
      <c r="C50" s="24" t="str">
        <f>IF(LEFT(Composite!B134,4)="Exis",LEFT(Composite!B134,FIND("- He",Composite!B134)-2),LEFT(Composite!B134,FIND("HZ",Composite!B134)-2))</f>
        <v>Existing Single Family Home HVAC Conversion - Convert FAF w/o CAC to Heat Pump - House with "Good Insulation"</v>
      </c>
      <c r="D50" s="24" t="str">
        <f>Composite!C134</f>
        <v>Cooling Savings</v>
      </c>
      <c r="E50" s="44">
        <f>Composite!D134*VLOOKUP($A50,weighting!$A$7:$C$27,3,FALSE)</f>
        <v>0</v>
      </c>
      <c r="F50" s="24">
        <f>Composite!E134</f>
        <v>15</v>
      </c>
      <c r="G50" s="44">
        <f>Composite!F134*VLOOKUP($A50,weighting!$A$7:$C$27,3,FALSE)</f>
        <v>0</v>
      </c>
      <c r="H50" s="44">
        <f>Composite!G134</f>
        <v>0</v>
      </c>
      <c r="I50" s="24" t="str">
        <f>Composite!H134</f>
        <v>ResCACZ3</v>
      </c>
      <c r="J50" s="44">
        <f>Composite!I134*VLOOKUP($A50,weighting!$A$7:$C$27,3,FALSE)</f>
        <v>0</v>
      </c>
      <c r="K50" s="44">
        <f>Composite!J134*VLOOKUP($A50,weighting!$A$7:$C$27,3,FALSE)</f>
        <v>0</v>
      </c>
      <c r="L50" s="24">
        <f>Composite!K134</f>
        <v>0</v>
      </c>
      <c r="M50" s="44">
        <f>Composite!L134*VLOOKUP($A50,weighting!$A$7:$C$27,3,FALSE)</f>
        <v>0</v>
      </c>
      <c r="N50" s="24">
        <f>Composite!M134</f>
        <v>0</v>
      </c>
      <c r="O50" s="44">
        <f>Composite!N134*VLOOKUP($A50,weighting!$A$7:$C$27,3,FALSE)</f>
        <v>0</v>
      </c>
      <c r="P50" s="24">
        <f>Composite!O134</f>
        <v>0</v>
      </c>
      <c r="Q50" s="44">
        <f>Composite!P134*VLOOKUP($A50,weighting!$A$7:$C$27,3,FALSE)</f>
        <v>0</v>
      </c>
      <c r="R50" s="44">
        <f>Composite!Q134</f>
        <v>0</v>
      </c>
    </row>
    <row r="51" spans="1:18">
      <c r="A51" t="str">
        <f>Composite!A135</f>
        <v>Heating Zone 1</v>
      </c>
      <c r="C51" s="24" t="str">
        <f>IF(LEFT(Composite!B135,4)="Exis",LEFT(Composite!B135,FIND("- He",Composite!B135)-2),LEFT(Composite!B135,FIND("HZ",Composite!B135)-2))</f>
        <v>Existing Single Family Home HVAC Upgrade</v>
      </c>
      <c r="D51" s="24" t="str">
        <f>Composite!C135</f>
        <v>Cooling Savings</v>
      </c>
      <c r="E51" s="44">
        <f>Composite!D135*VLOOKUP($A51,weighting!$A$7:$C$27,3,FALSE)</f>
        <v>0</v>
      </c>
      <c r="F51" s="24">
        <f>Composite!E135</f>
        <v>15</v>
      </c>
      <c r="G51" s="44">
        <f>Composite!F135*VLOOKUP($A51,weighting!$A$7:$C$27,3,FALSE)</f>
        <v>0</v>
      </c>
      <c r="H51" s="44">
        <f>Composite!G135</f>
        <v>0</v>
      </c>
      <c r="I51" s="24" t="str">
        <f>Composite!H135</f>
        <v>ResCACZ1</v>
      </c>
      <c r="J51" s="44">
        <f>Composite!I135*VLOOKUP($A51,weighting!$A$7:$C$27,3,FALSE)</f>
        <v>0</v>
      </c>
      <c r="K51" s="44">
        <f>Composite!J135*VLOOKUP($A51,weighting!$A$7:$C$27,3,FALSE)</f>
        <v>0</v>
      </c>
      <c r="L51" s="24">
        <f>Composite!K135</f>
        <v>0</v>
      </c>
      <c r="M51" s="44">
        <f>Composite!L135*VLOOKUP($A51,weighting!$A$7:$C$27,3,FALSE)</f>
        <v>0</v>
      </c>
      <c r="N51" s="24">
        <f>Composite!M135</f>
        <v>0</v>
      </c>
      <c r="O51" s="44">
        <f>Composite!N135*VLOOKUP($A51,weighting!$A$7:$C$27,3,FALSE)</f>
        <v>0</v>
      </c>
      <c r="P51" s="24">
        <f>Composite!O135</f>
        <v>0</v>
      </c>
      <c r="Q51" s="44">
        <f>Composite!P135*VLOOKUP($A51,weighting!$A$7:$C$27,3,FALSE)</f>
        <v>0</v>
      </c>
      <c r="R51" s="44">
        <f>Composite!Q135</f>
        <v>0</v>
      </c>
    </row>
    <row r="52" spans="1:18">
      <c r="A52" t="str">
        <f>Composite!A136</f>
        <v>Heating Zone 2</v>
      </c>
      <c r="C52" s="24" t="str">
        <f>IF(LEFT(Composite!B136,4)="Exis",LEFT(Composite!B136,FIND("- He",Composite!B136)-2),LEFT(Composite!B136,FIND("HZ",Composite!B136)-2))</f>
        <v>Existing Single Family Home HVAC Upgrade</v>
      </c>
      <c r="D52" s="24" t="str">
        <f>Composite!C136</f>
        <v>Cooling Savings</v>
      </c>
      <c r="E52" s="44">
        <f>Composite!D136*VLOOKUP($A52,weighting!$A$7:$C$27,3,FALSE)</f>
        <v>0</v>
      </c>
      <c r="F52" s="24">
        <f>Composite!E136</f>
        <v>15</v>
      </c>
      <c r="G52" s="44">
        <f>Composite!F136*VLOOKUP($A52,weighting!$A$7:$C$27,3,FALSE)</f>
        <v>0</v>
      </c>
      <c r="H52" s="44">
        <f>Composite!G136</f>
        <v>0</v>
      </c>
      <c r="I52" s="24" t="str">
        <f>Composite!H136</f>
        <v>ResCACZ2</v>
      </c>
      <c r="J52" s="44">
        <f>Composite!I136*VLOOKUP($A52,weighting!$A$7:$C$27,3,FALSE)</f>
        <v>0</v>
      </c>
      <c r="K52" s="44">
        <f>Composite!J136*VLOOKUP($A52,weighting!$A$7:$C$27,3,FALSE)</f>
        <v>0</v>
      </c>
      <c r="L52" s="24">
        <f>Composite!K136</f>
        <v>0</v>
      </c>
      <c r="M52" s="44">
        <f>Composite!L136*VLOOKUP($A52,weighting!$A$7:$C$27,3,FALSE)</f>
        <v>0</v>
      </c>
      <c r="N52" s="24">
        <f>Composite!M136</f>
        <v>0</v>
      </c>
      <c r="O52" s="44">
        <f>Composite!N136*VLOOKUP($A52,weighting!$A$7:$C$27,3,FALSE)</f>
        <v>0</v>
      </c>
      <c r="P52" s="24">
        <f>Composite!O136</f>
        <v>0</v>
      </c>
      <c r="Q52" s="44">
        <f>Composite!P136*VLOOKUP($A52,weighting!$A$7:$C$27,3,FALSE)</f>
        <v>0</v>
      </c>
      <c r="R52" s="44">
        <f>Composite!Q136</f>
        <v>0</v>
      </c>
    </row>
    <row r="53" spans="1:18">
      <c r="A53" t="str">
        <f>Composite!A137</f>
        <v>Heating Zone 3</v>
      </c>
      <c r="C53" s="24" t="str">
        <f>IF(LEFT(Composite!B137,4)="Exis",LEFT(Composite!B137,FIND("- He",Composite!B137)-2),LEFT(Composite!B137,FIND("HZ",Composite!B137)-2))</f>
        <v>Existing Single Family Home HVAC Upgrade</v>
      </c>
      <c r="D53" s="24" t="str">
        <f>Composite!C137</f>
        <v>Cooling Savings</v>
      </c>
      <c r="E53" s="44">
        <f>Composite!D137*VLOOKUP($A53,weighting!$A$7:$C$27,3,FALSE)</f>
        <v>0</v>
      </c>
      <c r="F53" s="24">
        <f>Composite!E137</f>
        <v>15</v>
      </c>
      <c r="G53" s="44">
        <f>Composite!F137*VLOOKUP($A53,weighting!$A$7:$C$27,3,FALSE)</f>
        <v>0</v>
      </c>
      <c r="H53" s="44">
        <f>Composite!G137</f>
        <v>0</v>
      </c>
      <c r="I53" s="24" t="str">
        <f>Composite!H137</f>
        <v>ResCACZ3</v>
      </c>
      <c r="J53" s="44">
        <f>Composite!I137*VLOOKUP($A53,weighting!$A$7:$C$27,3,FALSE)</f>
        <v>0</v>
      </c>
      <c r="K53" s="44">
        <f>Composite!J137*VLOOKUP($A53,weighting!$A$7:$C$27,3,FALSE)</f>
        <v>0</v>
      </c>
      <c r="L53" s="24">
        <f>Composite!K137</f>
        <v>0</v>
      </c>
      <c r="M53" s="44">
        <f>Composite!L137*VLOOKUP($A53,weighting!$A$7:$C$27,3,FALSE)</f>
        <v>0</v>
      </c>
      <c r="N53" s="24">
        <f>Composite!M137</f>
        <v>0</v>
      </c>
      <c r="O53" s="44">
        <f>Composite!N137*VLOOKUP($A53,weighting!$A$7:$C$27,3,FALSE)</f>
        <v>0</v>
      </c>
      <c r="P53" s="24">
        <f>Composite!O137</f>
        <v>0</v>
      </c>
      <c r="Q53" s="44">
        <f>Composite!P137*VLOOKUP($A53,weighting!$A$7:$C$27,3,FALSE)</f>
        <v>0</v>
      </c>
      <c r="R53" s="44">
        <f>Composite!Q137</f>
        <v>0</v>
      </c>
    </row>
    <row r="54" spans="1:18" ht="25.5">
      <c r="A54" t="str">
        <f>Composite!A138</f>
        <v>Heating Zone 1 - Cooling Zone 1</v>
      </c>
      <c r="C54" s="24" t="str">
        <f>IF(LEFT(Composite!B138,4)="Exis",LEFT(Composite!B138,FIND("- He",Composite!B138)-2),LEFT(Composite!B138,FIND("HZ",Composite!B138)-2))</f>
        <v>Existing Single Family Home HVAC Upgrade - Central Heat Pump Upgrade to Variable Capacity Central Heat Pump</v>
      </c>
      <c r="D54" s="24" t="str">
        <f>Composite!C138</f>
        <v>Cooling Savings</v>
      </c>
      <c r="E54" s="44">
        <f>Composite!D138*VLOOKUP($A54,weighting!$A$7:$C$27,3,FALSE)</f>
        <v>63.646904412715216</v>
      </c>
      <c r="F54" s="24">
        <f>Composite!E138</f>
        <v>15</v>
      </c>
      <c r="G54" s="44">
        <f>Composite!F138*VLOOKUP($A54,weighting!$A$7:$C$27,3,FALSE)</f>
        <v>0</v>
      </c>
      <c r="H54" s="44">
        <f>Composite!G138</f>
        <v>0</v>
      </c>
      <c r="I54" s="24" t="str">
        <f>Composite!H138</f>
        <v>ResCACZ1</v>
      </c>
      <c r="J54" s="44">
        <f>Composite!I138*VLOOKUP($A54,weighting!$A$7:$C$27,3,FALSE)</f>
        <v>0</v>
      </c>
      <c r="K54" s="44">
        <f>Composite!J138*VLOOKUP($A54,weighting!$A$7:$C$27,3,FALSE)</f>
        <v>0</v>
      </c>
      <c r="L54" s="24">
        <f>Composite!K138</f>
        <v>0</v>
      </c>
      <c r="M54" s="44">
        <f>Composite!L138*VLOOKUP($A54,weighting!$A$7:$C$27,3,FALSE)</f>
        <v>0</v>
      </c>
      <c r="N54" s="24">
        <f>Composite!M138</f>
        <v>0</v>
      </c>
      <c r="O54" s="44">
        <f>Composite!N138*VLOOKUP($A54,weighting!$A$7:$C$27,3,FALSE)</f>
        <v>0</v>
      </c>
      <c r="P54" s="24">
        <f>Composite!O138</f>
        <v>0</v>
      </c>
      <c r="Q54" s="44">
        <f>Composite!P138*VLOOKUP($A54,weighting!$A$7:$C$27,3,FALSE)</f>
        <v>0</v>
      </c>
      <c r="R54" s="44">
        <f>Composite!Q138</f>
        <v>0</v>
      </c>
    </row>
    <row r="55" spans="1:18" ht="25.5">
      <c r="A55" t="str">
        <f>Composite!A139</f>
        <v>Heating Zone 1 - Cooling Zone 2</v>
      </c>
      <c r="C55" s="24" t="str">
        <f>IF(LEFT(Composite!B139,4)="Exis",LEFT(Composite!B139,FIND("- He",Composite!B139)-2),LEFT(Composite!B139,FIND("HZ",Composite!B139)-2))</f>
        <v>Existing Single Family Home HVAC Upgrade - Central Heat Pump Upgrade to Variable Capacity Central Heat Pump</v>
      </c>
      <c r="D55" s="24" t="str">
        <f>Composite!C139</f>
        <v>Cooling Savings</v>
      </c>
      <c r="E55" s="44">
        <f>Composite!D139*VLOOKUP($A55,weighting!$A$7:$C$27,3,FALSE)</f>
        <v>82.719784819957965</v>
      </c>
      <c r="F55" s="24">
        <f>Composite!E139</f>
        <v>15</v>
      </c>
      <c r="G55" s="44">
        <f>Composite!F139*VLOOKUP($A55,weighting!$A$7:$C$27,3,FALSE)</f>
        <v>0</v>
      </c>
      <c r="H55" s="44">
        <f>Composite!G139</f>
        <v>0</v>
      </c>
      <c r="I55" s="24" t="str">
        <f>Composite!H139</f>
        <v>ResCACZ2</v>
      </c>
      <c r="J55" s="44">
        <f>Composite!I139*VLOOKUP($A55,weighting!$A$7:$C$27,3,FALSE)</f>
        <v>0</v>
      </c>
      <c r="K55" s="44">
        <f>Composite!J139*VLOOKUP($A55,weighting!$A$7:$C$27,3,FALSE)</f>
        <v>0</v>
      </c>
      <c r="L55" s="24">
        <f>Composite!K139</f>
        <v>0</v>
      </c>
      <c r="M55" s="44">
        <f>Composite!L139*VLOOKUP($A55,weighting!$A$7:$C$27,3,FALSE)</f>
        <v>0</v>
      </c>
      <c r="N55" s="24">
        <f>Composite!M139</f>
        <v>0</v>
      </c>
      <c r="O55" s="44">
        <f>Composite!N139*VLOOKUP($A55,weighting!$A$7:$C$27,3,FALSE)</f>
        <v>0</v>
      </c>
      <c r="P55" s="24">
        <f>Composite!O139</f>
        <v>0</v>
      </c>
      <c r="Q55" s="44">
        <f>Composite!P139*VLOOKUP($A55,weighting!$A$7:$C$27,3,FALSE)</f>
        <v>0</v>
      </c>
      <c r="R55" s="44">
        <f>Composite!Q139</f>
        <v>0</v>
      </c>
    </row>
    <row r="56" spans="1:18" ht="25.5">
      <c r="A56" t="str">
        <f>Composite!A140</f>
        <v>Heating Zone 1 - Cooling Zone 3</v>
      </c>
      <c r="C56" s="24" t="str">
        <f>IF(LEFT(Composite!B140,4)="Exis",LEFT(Composite!B140,FIND("- He",Composite!B140)-2),LEFT(Composite!B140,FIND("HZ",Composite!B140)-2))</f>
        <v>Existing Single Family Home HVAC Upgrade - Central Heat Pump Upgrade to Variable Capacity Central Heat Pump</v>
      </c>
      <c r="D56" s="24" t="str">
        <f>Composite!C140</f>
        <v>Cooling Savings</v>
      </c>
      <c r="E56" s="44">
        <f>Composite!D140*VLOOKUP($A56,weighting!$A$7:$C$27,3,FALSE)</f>
        <v>109.643140898444</v>
      </c>
      <c r="F56" s="24">
        <f>Composite!E140</f>
        <v>15</v>
      </c>
      <c r="G56" s="44">
        <f>Composite!F140*VLOOKUP($A56,weighting!$A$7:$C$27,3,FALSE)</f>
        <v>0</v>
      </c>
      <c r="H56" s="44">
        <f>Composite!G140</f>
        <v>0</v>
      </c>
      <c r="I56" s="24" t="str">
        <f>Composite!H140</f>
        <v>ResCACZ3</v>
      </c>
      <c r="J56" s="44">
        <f>Composite!I140*VLOOKUP($A56,weighting!$A$7:$C$27,3,FALSE)</f>
        <v>0</v>
      </c>
      <c r="K56" s="44">
        <f>Composite!J140*VLOOKUP($A56,weighting!$A$7:$C$27,3,FALSE)</f>
        <v>0</v>
      </c>
      <c r="L56" s="24">
        <f>Composite!K140</f>
        <v>0</v>
      </c>
      <c r="M56" s="44">
        <f>Composite!L140*VLOOKUP($A56,weighting!$A$7:$C$27,3,FALSE)</f>
        <v>0</v>
      </c>
      <c r="N56" s="24">
        <f>Composite!M140</f>
        <v>0</v>
      </c>
      <c r="O56" s="44">
        <f>Composite!N140*VLOOKUP($A56,weighting!$A$7:$C$27,3,FALSE)</f>
        <v>0</v>
      </c>
      <c r="P56" s="24">
        <f>Composite!O140</f>
        <v>0</v>
      </c>
      <c r="Q56" s="44">
        <f>Composite!P140*VLOOKUP($A56,weighting!$A$7:$C$27,3,FALSE)</f>
        <v>0</v>
      </c>
      <c r="R56" s="44">
        <f>Composite!Q140</f>
        <v>0</v>
      </c>
    </row>
    <row r="57" spans="1:18" ht="25.5">
      <c r="A57" t="str">
        <f>Composite!A141</f>
        <v>Heating Zone 2 - Cooling Zone 1</v>
      </c>
      <c r="C57" s="24" t="str">
        <f>IF(LEFT(Composite!B141,4)="Exis",LEFT(Composite!B141,FIND("- He",Composite!B141)-2),LEFT(Composite!B141,FIND("HZ",Composite!B141)-2))</f>
        <v>Existing Single Family Home HVAC Upgrade - Central Heat Pump Upgrade to Variable Capacity Central Heat Pump</v>
      </c>
      <c r="D57" s="24" t="str">
        <f>Composite!C141</f>
        <v>Cooling Savings</v>
      </c>
      <c r="E57" s="44">
        <f>Composite!D141*VLOOKUP($A57,weighting!$A$7:$C$27,3,FALSE)</f>
        <v>27.388444775247262</v>
      </c>
      <c r="F57" s="24">
        <f>Composite!E141</f>
        <v>15</v>
      </c>
      <c r="G57" s="44">
        <f>Composite!F141*VLOOKUP($A57,weighting!$A$7:$C$27,3,FALSE)</f>
        <v>0</v>
      </c>
      <c r="H57" s="44">
        <f>Composite!G141</f>
        <v>0</v>
      </c>
      <c r="I57" s="24" t="str">
        <f>Composite!H141</f>
        <v>ResCACZ1</v>
      </c>
      <c r="J57" s="44">
        <f>Composite!I141*VLOOKUP($A57,weighting!$A$7:$C$27,3,FALSE)</f>
        <v>0</v>
      </c>
      <c r="K57" s="44">
        <f>Composite!J141*VLOOKUP($A57,weighting!$A$7:$C$27,3,FALSE)</f>
        <v>0</v>
      </c>
      <c r="L57" s="24">
        <f>Composite!K141</f>
        <v>0</v>
      </c>
      <c r="M57" s="44">
        <f>Composite!L141*VLOOKUP($A57,weighting!$A$7:$C$27,3,FALSE)</f>
        <v>0</v>
      </c>
      <c r="N57" s="24">
        <f>Composite!M141</f>
        <v>0</v>
      </c>
      <c r="O57" s="44">
        <f>Composite!N141*VLOOKUP($A57,weighting!$A$7:$C$27,3,FALSE)</f>
        <v>0</v>
      </c>
      <c r="P57" s="24">
        <f>Composite!O141</f>
        <v>0</v>
      </c>
      <c r="Q57" s="44">
        <f>Composite!P141*VLOOKUP($A57,weighting!$A$7:$C$27,3,FALSE)</f>
        <v>0</v>
      </c>
      <c r="R57" s="44">
        <f>Composite!Q141</f>
        <v>0</v>
      </c>
    </row>
    <row r="58" spans="1:18" ht="25.5">
      <c r="A58" t="str">
        <f>Composite!A142</f>
        <v>Heating Zone 2 - Cooling Zone 2</v>
      </c>
      <c r="C58" s="24" t="str">
        <f>IF(LEFT(Composite!B142,4)="Exis",LEFT(Composite!B142,FIND("- He",Composite!B142)-2),LEFT(Composite!B142,FIND("HZ",Composite!B142)-2))</f>
        <v>Existing Single Family Home HVAC Upgrade - Central Heat Pump Upgrade to Variable Capacity Central Heat Pump</v>
      </c>
      <c r="D58" s="24" t="str">
        <f>Composite!C142</f>
        <v>Cooling Savings</v>
      </c>
      <c r="E58" s="44">
        <f>Composite!D142*VLOOKUP($A58,weighting!$A$7:$C$27,3,FALSE)</f>
        <v>117.87516580656748</v>
      </c>
      <c r="F58" s="24">
        <f>Composite!E142</f>
        <v>15</v>
      </c>
      <c r="G58" s="44">
        <f>Composite!F142*VLOOKUP($A58,weighting!$A$7:$C$27,3,FALSE)</f>
        <v>0</v>
      </c>
      <c r="H58" s="44">
        <f>Composite!G142</f>
        <v>0</v>
      </c>
      <c r="I58" s="24" t="str">
        <f>Composite!H142</f>
        <v>ResCACZ2</v>
      </c>
      <c r="J58" s="44">
        <f>Composite!I142*VLOOKUP($A58,weighting!$A$7:$C$27,3,FALSE)</f>
        <v>0</v>
      </c>
      <c r="K58" s="44">
        <f>Composite!J142*VLOOKUP($A58,weighting!$A$7:$C$27,3,FALSE)</f>
        <v>0</v>
      </c>
      <c r="L58" s="24">
        <f>Composite!K142</f>
        <v>0</v>
      </c>
      <c r="M58" s="44">
        <f>Composite!L142*VLOOKUP($A58,weighting!$A$7:$C$27,3,FALSE)</f>
        <v>0</v>
      </c>
      <c r="N58" s="24">
        <f>Composite!M142</f>
        <v>0</v>
      </c>
      <c r="O58" s="44">
        <f>Composite!N142*VLOOKUP($A58,weighting!$A$7:$C$27,3,FALSE)</f>
        <v>0</v>
      </c>
      <c r="P58" s="24">
        <f>Composite!O142</f>
        <v>0</v>
      </c>
      <c r="Q58" s="44">
        <f>Composite!P142*VLOOKUP($A58,weighting!$A$7:$C$27,3,FALSE)</f>
        <v>0</v>
      </c>
      <c r="R58" s="44">
        <f>Composite!Q142</f>
        <v>0</v>
      </c>
    </row>
    <row r="59" spans="1:18" ht="25.5">
      <c r="A59" t="str">
        <f>Composite!A143</f>
        <v>Heating Zone 2 - Cooling Zone 3</v>
      </c>
      <c r="C59" s="24" t="str">
        <f>IF(LEFT(Composite!B143,4)="Exis",LEFT(Composite!B143,FIND("- He",Composite!B143)-2),LEFT(Composite!B143,FIND("HZ",Composite!B143)-2))</f>
        <v>Existing Single Family Home HVAC Upgrade - Central Heat Pump Upgrade to Variable Capacity Central Heat Pump</v>
      </c>
      <c r="D59" s="24" t="str">
        <f>Composite!C143</f>
        <v>Cooling Savings</v>
      </c>
      <c r="E59" s="44">
        <f>Composite!D143*VLOOKUP($A59,weighting!$A$7:$C$27,3,FALSE)</f>
        <v>13.564119482003642</v>
      </c>
      <c r="F59" s="24">
        <f>Composite!E143</f>
        <v>15</v>
      </c>
      <c r="G59" s="44">
        <f>Composite!F143*VLOOKUP($A59,weighting!$A$7:$C$27,3,FALSE)</f>
        <v>0</v>
      </c>
      <c r="H59" s="44">
        <f>Composite!G143</f>
        <v>0</v>
      </c>
      <c r="I59" s="24" t="str">
        <f>Composite!H143</f>
        <v>ResCACZ3</v>
      </c>
      <c r="J59" s="44">
        <f>Composite!I143*VLOOKUP($A59,weighting!$A$7:$C$27,3,FALSE)</f>
        <v>0</v>
      </c>
      <c r="K59" s="44">
        <f>Composite!J143*VLOOKUP($A59,weighting!$A$7:$C$27,3,FALSE)</f>
        <v>0</v>
      </c>
      <c r="L59" s="24">
        <f>Composite!K143</f>
        <v>0</v>
      </c>
      <c r="M59" s="44">
        <f>Composite!L143*VLOOKUP($A59,weighting!$A$7:$C$27,3,FALSE)</f>
        <v>0</v>
      </c>
      <c r="N59" s="24">
        <f>Composite!M143</f>
        <v>0</v>
      </c>
      <c r="O59" s="44">
        <f>Composite!N143*VLOOKUP($A59,weighting!$A$7:$C$27,3,FALSE)</f>
        <v>0</v>
      </c>
      <c r="P59" s="24">
        <f>Composite!O143</f>
        <v>0</v>
      </c>
      <c r="Q59" s="44">
        <f>Composite!P143*VLOOKUP($A59,weighting!$A$7:$C$27,3,FALSE)</f>
        <v>0</v>
      </c>
      <c r="R59" s="44">
        <f>Composite!Q143</f>
        <v>0</v>
      </c>
    </row>
    <row r="60" spans="1:18" ht="25.5">
      <c r="A60" t="str">
        <f>Composite!A144</f>
        <v>Heating Zone 3 - Cooling Zone 1</v>
      </c>
      <c r="C60" s="24" t="str">
        <f>IF(LEFT(Composite!B144,4)="Exis",LEFT(Composite!B144,FIND("- He",Composite!B144)-2),LEFT(Composite!B144,FIND("HZ",Composite!B144)-2))</f>
        <v>Existing Single Family Home HVAC Upgrade - Central Heat Pump Upgrade to Variable Capacity Central Heat Pump</v>
      </c>
      <c r="D60" s="24" t="str">
        <f>Composite!C144</f>
        <v>Cooling Savings</v>
      </c>
      <c r="E60" s="44">
        <f>Composite!D144*VLOOKUP($A60,weighting!$A$7:$C$27,3,FALSE)</f>
        <v>36.258459637467951</v>
      </c>
      <c r="F60" s="24">
        <f>Composite!E144</f>
        <v>15</v>
      </c>
      <c r="G60" s="44">
        <f>Composite!F144*VLOOKUP($A60,weighting!$A$7:$C$27,3,FALSE)</f>
        <v>0</v>
      </c>
      <c r="H60" s="44">
        <f>Composite!G144</f>
        <v>0</v>
      </c>
      <c r="I60" s="24" t="str">
        <f>Composite!H144</f>
        <v>ResCACZ1</v>
      </c>
      <c r="J60" s="44">
        <f>Composite!I144*VLOOKUP($A60,weighting!$A$7:$C$27,3,FALSE)</f>
        <v>0</v>
      </c>
      <c r="K60" s="44">
        <f>Composite!J144*VLOOKUP($A60,weighting!$A$7:$C$27,3,FALSE)</f>
        <v>0</v>
      </c>
      <c r="L60" s="24">
        <f>Composite!K144</f>
        <v>0</v>
      </c>
      <c r="M60" s="44">
        <f>Composite!L144*VLOOKUP($A60,weighting!$A$7:$C$27,3,FALSE)</f>
        <v>0</v>
      </c>
      <c r="N60" s="24">
        <f>Composite!M144</f>
        <v>0</v>
      </c>
      <c r="O60" s="44">
        <f>Composite!N144*VLOOKUP($A60,weighting!$A$7:$C$27,3,FALSE)</f>
        <v>0</v>
      </c>
      <c r="P60" s="24">
        <f>Composite!O144</f>
        <v>0</v>
      </c>
      <c r="Q60" s="44">
        <f>Composite!P144*VLOOKUP($A60,weighting!$A$7:$C$27,3,FALSE)</f>
        <v>0</v>
      </c>
      <c r="R60" s="44">
        <f>Composite!Q144</f>
        <v>0</v>
      </c>
    </row>
    <row r="61" spans="1:18" ht="25.5">
      <c r="A61" t="str">
        <f>Composite!A145</f>
        <v>Heating Zone 3 - Cooling Zone 2</v>
      </c>
      <c r="C61" s="24" t="str">
        <f>IF(LEFT(Composite!B145,4)="Exis",LEFT(Composite!B145,FIND("- He",Composite!B145)-2),LEFT(Composite!B145,FIND("HZ",Composite!B145)-2))</f>
        <v>Existing Single Family Home HVAC Upgrade - Central Heat Pump Upgrade to Variable Capacity Central Heat Pump</v>
      </c>
      <c r="D61" s="24" t="str">
        <f>Composite!C145</f>
        <v>Cooling Savings</v>
      </c>
      <c r="E61" s="44">
        <f>Composite!D145*VLOOKUP($A61,weighting!$A$7:$C$27,3,FALSE)</f>
        <v>22.169743277384839</v>
      </c>
      <c r="F61" s="24">
        <f>Composite!E145</f>
        <v>15</v>
      </c>
      <c r="G61" s="44">
        <f>Composite!F145*VLOOKUP($A61,weighting!$A$7:$C$27,3,FALSE)</f>
        <v>0</v>
      </c>
      <c r="H61" s="44">
        <f>Composite!G145</f>
        <v>0</v>
      </c>
      <c r="I61" s="24" t="str">
        <f>Composite!H145</f>
        <v>ResCACZ2</v>
      </c>
      <c r="J61" s="44">
        <f>Composite!I145*VLOOKUP($A61,weighting!$A$7:$C$27,3,FALSE)</f>
        <v>0</v>
      </c>
      <c r="K61" s="44">
        <f>Composite!J145*VLOOKUP($A61,weighting!$A$7:$C$27,3,FALSE)</f>
        <v>0</v>
      </c>
      <c r="L61" s="24">
        <f>Composite!K145</f>
        <v>0</v>
      </c>
      <c r="M61" s="44">
        <f>Composite!L145*VLOOKUP($A61,weighting!$A$7:$C$27,3,FALSE)</f>
        <v>0</v>
      </c>
      <c r="N61" s="24">
        <f>Composite!M145</f>
        <v>0</v>
      </c>
      <c r="O61" s="44">
        <f>Composite!N145*VLOOKUP($A61,weighting!$A$7:$C$27,3,FALSE)</f>
        <v>0</v>
      </c>
      <c r="P61" s="24">
        <f>Composite!O145</f>
        <v>0</v>
      </c>
      <c r="Q61" s="44">
        <f>Composite!P145*VLOOKUP($A61,weighting!$A$7:$C$27,3,FALSE)</f>
        <v>0</v>
      </c>
      <c r="R61" s="44">
        <f>Composite!Q145</f>
        <v>0</v>
      </c>
    </row>
    <row r="62" spans="1:18" ht="25.5">
      <c r="A62" t="str">
        <f>Composite!A146</f>
        <v>Heating Zone 3 - Cooling Zone 3</v>
      </c>
      <c r="C62" s="24" t="str">
        <f>IF(LEFT(Composite!B146,4)="Exis",LEFT(Composite!B146,FIND("- He",Composite!B146)-2),LEFT(Composite!B146,FIND("HZ",Composite!B146)-2))</f>
        <v>Existing Single Family Home HVAC Upgrade - Central Heat Pump Upgrade to Variable Capacity Central Heat Pump</v>
      </c>
      <c r="D62" s="24" t="str">
        <f>Composite!C146</f>
        <v>Cooling Savings</v>
      </c>
      <c r="E62" s="44">
        <f>Composite!D146*VLOOKUP($A62,weighting!$A$7:$C$27,3,FALSE)</f>
        <v>0</v>
      </c>
      <c r="F62" s="24">
        <f>Composite!E146</f>
        <v>15</v>
      </c>
      <c r="G62" s="44">
        <f>Composite!F146*VLOOKUP($A62,weighting!$A$7:$C$27,3,FALSE)</f>
        <v>0</v>
      </c>
      <c r="H62" s="44">
        <f>Composite!G146</f>
        <v>0</v>
      </c>
      <c r="I62" s="24" t="str">
        <f>Composite!H146</f>
        <v>R-All-HVAC-DHP_cool-All-All-N</v>
      </c>
      <c r="J62" s="44">
        <f>Composite!I146*VLOOKUP($A62,weighting!$A$7:$C$27,3,FALSE)</f>
        <v>0</v>
      </c>
      <c r="K62" s="44">
        <f>Composite!J146*VLOOKUP($A62,weighting!$A$7:$C$27,3,FALSE)</f>
        <v>0</v>
      </c>
      <c r="L62" s="24">
        <f>Composite!K146</f>
        <v>0</v>
      </c>
      <c r="M62" s="44">
        <f>Composite!L146*VLOOKUP($A62,weighting!$A$7:$C$27,3,FALSE)</f>
        <v>0</v>
      </c>
      <c r="N62" s="24">
        <f>Composite!M146</f>
        <v>0</v>
      </c>
      <c r="O62" s="44">
        <f>Composite!N146*VLOOKUP($A62,weighting!$A$7:$C$27,3,FALSE)</f>
        <v>0</v>
      </c>
      <c r="P62" s="24">
        <f>Composite!O146</f>
        <v>0</v>
      </c>
      <c r="Q62" s="44">
        <f>Composite!P146*VLOOKUP($A62,weighting!$A$7:$C$27,3,FALSE)</f>
        <v>0</v>
      </c>
      <c r="R62" s="44">
        <f>Composite!Q146</f>
        <v>0</v>
      </c>
    </row>
    <row r="63" spans="1:18">
      <c r="A63" t="str">
        <f>Composite!A147</f>
        <v>HZ1CZ1</v>
      </c>
      <c r="C63" s="24" t="str">
        <f>IF(LEFT(Composite!B147,4)="Exis",LEFT(Composite!B147,FIND("- He",Composite!B147)-2),LEFT(Composite!B147,FIND("HZ",Composite!B147)-2))</f>
        <v>Zonal to DHP No Screen</v>
      </c>
      <c r="D63" s="24" t="str">
        <f>Composite!C147</f>
        <v>Cooling Savings</v>
      </c>
      <c r="E63" s="44">
        <f>Composite!D147*VLOOKUP($A63,weighting!$A$7:$C$27,3,FALSE)</f>
        <v>-32.124417637256897</v>
      </c>
      <c r="F63" s="24">
        <f>Composite!E147</f>
        <v>15</v>
      </c>
      <c r="G63" s="44">
        <f>Composite!F147*VLOOKUP($A63,weighting!$A$7:$C$27,3,FALSE)</f>
        <v>0</v>
      </c>
      <c r="H63" s="44">
        <f>Composite!G147</f>
        <v>0</v>
      </c>
      <c r="I63" s="24" t="str">
        <f>Composite!H147</f>
        <v>R-All-HVAC-DHP_cool-All-All-N</v>
      </c>
      <c r="J63" s="44">
        <f>Composite!I147*VLOOKUP($A63,weighting!$A$7:$C$27,3,FALSE)</f>
        <v>4.2672027323999426</v>
      </c>
      <c r="K63" s="44">
        <f>Composite!J147*VLOOKUP($A63,weighting!$A$7:$C$27,3,FALSE)</f>
        <v>0</v>
      </c>
      <c r="L63" s="24">
        <f>Composite!K147</f>
        <v>0</v>
      </c>
      <c r="M63" s="44">
        <f>Composite!L147*VLOOKUP($A63,weighting!$A$7:$C$27,3,FALSE)</f>
        <v>0</v>
      </c>
      <c r="N63" s="24">
        <f>Composite!M147</f>
        <v>0</v>
      </c>
      <c r="O63" s="44">
        <f>Composite!N147*VLOOKUP($A63,weighting!$A$7:$C$27,3,FALSE)</f>
        <v>0</v>
      </c>
      <c r="P63" s="24">
        <f>Composite!O147</f>
        <v>0</v>
      </c>
      <c r="Q63" s="44">
        <f>Composite!P147*VLOOKUP($A63,weighting!$A$7:$C$27,3,FALSE)</f>
        <v>0</v>
      </c>
      <c r="R63" s="44">
        <f>Composite!Q147</f>
        <v>0</v>
      </c>
    </row>
    <row r="64" spans="1:18">
      <c r="A64" t="str">
        <f>Composite!A148</f>
        <v>HZ2CZ1</v>
      </c>
      <c r="C64" s="24" t="str">
        <f>IF(LEFT(Composite!B148,4)="Exis",LEFT(Composite!B148,FIND("- He",Composite!B148)-2),LEFT(Composite!B148,FIND("HZ",Composite!B148)-2))</f>
        <v>Zonal to DHP No Screen</v>
      </c>
      <c r="D64" s="24" t="str">
        <f>Composite!C148</f>
        <v>Cooling Savings</v>
      </c>
      <c r="E64" s="44">
        <f>Composite!D148*VLOOKUP($A64,weighting!$A$7:$C$27,3,FALSE)</f>
        <v>-17.938186330827033</v>
      </c>
      <c r="F64" s="24">
        <f>Composite!E148</f>
        <v>15</v>
      </c>
      <c r="G64" s="44">
        <f>Composite!F148*VLOOKUP($A64,weighting!$A$7:$C$27,3,FALSE)</f>
        <v>0</v>
      </c>
      <c r="H64" s="44">
        <f>Composite!G148</f>
        <v>0</v>
      </c>
      <c r="I64" s="24" t="str">
        <f>Composite!H148</f>
        <v>R-All-HVAC-DHP_cool-All-All-N</v>
      </c>
      <c r="J64" s="44">
        <f>Composite!I148*VLOOKUP($A64,weighting!$A$7:$C$27,3,FALSE)</f>
        <v>2.3827942529432469</v>
      </c>
      <c r="K64" s="44">
        <f>Composite!J148*VLOOKUP($A64,weighting!$A$7:$C$27,3,FALSE)</f>
        <v>0</v>
      </c>
      <c r="L64" s="24">
        <f>Composite!K148</f>
        <v>0</v>
      </c>
      <c r="M64" s="44">
        <f>Composite!L148*VLOOKUP($A64,weighting!$A$7:$C$27,3,FALSE)</f>
        <v>0</v>
      </c>
      <c r="N64" s="24">
        <f>Composite!M148</f>
        <v>0</v>
      </c>
      <c r="O64" s="44">
        <f>Composite!N148*VLOOKUP($A64,weighting!$A$7:$C$27,3,FALSE)</f>
        <v>0</v>
      </c>
      <c r="P64" s="24">
        <f>Composite!O148</f>
        <v>0</v>
      </c>
      <c r="Q64" s="44">
        <f>Composite!P148*VLOOKUP($A64,weighting!$A$7:$C$27,3,FALSE)</f>
        <v>0</v>
      </c>
      <c r="R64" s="44">
        <f>Composite!Q148</f>
        <v>0</v>
      </c>
    </row>
    <row r="65" spans="1:19">
      <c r="A65" t="str">
        <f>Composite!A149</f>
        <v>HZ3CZ1</v>
      </c>
      <c r="C65" s="24" t="str">
        <f>IF(LEFT(Composite!B149,4)="Exis",LEFT(Composite!B149,FIND("- He",Composite!B149)-2),LEFT(Composite!B149,FIND("HZ",Composite!B149)-2))</f>
        <v>Zonal to DHP No Screen</v>
      </c>
      <c r="D65" s="24" t="str">
        <f>Composite!C149</f>
        <v>Cooling Savings</v>
      </c>
      <c r="E65" s="44">
        <f>Composite!D149*VLOOKUP($A65,weighting!$A$7:$C$27,3,FALSE)</f>
        <v>-14.186231306429866</v>
      </c>
      <c r="F65" s="24">
        <f>Composite!E149</f>
        <v>15</v>
      </c>
      <c r="G65" s="44">
        <f>Composite!F149*VLOOKUP($A65,weighting!$A$7:$C$27,3,FALSE)</f>
        <v>0</v>
      </c>
      <c r="H65" s="44">
        <f>Composite!G149</f>
        <v>0</v>
      </c>
      <c r="I65" s="24" t="str">
        <f>Composite!H149</f>
        <v>R-All-HVAC-DHP_cool-All-All-N</v>
      </c>
      <c r="J65" s="44">
        <f>Composite!I149*VLOOKUP($A65,weighting!$A$7:$C$27,3,FALSE)</f>
        <v>1.884408479456696</v>
      </c>
      <c r="K65" s="44">
        <f>Composite!J149*VLOOKUP($A65,weighting!$A$7:$C$27,3,FALSE)</f>
        <v>0</v>
      </c>
      <c r="L65" s="24">
        <f>Composite!K149</f>
        <v>0</v>
      </c>
      <c r="M65" s="44">
        <f>Composite!L149*VLOOKUP($A65,weighting!$A$7:$C$27,3,FALSE)</f>
        <v>0</v>
      </c>
      <c r="N65" s="24">
        <f>Composite!M149</f>
        <v>0</v>
      </c>
      <c r="O65" s="44">
        <f>Composite!N149*VLOOKUP($A65,weighting!$A$7:$C$27,3,FALSE)</f>
        <v>0</v>
      </c>
      <c r="P65" s="24">
        <f>Composite!O149</f>
        <v>0</v>
      </c>
      <c r="Q65" s="44">
        <f>Composite!P149*VLOOKUP($A65,weighting!$A$7:$C$27,3,FALSE)</f>
        <v>0</v>
      </c>
      <c r="R65" s="44">
        <f>Composite!Q149</f>
        <v>0</v>
      </c>
    </row>
    <row r="66" spans="1:19">
      <c r="A66" t="str">
        <f>Composite!A150</f>
        <v>HZ1CZ2</v>
      </c>
      <c r="C66" s="24" t="str">
        <f>IF(LEFT(Composite!B150,4)="Exis",LEFT(Composite!B150,FIND("- He",Composite!B150)-2),LEFT(Composite!B150,FIND("HZ",Composite!B150)-2))</f>
        <v>Zonal to DHP No Screen</v>
      </c>
      <c r="D66" s="24" t="str">
        <f>Composite!C150</f>
        <v>Cooling Savings</v>
      </c>
      <c r="E66" s="44">
        <f>Composite!D150*VLOOKUP($A66,weighting!$A$7:$C$27,3,FALSE)</f>
        <v>50.450134378118292</v>
      </c>
      <c r="F66" s="24">
        <f>Composite!E150</f>
        <v>15</v>
      </c>
      <c r="G66" s="44">
        <f>Composite!F150*VLOOKUP($A66,weighting!$A$7:$C$27,3,FALSE)</f>
        <v>0</v>
      </c>
      <c r="H66" s="44">
        <f>Composite!G150</f>
        <v>0</v>
      </c>
      <c r="I66" s="24" t="str">
        <f>Composite!H150</f>
        <v>R-All-HVAC-DHP_cool-All-All-N</v>
      </c>
      <c r="J66" s="44">
        <f>Composite!I150*VLOOKUP($A66,weighting!$A$7:$C$27,3,FALSE)</f>
        <v>2.5016228192855006</v>
      </c>
      <c r="K66" s="44">
        <f>Composite!J150*VLOOKUP($A66,weighting!$A$7:$C$27,3,FALSE)</f>
        <v>0</v>
      </c>
      <c r="L66" s="24">
        <f>Composite!K150</f>
        <v>0</v>
      </c>
      <c r="M66" s="44">
        <f>Composite!L150*VLOOKUP($A66,weighting!$A$7:$C$27,3,FALSE)</f>
        <v>0</v>
      </c>
      <c r="N66" s="24">
        <f>Composite!M150</f>
        <v>0</v>
      </c>
      <c r="O66" s="44">
        <f>Composite!N150*VLOOKUP($A66,weighting!$A$7:$C$27,3,FALSE)</f>
        <v>0</v>
      </c>
      <c r="P66" s="24">
        <f>Composite!O150</f>
        <v>0</v>
      </c>
      <c r="Q66" s="44">
        <f>Composite!P150*VLOOKUP($A66,weighting!$A$7:$C$27,3,FALSE)</f>
        <v>0</v>
      </c>
      <c r="R66" s="44">
        <f>Composite!Q150</f>
        <v>0</v>
      </c>
    </row>
    <row r="67" spans="1:19">
      <c r="A67" t="str">
        <f>Composite!A151</f>
        <v>HZ2CZ2</v>
      </c>
      <c r="C67" s="24" t="str">
        <f>IF(LEFT(Composite!B151,4)="Exis",LEFT(Composite!B151,FIND("- He",Composite!B151)-2),LEFT(Composite!B151,FIND("HZ",Composite!B151)-2))</f>
        <v>Zonal to DHP No Screen</v>
      </c>
      <c r="D67" s="24" t="str">
        <f>Composite!C151</f>
        <v>Cooling Savings</v>
      </c>
      <c r="E67" s="44">
        <f>Composite!D151*VLOOKUP($A67,weighting!$A$7:$C$27,3,FALSE)</f>
        <v>93.288568572790524</v>
      </c>
      <c r="F67" s="24">
        <f>Composite!E151</f>
        <v>15</v>
      </c>
      <c r="G67" s="44">
        <f>Composite!F151*VLOOKUP($A67,weighting!$A$7:$C$27,3,FALSE)</f>
        <v>0</v>
      </c>
      <c r="H67" s="44">
        <f>Composite!G151</f>
        <v>0</v>
      </c>
      <c r="I67" s="24" t="str">
        <f>Composite!H151</f>
        <v>R-All-HVAC-DHP_cool-All-All-N</v>
      </c>
      <c r="J67" s="44">
        <f>Composite!I151*VLOOKUP($A67,weighting!$A$7:$C$27,3,FALSE)</f>
        <v>4.6258115027220548</v>
      </c>
      <c r="K67" s="44">
        <f>Composite!J151*VLOOKUP($A67,weighting!$A$7:$C$27,3,FALSE)</f>
        <v>0</v>
      </c>
      <c r="L67" s="24">
        <f>Composite!K151</f>
        <v>0</v>
      </c>
      <c r="M67" s="44">
        <f>Composite!L151*VLOOKUP($A67,weighting!$A$7:$C$27,3,FALSE)</f>
        <v>0</v>
      </c>
      <c r="N67" s="24">
        <f>Composite!M151</f>
        <v>0</v>
      </c>
      <c r="O67" s="44">
        <f>Composite!N151*VLOOKUP($A67,weighting!$A$7:$C$27,3,FALSE)</f>
        <v>0</v>
      </c>
      <c r="P67" s="24">
        <f>Composite!O151</f>
        <v>0</v>
      </c>
      <c r="Q67" s="44">
        <f>Composite!P151*VLOOKUP($A67,weighting!$A$7:$C$27,3,FALSE)</f>
        <v>0</v>
      </c>
      <c r="R67" s="44">
        <f>Composite!Q151</f>
        <v>0</v>
      </c>
    </row>
    <row r="68" spans="1:19">
      <c r="A68" t="str">
        <f>Composite!A152</f>
        <v>HZ3CZ2</v>
      </c>
      <c r="C68" s="24" t="str">
        <f>IF(LEFT(Composite!B152,4)="Exis",LEFT(Composite!B152,FIND("- He",Composite!B152)-2),LEFT(Composite!B152,FIND("HZ",Composite!B152)-2))</f>
        <v>Zonal to DHP No Screen</v>
      </c>
      <c r="D68" s="24" t="str">
        <f>Composite!C152</f>
        <v>Cooling Savings</v>
      </c>
      <c r="E68" s="44">
        <f>Composite!D152*VLOOKUP($A68,weighting!$A$7:$C$27,3,FALSE)</f>
        <v>6.4049265407455245</v>
      </c>
      <c r="F68" s="24">
        <f>Composite!E152</f>
        <v>15</v>
      </c>
      <c r="G68" s="44">
        <f>Composite!F152*VLOOKUP($A68,weighting!$A$7:$C$27,3,FALSE)</f>
        <v>0</v>
      </c>
      <c r="H68" s="44">
        <f>Composite!G152</f>
        <v>0</v>
      </c>
      <c r="I68" s="24" t="str">
        <f>Composite!H152</f>
        <v>R-All-HVAC-DHP_cool-All-All-N</v>
      </c>
      <c r="J68" s="44">
        <f>Composite!I152*VLOOKUP($A68,weighting!$A$7:$C$27,3,FALSE)</f>
        <v>0.31759499925387447</v>
      </c>
      <c r="K68" s="44">
        <f>Composite!J152*VLOOKUP($A68,weighting!$A$7:$C$27,3,FALSE)</f>
        <v>0</v>
      </c>
      <c r="L68" s="24">
        <f>Composite!K152</f>
        <v>0</v>
      </c>
      <c r="M68" s="44">
        <f>Composite!L152*VLOOKUP($A68,weighting!$A$7:$C$27,3,FALSE)</f>
        <v>0</v>
      </c>
      <c r="N68" s="24">
        <f>Composite!M152</f>
        <v>0</v>
      </c>
      <c r="O68" s="44">
        <f>Composite!N152*VLOOKUP($A68,weighting!$A$7:$C$27,3,FALSE)</f>
        <v>0</v>
      </c>
      <c r="P68" s="24">
        <f>Composite!O152</f>
        <v>0</v>
      </c>
      <c r="Q68" s="44">
        <f>Composite!P152*VLOOKUP($A68,weighting!$A$7:$C$27,3,FALSE)</f>
        <v>0</v>
      </c>
      <c r="R68" s="44">
        <f>Composite!Q152</f>
        <v>0</v>
      </c>
    </row>
    <row r="69" spans="1:19">
      <c r="A69" t="str">
        <f>Composite!A153</f>
        <v>HZ1CZ3</v>
      </c>
      <c r="C69" s="24" t="str">
        <f>IF(LEFT(Composite!B153,4)="Exis",LEFT(Composite!B153,FIND("- He",Composite!B153)-2),LEFT(Composite!B153,FIND("HZ",Composite!B153)-2))</f>
        <v>Zonal to DHP No Screen</v>
      </c>
      <c r="D69" s="24" t="str">
        <f>Composite!C153</f>
        <v>Cooling Savings</v>
      </c>
      <c r="E69" s="44">
        <f>Composite!D153*VLOOKUP($A69,weighting!$A$7:$C$27,3,FALSE)</f>
        <v>234.70874991451154</v>
      </c>
      <c r="F69" s="24">
        <f>Composite!E153</f>
        <v>15</v>
      </c>
      <c r="G69" s="44">
        <f>Composite!F153*VLOOKUP($A69,weighting!$A$7:$C$27,3,FALSE)</f>
        <v>0</v>
      </c>
      <c r="H69" s="44">
        <f>Composite!G153</f>
        <v>0</v>
      </c>
      <c r="I69" s="24" t="str">
        <f>Composite!H153</f>
        <v>R-All-HVAC-DHP_cool-All-All-N</v>
      </c>
      <c r="J69" s="44">
        <f>Composite!I153*VLOOKUP($A69,weighting!$A$7:$C$27,3,FALSE)</f>
        <v>0</v>
      </c>
      <c r="K69" s="44">
        <f>Composite!J153*VLOOKUP($A69,weighting!$A$7:$C$27,3,FALSE)</f>
        <v>0</v>
      </c>
      <c r="L69" s="24">
        <f>Composite!K153</f>
        <v>0</v>
      </c>
      <c r="M69" s="44">
        <f>Composite!L153*VLOOKUP($A69,weighting!$A$7:$C$27,3,FALSE)</f>
        <v>0</v>
      </c>
      <c r="N69" s="24">
        <f>Composite!M153</f>
        <v>0</v>
      </c>
      <c r="O69" s="44">
        <f>Composite!N153*VLOOKUP($A69,weighting!$A$7:$C$27,3,FALSE)</f>
        <v>0</v>
      </c>
      <c r="P69" s="24">
        <f>Composite!O153</f>
        <v>0</v>
      </c>
      <c r="Q69" s="44">
        <f>Composite!P153*VLOOKUP($A69,weighting!$A$7:$C$27,3,FALSE)</f>
        <v>0</v>
      </c>
      <c r="R69" s="44">
        <f>Composite!Q153</f>
        <v>0</v>
      </c>
    </row>
    <row r="70" spans="1:19">
      <c r="A70" t="str">
        <f>Composite!A154</f>
        <v>HZ2CZ3</v>
      </c>
      <c r="C70" s="24" t="str">
        <f>IF(LEFT(Composite!B154,4)="Exis",LEFT(Composite!B154,FIND("- He",Composite!B154)-2),LEFT(Composite!B154,FIND("HZ",Composite!B154)-2))</f>
        <v>Zonal to DHP No Screen</v>
      </c>
      <c r="D70" s="24" t="str">
        <f>Composite!C154</f>
        <v>Cooling Savings</v>
      </c>
      <c r="E70" s="44">
        <f>Composite!D154*VLOOKUP($A70,weighting!$A$7:$C$27,3,FALSE)</f>
        <v>61.658329121588693</v>
      </c>
      <c r="F70" s="24">
        <f>Composite!E154</f>
        <v>15</v>
      </c>
      <c r="G70" s="44">
        <f>Composite!F154*VLOOKUP($A70,weighting!$A$7:$C$27,3,FALSE)</f>
        <v>0</v>
      </c>
      <c r="H70" s="44">
        <f>Composite!G154</f>
        <v>0</v>
      </c>
      <c r="I70" s="24" t="str">
        <f>Composite!H154</f>
        <v>R-All-HVAC-DHP_cool-All-All-N</v>
      </c>
      <c r="J70" s="44">
        <f>Composite!I154*VLOOKUP($A70,weighting!$A$7:$C$27,3,FALSE)</f>
        <v>0</v>
      </c>
      <c r="K70" s="44">
        <f>Composite!J154*VLOOKUP($A70,weighting!$A$7:$C$27,3,FALSE)</f>
        <v>0</v>
      </c>
      <c r="L70" s="24">
        <f>Composite!K154</f>
        <v>0</v>
      </c>
      <c r="M70" s="44">
        <f>Composite!L154*VLOOKUP($A70,weighting!$A$7:$C$27,3,FALSE)</f>
        <v>0</v>
      </c>
      <c r="N70" s="24">
        <f>Composite!M154</f>
        <v>0</v>
      </c>
      <c r="O70" s="44">
        <f>Composite!N154*VLOOKUP($A70,weighting!$A$7:$C$27,3,FALSE)</f>
        <v>0</v>
      </c>
      <c r="P70" s="24">
        <f>Composite!O154</f>
        <v>0</v>
      </c>
      <c r="Q70" s="44">
        <f>Composite!P154*VLOOKUP($A70,weighting!$A$7:$C$27,3,FALSE)</f>
        <v>0</v>
      </c>
      <c r="R70" s="44">
        <f>Composite!Q154</f>
        <v>0</v>
      </c>
    </row>
    <row r="71" spans="1:19">
      <c r="A71" t="str">
        <f>Composite!A155</f>
        <v>HZ3CZ3</v>
      </c>
      <c r="C71" s="24" t="str">
        <f>IF(LEFT(Composite!B155,4)="Exis",LEFT(Composite!B155,FIND("- He",Composite!B155)-2),LEFT(Composite!B155,FIND("HZ",Composite!B155)-2))</f>
        <v>Zonal to DHP No Screen</v>
      </c>
      <c r="D71" s="24" t="str">
        <f>Composite!C155</f>
        <v>Cooling Savings</v>
      </c>
      <c r="E71" s="44">
        <f>Composite!D155*VLOOKUP($A71,weighting!$A$7:$C$27,3,FALSE)</f>
        <v>0</v>
      </c>
      <c r="F71" s="24">
        <f>Composite!E155</f>
        <v>15</v>
      </c>
      <c r="G71" s="44">
        <f>Composite!F155*VLOOKUP($A71,weighting!$A$7:$C$27,3,FALSE)</f>
        <v>0</v>
      </c>
      <c r="H71" s="44">
        <f>Composite!G155</f>
        <v>0</v>
      </c>
      <c r="I71" s="24" t="str">
        <f>Composite!H155</f>
        <v>R-All-HVAC-DHP_cool-All-All-N</v>
      </c>
      <c r="J71" s="44">
        <f>Composite!I155*VLOOKUP($A71,weighting!$A$7:$C$27,3,FALSE)</f>
        <v>0</v>
      </c>
      <c r="K71" s="44">
        <f>Composite!J155*VLOOKUP($A71,weighting!$A$7:$C$27,3,FALSE)</f>
        <v>0</v>
      </c>
      <c r="L71" s="24">
        <f>Composite!K155</f>
        <v>0</v>
      </c>
      <c r="M71" s="44">
        <f>Composite!L155*VLOOKUP($A71,weighting!$A$7:$C$27,3,FALSE)</f>
        <v>0</v>
      </c>
      <c r="N71" s="24">
        <f>Composite!M155</f>
        <v>0</v>
      </c>
      <c r="O71" s="44">
        <f>Composite!N155*VLOOKUP($A71,weighting!$A$7:$C$27,3,FALSE)</f>
        <v>0</v>
      </c>
      <c r="P71" s="24">
        <f>Composite!O155</f>
        <v>0</v>
      </c>
      <c r="Q71" s="44">
        <f>Composite!P155*VLOOKUP($A71,weighting!$A$7:$C$27,3,FALSE)</f>
        <v>0</v>
      </c>
      <c r="R71" s="44">
        <f>Composite!Q155</f>
        <v>0</v>
      </c>
    </row>
    <row r="72" spans="1:19">
      <c r="A72" t="str">
        <f>RIGHT(Raw!A122,6)</f>
        <v>HZ1CZ1</v>
      </c>
      <c r="B72" t="str">
        <f t="shared" ref="B72:B103" si="0">C72&amp;D72</f>
        <v>New SF HVAC Upgrade - Heat Pump Upgrade to 9.0 HSPF/14 SEERHeating Savings</v>
      </c>
      <c r="C72" s="24" t="str">
        <f>IF(LEFT(Raw!A122,8)="New SF H",LEFT(Raw!A122,FIND("HZ",Raw!A122)-4),LEFT(Raw!A122,FIND("HZ",Raw!A122)-2))</f>
        <v>New SF HVAC Upgrade - Heat Pump Upgrade to 9.0 HSPF/14 SEER</v>
      </c>
      <c r="D72" s="24" t="str">
        <f>Raw!B122</f>
        <v>Heating Savings</v>
      </c>
      <c r="E72" s="44">
        <f>Raw!C122</f>
        <v>134.5653139726399</v>
      </c>
      <c r="F72" s="44">
        <f>Raw!D122</f>
        <v>15</v>
      </c>
      <c r="G72" s="44">
        <f>Raw!E122</f>
        <v>80.823411921055197</v>
      </c>
      <c r="H72" s="44">
        <f>Raw!F122</f>
        <v>0</v>
      </c>
      <c r="I72" s="44" t="str">
        <f>Raw!G122</f>
        <v>ResSpHtHPZ1</v>
      </c>
      <c r="J72" s="44">
        <f>Raw!H122</f>
        <v>2.1502794320391199</v>
      </c>
      <c r="K72" s="44">
        <f>Raw!I122</f>
        <v>0</v>
      </c>
      <c r="L72" s="44">
        <f>Raw!J122</f>
        <v>0</v>
      </c>
      <c r="M72" s="44">
        <f>Raw!K122</f>
        <v>0</v>
      </c>
      <c r="N72" s="44">
        <f>Raw!L122</f>
        <v>0</v>
      </c>
      <c r="O72" s="44">
        <f>Raw!M122</f>
        <v>0</v>
      </c>
      <c r="P72" s="44">
        <f>Raw!N122</f>
        <v>0</v>
      </c>
      <c r="Q72" s="44">
        <f>Raw!O122</f>
        <v>0</v>
      </c>
      <c r="R72" s="44"/>
    </row>
    <row r="73" spans="1:19">
      <c r="A73" t="str">
        <f>RIGHT(Raw!A123,6)</f>
        <v>HZ1CZ2</v>
      </c>
      <c r="B73" t="str">
        <f t="shared" si="0"/>
        <v>New SF HVAC Upgrade - Heat Pump Upgrade to 9.0 HSPF/14 SEERHeating Savings</v>
      </c>
      <c r="C73" s="24" t="str">
        <f>IF(LEFT(Raw!A123,8)="New SF H",LEFT(Raw!A123,FIND("HZ",Raw!A123)-4),LEFT(Raw!A123,FIND("HZ",Raw!A123)-2))</f>
        <v>New SF HVAC Upgrade - Heat Pump Upgrade to 9.0 HSPF/14 SEER</v>
      </c>
      <c r="D73" s="24" t="str">
        <f>Raw!B123</f>
        <v>Heating Savings</v>
      </c>
      <c r="E73" s="44">
        <f>Raw!C123</f>
        <v>134.5653139726399</v>
      </c>
      <c r="F73" s="44">
        <f>Raw!D123</f>
        <v>15</v>
      </c>
      <c r="G73" s="44">
        <f>Raw!E123</f>
        <v>80.823411921055197</v>
      </c>
      <c r="H73" s="44">
        <f>Raw!F123</f>
        <v>0</v>
      </c>
      <c r="I73" s="44" t="str">
        <f>Raw!G123</f>
        <v>ResSpHtHPZ2</v>
      </c>
      <c r="J73" s="44">
        <f>Raw!H123</f>
        <v>2.1502794320391199</v>
      </c>
      <c r="K73" s="44">
        <f>Raw!I123</f>
        <v>0</v>
      </c>
      <c r="L73" s="44">
        <f>Raw!J123</f>
        <v>0</v>
      </c>
      <c r="M73" s="44">
        <f>Raw!K123</f>
        <v>0</v>
      </c>
      <c r="N73" s="44">
        <f>Raw!L123</f>
        <v>0</v>
      </c>
      <c r="O73" s="44">
        <f>Raw!M123</f>
        <v>0</v>
      </c>
      <c r="P73" s="44">
        <f>Raw!N123</f>
        <v>0</v>
      </c>
      <c r="Q73" s="44">
        <f>Raw!O75</f>
        <v>0</v>
      </c>
      <c r="R73" s="44"/>
    </row>
    <row r="74" spans="1:19">
      <c r="A74" t="str">
        <f>RIGHT(Raw!A124,6)</f>
        <v>HZ1CZ3</v>
      </c>
      <c r="B74" t="str">
        <f t="shared" si="0"/>
        <v>New SF HVAC Upgrade - Heat Pump Upgrade to 9.0 HSPF/14 SEERHeating Savings</v>
      </c>
      <c r="C74" s="24" t="str">
        <f>IF(LEFT(Raw!A124,8)="New SF H",LEFT(Raw!A124,FIND("HZ",Raw!A124)-4),LEFT(Raw!A124,FIND("HZ",Raw!A124)-2))</f>
        <v>New SF HVAC Upgrade - Heat Pump Upgrade to 9.0 HSPF/14 SEER</v>
      </c>
      <c r="D74" s="24" t="str">
        <f>Raw!B124</f>
        <v>Heating Savings</v>
      </c>
      <c r="E74" s="44">
        <f>Raw!C124</f>
        <v>134.5653139726399</v>
      </c>
      <c r="F74" s="44">
        <f>Raw!D124</f>
        <v>15</v>
      </c>
      <c r="G74" s="44">
        <f>Raw!E124</f>
        <v>80.823411921055197</v>
      </c>
      <c r="H74" s="44">
        <f>Raw!F124</f>
        <v>0</v>
      </c>
      <c r="I74" s="44" t="str">
        <f>Raw!G124</f>
        <v>ResSpHtHPZ3</v>
      </c>
      <c r="J74" s="44">
        <f>Raw!H124</f>
        <v>2.1502794320391199</v>
      </c>
      <c r="K74" s="44">
        <f>Raw!I124</f>
        <v>0</v>
      </c>
      <c r="L74" s="44">
        <f>Raw!J124</f>
        <v>0</v>
      </c>
      <c r="M74" s="44">
        <f>Raw!K124</f>
        <v>0</v>
      </c>
      <c r="N74" s="44">
        <f>Raw!L124</f>
        <v>0</v>
      </c>
      <c r="O74" s="44">
        <f>Raw!M124</f>
        <v>0</v>
      </c>
      <c r="P74" s="44">
        <f>Raw!N124</f>
        <v>0</v>
      </c>
      <c r="Q74" s="44">
        <f>Raw!O76</f>
        <v>0</v>
      </c>
      <c r="R74" s="44"/>
    </row>
    <row r="75" spans="1:19">
      <c r="A75" t="str">
        <f>RIGHT(Raw!A125,6)</f>
        <v>HZ2CZ1</v>
      </c>
      <c r="B75" t="str">
        <f t="shared" si="0"/>
        <v>New SF HVAC Upgrade - Heat Pump Upgrade to 9.0 HSPF/14 SEERHeating Savings</v>
      </c>
      <c r="C75" s="24" t="str">
        <f>IF(LEFT(Raw!A125,8)="New SF H",LEFT(Raw!A125,FIND("HZ",Raw!A125)-4),LEFT(Raw!A125,FIND("HZ",Raw!A125)-2))</f>
        <v>New SF HVAC Upgrade - Heat Pump Upgrade to 9.0 HSPF/14 SEER</v>
      </c>
      <c r="D75" s="24" t="str">
        <f>Raw!B125</f>
        <v>Heating Savings</v>
      </c>
      <c r="E75" s="44">
        <f>Raw!C125</f>
        <v>117.94453152744856</v>
      </c>
      <c r="F75" s="44">
        <f>Raw!D125</f>
        <v>15</v>
      </c>
      <c r="G75" s="44">
        <f>Raw!E125</f>
        <v>80.823411921055197</v>
      </c>
      <c r="H75" s="44">
        <f>Raw!F125</f>
        <v>0</v>
      </c>
      <c r="I75" s="44" t="str">
        <f>Raw!G125</f>
        <v>ResSpHtHPZ1</v>
      </c>
      <c r="J75" s="44">
        <f>Raw!H125</f>
        <v>1.4361330725895129</v>
      </c>
      <c r="K75" s="44">
        <f>Raw!I125</f>
        <v>0</v>
      </c>
      <c r="L75" s="44">
        <f>Raw!J125</f>
        <v>0</v>
      </c>
      <c r="M75" s="44">
        <f>Raw!K125</f>
        <v>0</v>
      </c>
      <c r="N75" s="44">
        <f>Raw!L125</f>
        <v>0</v>
      </c>
      <c r="O75" s="44">
        <f>Raw!M125</f>
        <v>0</v>
      </c>
      <c r="P75" s="44">
        <f>Raw!N125</f>
        <v>0</v>
      </c>
      <c r="Q75" s="44">
        <f>Raw!O77</f>
        <v>0</v>
      </c>
      <c r="R75" s="44"/>
      <c r="S75" s="41"/>
    </row>
    <row r="76" spans="1:19">
      <c r="A76" t="str">
        <f>RIGHT(Raw!A126,6)</f>
        <v>HZ2CZ2</v>
      </c>
      <c r="B76" t="str">
        <f t="shared" si="0"/>
        <v>New SF HVAC Upgrade - Heat Pump Upgrade to 9.0 HSPF/14 SEERHeating Savings</v>
      </c>
      <c r="C76" s="24" t="str">
        <f>IF(LEFT(Raw!A126,8)="New SF H",LEFT(Raw!A126,FIND("HZ",Raw!A126)-4),LEFT(Raw!A126,FIND("HZ",Raw!A126)-2))</f>
        <v>New SF HVAC Upgrade - Heat Pump Upgrade to 9.0 HSPF/14 SEER</v>
      </c>
      <c r="D76" s="24" t="str">
        <f>Raw!B126</f>
        <v>Heating Savings</v>
      </c>
      <c r="E76" s="44">
        <f>Raw!C126</f>
        <v>117.94453152744856</v>
      </c>
      <c r="F76" s="44">
        <f>Raw!D126</f>
        <v>15</v>
      </c>
      <c r="G76" s="44">
        <f>Raw!E126</f>
        <v>80.823411921055197</v>
      </c>
      <c r="H76" s="44">
        <f>Raw!F126</f>
        <v>0</v>
      </c>
      <c r="I76" s="44" t="str">
        <f>Raw!G126</f>
        <v>ResSpHtHPZ1</v>
      </c>
      <c r="J76" s="44">
        <f>Raw!H126</f>
        <v>1.4361330725895129</v>
      </c>
      <c r="K76" s="44">
        <f>Raw!I126</f>
        <v>0</v>
      </c>
      <c r="L76" s="44">
        <f>Raw!J126</f>
        <v>0</v>
      </c>
      <c r="M76" s="44">
        <f>Raw!K126</f>
        <v>0</v>
      </c>
      <c r="N76" s="44">
        <f>Raw!L126</f>
        <v>0</v>
      </c>
      <c r="O76" s="44">
        <f>Raw!M126</f>
        <v>0</v>
      </c>
      <c r="P76" s="44">
        <f>Raw!N126</f>
        <v>0</v>
      </c>
      <c r="Q76" s="44">
        <f>Raw!O78</f>
        <v>0</v>
      </c>
      <c r="R76" s="44"/>
      <c r="S76" s="41"/>
    </row>
    <row r="77" spans="1:19">
      <c r="A77" t="str">
        <f>RIGHT(Raw!A127,6)</f>
        <v>HZ2CZ3</v>
      </c>
      <c r="B77" t="str">
        <f t="shared" si="0"/>
        <v>New SF HVAC Upgrade - Heat Pump Upgrade to 9.0 HSPF/14 SEERHeating Savings</v>
      </c>
      <c r="C77" s="24" t="str">
        <f>IF(LEFT(Raw!A127,8)="New SF H",LEFT(Raw!A127,FIND("HZ",Raw!A127)-4),LEFT(Raw!A127,FIND("HZ",Raw!A127)-2))</f>
        <v>New SF HVAC Upgrade - Heat Pump Upgrade to 9.0 HSPF/14 SEER</v>
      </c>
      <c r="D77" s="24" t="str">
        <f>Raw!B127</f>
        <v>Heating Savings</v>
      </c>
      <c r="E77" s="44">
        <f>Raw!C127</f>
        <v>117.94453152744856</v>
      </c>
      <c r="F77" s="44">
        <f>Raw!D127</f>
        <v>15</v>
      </c>
      <c r="G77" s="44">
        <f>Raw!E127</f>
        <v>80.823411921055197</v>
      </c>
      <c r="H77" s="44">
        <f>Raw!F127</f>
        <v>0</v>
      </c>
      <c r="I77" s="44" t="str">
        <f>Raw!G127</f>
        <v>ResSpHtHPZ1</v>
      </c>
      <c r="J77" s="44">
        <f>Raw!H127</f>
        <v>1.4361330725895129</v>
      </c>
      <c r="K77" s="44">
        <f>Raw!I127</f>
        <v>0</v>
      </c>
      <c r="L77" s="44">
        <f>Raw!J127</f>
        <v>0</v>
      </c>
      <c r="M77" s="44">
        <f>Raw!K127</f>
        <v>0</v>
      </c>
      <c r="N77" s="44">
        <f>Raw!L127</f>
        <v>0</v>
      </c>
      <c r="O77" s="44">
        <f>Raw!M127</f>
        <v>0</v>
      </c>
      <c r="P77" s="44">
        <f>Raw!N127</f>
        <v>0</v>
      </c>
      <c r="Q77" s="44">
        <f>Raw!O79</f>
        <v>0</v>
      </c>
      <c r="R77" s="44"/>
      <c r="S77" s="41"/>
    </row>
    <row r="78" spans="1:19">
      <c r="A78" t="str">
        <f>RIGHT(Raw!A128,6)</f>
        <v>HZ3CZ1</v>
      </c>
      <c r="B78" t="str">
        <f t="shared" si="0"/>
        <v>New SF HVAC Upgrade - Heat Pump Upgrade to 9.0 HSPF/14 SEERHeating Savings</v>
      </c>
      <c r="C78" s="24" t="str">
        <f>IF(LEFT(Raw!A128,8)="New SF H",LEFT(Raw!A128,FIND("HZ",Raw!A128)-4),LEFT(Raw!A128,FIND("HZ",Raw!A128)-2))</f>
        <v>New SF HVAC Upgrade - Heat Pump Upgrade to 9.0 HSPF/14 SEER</v>
      </c>
      <c r="D78" s="24" t="str">
        <f>Raw!B128</f>
        <v>Heating Savings</v>
      </c>
      <c r="E78" s="44">
        <f>Raw!C128</f>
        <v>97.633593264434865</v>
      </c>
      <c r="F78" s="44">
        <f>Raw!D128</f>
        <v>15</v>
      </c>
      <c r="G78" s="44">
        <f>Raw!E128</f>
        <v>80.823411921055197</v>
      </c>
      <c r="H78" s="44">
        <f>Raw!F128</f>
        <v>0</v>
      </c>
      <c r="I78" s="44" t="str">
        <f>Raw!G128</f>
        <v>ResSpHtHPZ2</v>
      </c>
      <c r="J78" s="44">
        <f>Raw!H128</f>
        <v>1.1888201213481004</v>
      </c>
      <c r="K78" s="44">
        <f>Raw!I128</f>
        <v>0</v>
      </c>
      <c r="L78" s="44">
        <f>Raw!J128</f>
        <v>0</v>
      </c>
      <c r="M78" s="44">
        <f>Raw!K128</f>
        <v>0</v>
      </c>
      <c r="N78" s="44">
        <f>Raw!L128</f>
        <v>0</v>
      </c>
      <c r="O78" s="44">
        <f>Raw!M128</f>
        <v>0</v>
      </c>
      <c r="P78" s="44">
        <f>Raw!N128</f>
        <v>0</v>
      </c>
      <c r="Q78" s="44">
        <f>Raw!O80</f>
        <v>0</v>
      </c>
      <c r="R78" s="44"/>
      <c r="S78" s="41"/>
    </row>
    <row r="79" spans="1:19">
      <c r="A79" t="str">
        <f>RIGHT(Raw!A129,6)</f>
        <v>HZ3CZ2</v>
      </c>
      <c r="B79" t="str">
        <f t="shared" si="0"/>
        <v>New SF HVAC Upgrade - Heat Pump Upgrade to 9.0 HSPF/14 SEERHeating Savings</v>
      </c>
      <c r="C79" s="24" t="str">
        <f>IF(LEFT(Raw!A129,8)="New SF H",LEFT(Raw!A129,FIND("HZ",Raw!A129)-4),LEFT(Raw!A129,FIND("HZ",Raw!A129)-2))</f>
        <v>New SF HVAC Upgrade - Heat Pump Upgrade to 9.0 HSPF/14 SEER</v>
      </c>
      <c r="D79" s="24" t="str">
        <f>Raw!B129</f>
        <v>Heating Savings</v>
      </c>
      <c r="E79" s="44">
        <f>Raw!C129</f>
        <v>97.633593264434865</v>
      </c>
      <c r="F79" s="44">
        <f>Raw!D129</f>
        <v>15</v>
      </c>
      <c r="G79" s="44">
        <f>Raw!E129</f>
        <v>80.823411921055197</v>
      </c>
      <c r="H79" s="44">
        <f>Raw!F129</f>
        <v>0</v>
      </c>
      <c r="I79" s="44" t="str">
        <f>Raw!G129</f>
        <v>ResSpHtHPZ2</v>
      </c>
      <c r="J79" s="44">
        <f>Raw!H129</f>
        <v>1.1888201213481004</v>
      </c>
      <c r="K79" s="44">
        <f>Raw!I129</f>
        <v>0</v>
      </c>
      <c r="L79" s="44">
        <f>Raw!J129</f>
        <v>0</v>
      </c>
      <c r="M79" s="44">
        <f>Raw!K129</f>
        <v>0</v>
      </c>
      <c r="N79" s="44">
        <f>Raw!L129</f>
        <v>0</v>
      </c>
      <c r="O79" s="44">
        <f>Raw!M129</f>
        <v>0</v>
      </c>
      <c r="P79" s="44">
        <f>Raw!N129</f>
        <v>0</v>
      </c>
      <c r="Q79" s="44">
        <f>Raw!O81</f>
        <v>0</v>
      </c>
      <c r="R79" s="44"/>
      <c r="S79" s="41"/>
    </row>
    <row r="80" spans="1:19">
      <c r="A80" t="str">
        <f>RIGHT(Raw!A130,6)</f>
        <v>HZ3CZ3</v>
      </c>
      <c r="B80" t="str">
        <f t="shared" si="0"/>
        <v>New SF HVAC Upgrade - Heat Pump Upgrade to 9.0 HSPF/14 SEERHeating Savings</v>
      </c>
      <c r="C80" s="24" t="str">
        <f>IF(LEFT(Raw!A130,8)="New SF H",LEFT(Raw!A130,FIND("HZ",Raw!A130)-4),LEFT(Raw!A130,FIND("HZ",Raw!A130)-2))</f>
        <v>New SF HVAC Upgrade - Heat Pump Upgrade to 9.0 HSPF/14 SEER</v>
      </c>
      <c r="D80" s="24" t="str">
        <f>Raw!B130</f>
        <v>Heating Savings</v>
      </c>
      <c r="E80" s="44">
        <f>Raw!C130</f>
        <v>97.633593264434865</v>
      </c>
      <c r="F80" s="44">
        <f>Raw!D130</f>
        <v>15</v>
      </c>
      <c r="G80" s="44">
        <f>Raw!E130</f>
        <v>80.823411921055197</v>
      </c>
      <c r="H80" s="44">
        <f>Raw!F130</f>
        <v>0</v>
      </c>
      <c r="I80" s="44" t="str">
        <f>Raw!G130</f>
        <v>ResSpHtHPZ2</v>
      </c>
      <c r="J80" s="44">
        <f>Raw!H130</f>
        <v>1.1888201213481004</v>
      </c>
      <c r="K80" s="44">
        <f>Raw!I130</f>
        <v>0</v>
      </c>
      <c r="L80" s="44">
        <f>Raw!J130</f>
        <v>0</v>
      </c>
      <c r="M80" s="44">
        <f>Raw!K130</f>
        <v>0</v>
      </c>
      <c r="N80" s="44">
        <f>Raw!L130</f>
        <v>0</v>
      </c>
      <c r="O80" s="44">
        <f>Raw!M130</f>
        <v>0</v>
      </c>
      <c r="P80" s="44">
        <f>Raw!N130</f>
        <v>0</v>
      </c>
      <c r="Q80" s="44">
        <f>Raw!O82</f>
        <v>0</v>
      </c>
      <c r="R80" s="44"/>
      <c r="S80" s="41"/>
    </row>
    <row r="81" spans="1:19">
      <c r="A81" t="str">
        <f>RIGHT(Raw!A131,6)</f>
        <v>HZ1CZ1</v>
      </c>
      <c r="B81" t="str">
        <f t="shared" si="0"/>
        <v>New SF HVAC Upgrade - Central Heat Pump Upgrade to Variable Capacity Central Heat PumpHeating Savings</v>
      </c>
      <c r="C81" s="24" t="str">
        <f>IF(LEFT(Raw!A131,8)="New SF H",LEFT(Raw!A131,FIND("HZ",Raw!A131)-4),LEFT(Raw!A131,FIND("HZ",Raw!A131)-2))</f>
        <v>New SF HVAC Upgrade - Central Heat Pump Upgrade to Variable Capacity Central Heat Pump</v>
      </c>
      <c r="D81" s="24" t="str">
        <f>Raw!B131</f>
        <v>Heating Savings</v>
      </c>
      <c r="E81" s="44">
        <f>Raw!C131</f>
        <v>399.97917299272876</v>
      </c>
      <c r="F81" s="44">
        <f>Raw!D131</f>
        <v>15</v>
      </c>
      <c r="G81" s="44">
        <f>Raw!E131</f>
        <v>5447.8150000000005</v>
      </c>
      <c r="H81" s="44">
        <f>Raw!F131</f>
        <v>0</v>
      </c>
      <c r="I81" s="44" t="str">
        <f>Raw!G131</f>
        <v>ResSpHtHPZ3</v>
      </c>
      <c r="J81" s="44">
        <f>Raw!H131</f>
        <v>6.3914463804925932</v>
      </c>
      <c r="K81" s="44">
        <f>Raw!I131</f>
        <v>0</v>
      </c>
      <c r="L81" s="44">
        <f>Raw!J131</f>
        <v>0</v>
      </c>
      <c r="M81" s="44">
        <f>Raw!K131</f>
        <v>0</v>
      </c>
      <c r="N81" s="44">
        <f>Raw!L131</f>
        <v>0</v>
      </c>
      <c r="O81" s="44">
        <f>Raw!M131</f>
        <v>0</v>
      </c>
      <c r="P81" s="44">
        <f>Raw!N131</f>
        <v>0</v>
      </c>
      <c r="Q81" s="44">
        <f>Raw!O83</f>
        <v>0</v>
      </c>
      <c r="R81" s="44"/>
      <c r="S81" s="41"/>
    </row>
    <row r="82" spans="1:19">
      <c r="A82" t="str">
        <f>RIGHT(Raw!A132,6)</f>
        <v>HZ1CZ2</v>
      </c>
      <c r="B82" t="str">
        <f t="shared" si="0"/>
        <v>New SF HVAC Upgrade - Central Heat Pump Upgrade to Variable Capacity Central Heat PumpHeating Savings</v>
      </c>
      <c r="C82" s="24" t="str">
        <f>IF(LEFT(Raw!A132,8)="New SF H",LEFT(Raw!A132,FIND("HZ",Raw!A132)-4),LEFT(Raw!A132,FIND("HZ",Raw!A132)-2))</f>
        <v>New SF HVAC Upgrade - Central Heat Pump Upgrade to Variable Capacity Central Heat Pump</v>
      </c>
      <c r="D82" s="24" t="str">
        <f>Raw!B132</f>
        <v>Heating Savings</v>
      </c>
      <c r="E82" s="44">
        <f>Raw!C132</f>
        <v>399.97917299272876</v>
      </c>
      <c r="F82" s="44">
        <f>Raw!D132</f>
        <v>15</v>
      </c>
      <c r="G82" s="44">
        <f>Raw!E132</f>
        <v>5447.8150000000005</v>
      </c>
      <c r="H82" s="44">
        <f>Raw!F132</f>
        <v>0</v>
      </c>
      <c r="I82" s="44" t="str">
        <f>Raw!G132</f>
        <v>ResSpHtHPZ3</v>
      </c>
      <c r="J82" s="44">
        <f>Raw!H132</f>
        <v>6.3914463804925932</v>
      </c>
      <c r="K82" s="44">
        <f>Raw!I132</f>
        <v>0</v>
      </c>
      <c r="L82" s="44">
        <f>Raw!J132</f>
        <v>0</v>
      </c>
      <c r="M82" s="44">
        <f>Raw!K132</f>
        <v>0</v>
      </c>
      <c r="N82" s="44">
        <f>Raw!L132</f>
        <v>0</v>
      </c>
      <c r="O82" s="44">
        <f>Raw!M132</f>
        <v>0</v>
      </c>
      <c r="P82" s="44">
        <f>Raw!N132</f>
        <v>0</v>
      </c>
      <c r="Q82" s="44">
        <f>Raw!O84</f>
        <v>0</v>
      </c>
      <c r="R82" s="44"/>
      <c r="S82" s="41"/>
    </row>
    <row r="83" spans="1:19">
      <c r="A83" t="str">
        <f>RIGHT(Raw!A133,6)</f>
        <v>HZ1CZ3</v>
      </c>
      <c r="B83" t="str">
        <f t="shared" si="0"/>
        <v>New SF HVAC Upgrade - Central Heat Pump Upgrade to Variable Capacity Central Heat PumpHeating Savings</v>
      </c>
      <c r="C83" s="24" t="str">
        <f>IF(LEFT(Raw!A133,8)="New SF H",LEFT(Raw!A133,FIND("HZ",Raw!A133)-4),LEFT(Raw!A133,FIND("HZ",Raw!A133)-2))</f>
        <v>New SF HVAC Upgrade - Central Heat Pump Upgrade to Variable Capacity Central Heat Pump</v>
      </c>
      <c r="D83" s="24" t="str">
        <f>Raw!B133</f>
        <v>Heating Savings</v>
      </c>
      <c r="E83" s="44">
        <f>Raw!C133</f>
        <v>399.97917299272876</v>
      </c>
      <c r="F83" s="44">
        <f>Raw!D133</f>
        <v>15</v>
      </c>
      <c r="G83" s="44">
        <f>Raw!E133</f>
        <v>5447.8150000000005</v>
      </c>
      <c r="H83" s="44">
        <f>Raw!F133</f>
        <v>0</v>
      </c>
      <c r="I83" s="44" t="str">
        <f>Raw!G133</f>
        <v>ResSpHtHPZ3</v>
      </c>
      <c r="J83" s="44">
        <f>Raw!H133</f>
        <v>6.3914463804925932</v>
      </c>
      <c r="K83" s="44">
        <f>Raw!I133</f>
        <v>0</v>
      </c>
      <c r="L83" s="44">
        <f>Raw!J133</f>
        <v>0</v>
      </c>
      <c r="M83" s="44">
        <f>Raw!K133</f>
        <v>0</v>
      </c>
      <c r="N83" s="44">
        <f>Raw!L133</f>
        <v>0</v>
      </c>
      <c r="O83" s="44">
        <f>Raw!M133</f>
        <v>0</v>
      </c>
      <c r="P83" s="44">
        <f>Raw!N133</f>
        <v>0</v>
      </c>
      <c r="Q83" s="44">
        <f>Raw!O85</f>
        <v>0</v>
      </c>
      <c r="R83" s="44"/>
      <c r="S83" s="41"/>
    </row>
    <row r="84" spans="1:19">
      <c r="A84" t="str">
        <f>RIGHT(Raw!A134,6)</f>
        <v>HZ2CZ1</v>
      </c>
      <c r="B84" t="str">
        <f t="shared" si="0"/>
        <v>New SF HVAC Upgrade - Central Heat Pump Upgrade to Variable Capacity Central Heat PumpHeating Savings</v>
      </c>
      <c r="C84" s="24" t="str">
        <f>IF(LEFT(Raw!A134,8)="New SF H",LEFT(Raw!A134,FIND("HZ",Raw!A134)-4),LEFT(Raw!A134,FIND("HZ",Raw!A134)-2))</f>
        <v>New SF HVAC Upgrade - Central Heat Pump Upgrade to Variable Capacity Central Heat Pump</v>
      </c>
      <c r="D84" s="24" t="str">
        <f>Raw!B134</f>
        <v>Heating Savings</v>
      </c>
      <c r="E84" s="44">
        <f>Raw!C134</f>
        <v>582.31227378469714</v>
      </c>
      <c r="F84" s="44">
        <f>Raw!D134</f>
        <v>15</v>
      </c>
      <c r="G84" s="44">
        <f>Raw!E134</f>
        <v>5447.8150000000005</v>
      </c>
      <c r="H84" s="44">
        <f>Raw!F134</f>
        <v>0</v>
      </c>
      <c r="I84" s="44" t="str">
        <f>Raw!G134</f>
        <v>ResSpHtHPZ1</v>
      </c>
      <c r="J84" s="44">
        <f>Raw!H134</f>
        <v>7.0904339872881206</v>
      </c>
      <c r="K84" s="44">
        <f>Raw!I134</f>
        <v>0</v>
      </c>
      <c r="L84" s="44">
        <f>Raw!J134</f>
        <v>0</v>
      </c>
      <c r="M84" s="44">
        <f>Raw!K134</f>
        <v>0</v>
      </c>
      <c r="N84" s="44">
        <f>Raw!L134</f>
        <v>0</v>
      </c>
      <c r="O84" s="44">
        <f>Raw!M134</f>
        <v>0</v>
      </c>
      <c r="P84" s="44">
        <f>Raw!N134</f>
        <v>0</v>
      </c>
      <c r="Q84" s="44">
        <f>Raw!O86</f>
        <v>0</v>
      </c>
      <c r="R84" s="44"/>
      <c r="S84" s="41"/>
    </row>
    <row r="85" spans="1:19">
      <c r="A85" t="str">
        <f>RIGHT(Raw!A135,6)</f>
        <v>HZ2CZ2</v>
      </c>
      <c r="B85" t="str">
        <f t="shared" si="0"/>
        <v>New SF HVAC Upgrade - Central Heat Pump Upgrade to Variable Capacity Central Heat PumpHeating Savings</v>
      </c>
      <c r="C85" s="24" t="str">
        <f>IF(LEFT(Raw!A135,8)="New SF H",LEFT(Raw!A135,FIND("HZ",Raw!A135)-4),LEFT(Raw!A135,FIND("HZ",Raw!A135)-2))</f>
        <v>New SF HVAC Upgrade - Central Heat Pump Upgrade to Variable Capacity Central Heat Pump</v>
      </c>
      <c r="D85" s="24" t="str">
        <f>Raw!B135</f>
        <v>Heating Savings</v>
      </c>
      <c r="E85" s="44">
        <f>Raw!C135</f>
        <v>582.31227378469714</v>
      </c>
      <c r="F85" s="44">
        <f>Raw!D135</f>
        <v>15</v>
      </c>
      <c r="G85" s="44">
        <f>Raw!E135</f>
        <v>5447.8150000000005</v>
      </c>
      <c r="H85" s="44">
        <f>Raw!F135</f>
        <v>0</v>
      </c>
      <c r="I85" s="44" t="str">
        <f>Raw!G135</f>
        <v>ResSpHtHPZ2</v>
      </c>
      <c r="J85" s="44">
        <f>Raw!H135</f>
        <v>7.0904339872881206</v>
      </c>
      <c r="K85" s="44">
        <f>Raw!I135</f>
        <v>0</v>
      </c>
      <c r="L85" s="44">
        <f>Raw!J135</f>
        <v>0</v>
      </c>
      <c r="M85" s="44">
        <f>Raw!K135</f>
        <v>0</v>
      </c>
      <c r="N85" s="44">
        <f>Raw!L135</f>
        <v>0</v>
      </c>
      <c r="O85" s="44">
        <f>Raw!M135</f>
        <v>0</v>
      </c>
      <c r="P85" s="44">
        <f>Raw!N135</f>
        <v>0</v>
      </c>
      <c r="Q85" s="44">
        <f>Raw!O87</f>
        <v>0</v>
      </c>
      <c r="R85" s="44"/>
      <c r="S85" s="41"/>
    </row>
    <row r="86" spans="1:19">
      <c r="A86" t="str">
        <f>RIGHT(Raw!A136,6)</f>
        <v>HZ2CZ3</v>
      </c>
      <c r="B86" t="str">
        <f t="shared" si="0"/>
        <v>New SF HVAC Upgrade - Central Heat Pump Upgrade to Variable Capacity Central Heat PumpHeating Savings</v>
      </c>
      <c r="C86" s="24" t="str">
        <f>IF(LEFT(Raw!A136,8)="New SF H",LEFT(Raw!A136,FIND("HZ",Raw!A136)-4),LEFT(Raw!A136,FIND("HZ",Raw!A136)-2))</f>
        <v>New SF HVAC Upgrade - Central Heat Pump Upgrade to Variable Capacity Central Heat Pump</v>
      </c>
      <c r="D86" s="24" t="str">
        <f>Raw!B136</f>
        <v>Heating Savings</v>
      </c>
      <c r="E86" s="44">
        <f>Raw!C136</f>
        <v>582.31227378469714</v>
      </c>
      <c r="F86" s="44">
        <f>Raw!D136</f>
        <v>15</v>
      </c>
      <c r="G86" s="44">
        <f>Raw!E136</f>
        <v>5447.8150000000005</v>
      </c>
      <c r="H86" s="44">
        <f>Raw!F136</f>
        <v>0</v>
      </c>
      <c r="I86" s="44" t="str">
        <f>Raw!G136</f>
        <v>ResSpHtHPZ3</v>
      </c>
      <c r="J86" s="44">
        <f>Raw!H136</f>
        <v>7.0904339872881206</v>
      </c>
      <c r="K86" s="44">
        <f>Raw!I136</f>
        <v>0</v>
      </c>
      <c r="L86" s="44">
        <f>Raw!J136</f>
        <v>0</v>
      </c>
      <c r="M86" s="44">
        <f>Raw!K136</f>
        <v>0</v>
      </c>
      <c r="N86" s="44">
        <f>Raw!L136</f>
        <v>0</v>
      </c>
      <c r="O86" s="44">
        <f>Raw!M136</f>
        <v>0</v>
      </c>
      <c r="P86" s="44">
        <f>Raw!N136</f>
        <v>0</v>
      </c>
      <c r="Q86" s="44">
        <f>Raw!O88</f>
        <v>0</v>
      </c>
      <c r="R86" s="44"/>
      <c r="S86" s="41"/>
    </row>
    <row r="87" spans="1:19">
      <c r="A87" t="str">
        <f>RIGHT(Raw!A137,6)</f>
        <v>HZ3CZ1</v>
      </c>
      <c r="B87" t="str">
        <f t="shared" si="0"/>
        <v>New SF HVAC Upgrade - Central Heat Pump Upgrade to Variable Capacity Central Heat PumpHeating Savings</v>
      </c>
      <c r="C87" s="24" t="str">
        <f>IF(LEFT(Raw!A137,8)="New SF H",LEFT(Raw!A137,FIND("HZ",Raw!A137)-4),LEFT(Raw!A137,FIND("HZ",Raw!A137)-2))</f>
        <v>New SF HVAC Upgrade - Central Heat Pump Upgrade to Variable Capacity Central Heat Pump</v>
      </c>
      <c r="D87" s="24" t="str">
        <f>Raw!B137</f>
        <v>Heating Savings</v>
      </c>
      <c r="E87" s="44">
        <f>Raw!C137</f>
        <v>673.77497156488607</v>
      </c>
      <c r="F87" s="44">
        <f>Raw!D137</f>
        <v>15</v>
      </c>
      <c r="G87" s="44">
        <f>Raw!E137</f>
        <v>5447.8150000000005</v>
      </c>
      <c r="H87" s="44">
        <f>Raw!F137</f>
        <v>0</v>
      </c>
      <c r="I87" s="44" t="str">
        <f>Raw!G137</f>
        <v>ResSpHtHPZ1</v>
      </c>
      <c r="J87" s="44">
        <f>Raw!H137</f>
        <v>8.2041151685120024</v>
      </c>
      <c r="K87" s="44">
        <f>Raw!I137</f>
        <v>0</v>
      </c>
      <c r="L87" s="44">
        <f>Raw!J137</f>
        <v>0</v>
      </c>
      <c r="M87" s="44">
        <f>Raw!K137</f>
        <v>0</v>
      </c>
      <c r="N87" s="44">
        <f>Raw!L137</f>
        <v>0</v>
      </c>
      <c r="O87" s="44">
        <f>Raw!M137</f>
        <v>0</v>
      </c>
      <c r="P87" s="44">
        <f>Raw!N137</f>
        <v>0</v>
      </c>
      <c r="Q87" s="44">
        <f>Raw!O89</f>
        <v>0</v>
      </c>
      <c r="R87" s="44"/>
      <c r="S87" s="41"/>
    </row>
    <row r="88" spans="1:19">
      <c r="A88" t="str">
        <f>RIGHT(Raw!A138,6)</f>
        <v>HZ3CZ2</v>
      </c>
      <c r="B88" t="str">
        <f t="shared" si="0"/>
        <v>New SF HVAC Upgrade - Central Heat Pump Upgrade to Variable Capacity Central Heat PumpHeating Savings</v>
      </c>
      <c r="C88" s="24" t="str">
        <f>IF(LEFT(Raw!A138,8)="New SF H",LEFT(Raw!A138,FIND("HZ",Raw!A138)-4),LEFT(Raw!A138,FIND("HZ",Raw!A138)-2))</f>
        <v>New SF HVAC Upgrade - Central Heat Pump Upgrade to Variable Capacity Central Heat Pump</v>
      </c>
      <c r="D88" s="24" t="str">
        <f>Raw!B138</f>
        <v>Heating Savings</v>
      </c>
      <c r="E88" s="44">
        <f>Raw!C138</f>
        <v>673.77497156488607</v>
      </c>
      <c r="F88" s="44">
        <f>Raw!D138</f>
        <v>15</v>
      </c>
      <c r="G88" s="44">
        <f>Raw!E138</f>
        <v>5447.8150000000005</v>
      </c>
      <c r="H88" s="44">
        <f>Raw!F138</f>
        <v>0</v>
      </c>
      <c r="I88" s="44" t="str">
        <f>Raw!G138</f>
        <v>ResSpHtHPZ1</v>
      </c>
      <c r="J88" s="44">
        <f>Raw!H138</f>
        <v>8.2041151685120024</v>
      </c>
      <c r="K88" s="44">
        <f>Raw!I138</f>
        <v>0</v>
      </c>
      <c r="L88" s="44">
        <f>Raw!J138</f>
        <v>0</v>
      </c>
      <c r="M88" s="44">
        <f>Raw!K138</f>
        <v>0</v>
      </c>
      <c r="N88" s="44">
        <f>Raw!L138</f>
        <v>0</v>
      </c>
      <c r="O88" s="44">
        <f>Raw!M138</f>
        <v>0</v>
      </c>
      <c r="P88" s="44">
        <f>Raw!N138</f>
        <v>0</v>
      </c>
      <c r="Q88" s="44">
        <f>Raw!O90</f>
        <v>0</v>
      </c>
      <c r="R88" s="44"/>
      <c r="S88" s="41"/>
    </row>
    <row r="89" spans="1:19">
      <c r="A89" t="str">
        <f>RIGHT(Raw!A139,6)</f>
        <v>HZ3CZ3</v>
      </c>
      <c r="B89" t="str">
        <f t="shared" si="0"/>
        <v>New SF HVAC Upgrade - Central Heat Pump Upgrade to Variable Capacity Central Heat PumpHeating Savings</v>
      </c>
      <c r="C89" s="24" t="str">
        <f>IF(LEFT(Raw!A139,8)="New SF H",LEFT(Raw!A139,FIND("HZ",Raw!A139)-4),LEFT(Raw!A139,FIND("HZ",Raw!A139)-2))</f>
        <v>New SF HVAC Upgrade - Central Heat Pump Upgrade to Variable Capacity Central Heat Pump</v>
      </c>
      <c r="D89" s="24" t="str">
        <f>Raw!B139</f>
        <v>Heating Savings</v>
      </c>
      <c r="E89" s="44">
        <f>Raw!C139</f>
        <v>673.77497156488607</v>
      </c>
      <c r="F89" s="44">
        <f>Raw!D139</f>
        <v>15</v>
      </c>
      <c r="G89" s="44">
        <f>Raw!E139</f>
        <v>5447.8150000000005</v>
      </c>
      <c r="H89" s="44">
        <f>Raw!F139</f>
        <v>0</v>
      </c>
      <c r="I89" s="44" t="str">
        <f>Raw!G139</f>
        <v>ResSpHtHPZ1</v>
      </c>
      <c r="J89" s="44">
        <f>Raw!H139</f>
        <v>8.2041151685120024</v>
      </c>
      <c r="K89" s="44">
        <f>Raw!I139</f>
        <v>0</v>
      </c>
      <c r="L89" s="44">
        <f>Raw!J139</f>
        <v>0</v>
      </c>
      <c r="M89" s="44">
        <f>Raw!K139</f>
        <v>0</v>
      </c>
      <c r="N89" s="44">
        <f>Raw!L139</f>
        <v>0</v>
      </c>
      <c r="O89" s="44">
        <f>Raw!M139</f>
        <v>0</v>
      </c>
      <c r="P89" s="44">
        <f>Raw!N139</f>
        <v>0</v>
      </c>
      <c r="Q89" s="44">
        <f>Raw!O91</f>
        <v>0</v>
      </c>
      <c r="R89" s="44"/>
      <c r="S89" s="41"/>
    </row>
    <row r="90" spans="1:19">
      <c r="A90" t="str">
        <f>RIGHT(Raw!A140,6)</f>
        <v>HZ1CZ1</v>
      </c>
      <c r="B90" t="str">
        <f t="shared" si="0"/>
        <v>New SF Zonal to DHPHeating Savings</v>
      </c>
      <c r="C90" s="24" t="str">
        <f>IF(LEFT(Raw!A140,8)="New SF H",LEFT(Raw!A140,FIND("HZ",Raw!A140)-4),LEFT(Raw!A140,FIND("HZ",Raw!A140)-2))</f>
        <v>New SF Zonal to DHP</v>
      </c>
      <c r="D90" s="24" t="str">
        <f>Raw!B140</f>
        <v>Heating Savings</v>
      </c>
      <c r="E90" s="44">
        <f>Raw!C140</f>
        <v>2738.5165726189575</v>
      </c>
      <c r="F90" s="44">
        <f>Raw!D140</f>
        <v>15</v>
      </c>
      <c r="G90" s="44">
        <f>Raw!E140</f>
        <v>3947.5061850100014</v>
      </c>
      <c r="H90" s="44">
        <f>Raw!F140</f>
        <v>0</v>
      </c>
      <c r="I90" s="44" t="str">
        <f>Raw!G140</f>
        <v>R-All-HVAC-ERconvertDHP-HZ1-All-N</v>
      </c>
      <c r="J90" s="44">
        <f>Raw!H140</f>
        <v>54.777582725536647</v>
      </c>
      <c r="K90" s="44">
        <f>Raw!I140</f>
        <v>0</v>
      </c>
      <c r="L90" s="44">
        <f>Raw!J140</f>
        <v>0</v>
      </c>
      <c r="M90" s="44">
        <f>Raw!K140</f>
        <v>0</v>
      </c>
      <c r="N90" s="44">
        <f>Raw!L140</f>
        <v>0</v>
      </c>
      <c r="O90" s="44">
        <f>Raw!M140</f>
        <v>0</v>
      </c>
      <c r="P90" s="44">
        <f>Raw!N140</f>
        <v>0</v>
      </c>
      <c r="Q90" s="44">
        <f>Raw!O92</f>
        <v>0</v>
      </c>
      <c r="R90" s="44"/>
      <c r="S90" s="41"/>
    </row>
    <row r="91" spans="1:19">
      <c r="A91" t="str">
        <f>RIGHT(Raw!A141,6)</f>
        <v>HZ1CZ2</v>
      </c>
      <c r="B91" t="str">
        <f t="shared" si="0"/>
        <v>New SF Zonal to DHPHeating Savings</v>
      </c>
      <c r="C91" s="24" t="str">
        <f>IF(LEFT(Raw!A141,8)="New SF H",LEFT(Raw!A141,FIND("HZ",Raw!A141)-4),LEFT(Raw!A141,FIND("HZ",Raw!A141)-2))</f>
        <v>New SF Zonal to DHP</v>
      </c>
      <c r="D91" s="24" t="str">
        <f>Raw!B141</f>
        <v>Heating Savings</v>
      </c>
      <c r="E91" s="44">
        <f>Raw!C141</f>
        <v>2738.5165726189575</v>
      </c>
      <c r="F91" s="44">
        <f>Raw!D141</f>
        <v>15</v>
      </c>
      <c r="G91" s="44">
        <f>Raw!E141</f>
        <v>3746.1341850100016</v>
      </c>
      <c r="H91" s="44">
        <f>Raw!F141</f>
        <v>0</v>
      </c>
      <c r="I91" s="44" t="str">
        <f>Raw!G141</f>
        <v>R-All-HVAC-ERconvertDHP-HZ2-All-N</v>
      </c>
      <c r="J91" s="44">
        <f>Raw!H141</f>
        <v>54.777582725536647</v>
      </c>
      <c r="K91" s="44">
        <f>Raw!I141</f>
        <v>0</v>
      </c>
      <c r="L91" s="44">
        <f>Raw!J141</f>
        <v>0</v>
      </c>
      <c r="M91" s="44">
        <f>Raw!K141</f>
        <v>0</v>
      </c>
      <c r="N91" s="44">
        <f>Raw!L141</f>
        <v>0</v>
      </c>
      <c r="O91" s="44">
        <f>Raw!M141</f>
        <v>0</v>
      </c>
      <c r="P91" s="44">
        <f>Raw!N141</f>
        <v>0</v>
      </c>
      <c r="Q91" s="44">
        <f>Raw!O93</f>
        <v>0</v>
      </c>
      <c r="R91" s="44"/>
      <c r="S91" s="41"/>
    </row>
    <row r="92" spans="1:19">
      <c r="A92" t="str">
        <f>RIGHT(Raw!A142,6)</f>
        <v>HZ1CZ3</v>
      </c>
      <c r="B92" t="str">
        <f t="shared" si="0"/>
        <v>New SF Zonal to DHPHeating Savings</v>
      </c>
      <c r="C92" s="24" t="str">
        <f>IF(LEFT(Raw!A142,8)="New SF H",LEFT(Raw!A142,FIND("HZ",Raw!A142)-4),LEFT(Raw!A142,FIND("HZ",Raw!A142)-2))</f>
        <v>New SF Zonal to DHP</v>
      </c>
      <c r="D92" s="24" t="str">
        <f>Raw!B142</f>
        <v>Heating Savings</v>
      </c>
      <c r="E92" s="44">
        <f>Raw!C142</f>
        <v>2738.5165726189575</v>
      </c>
      <c r="F92" s="44">
        <f>Raw!D142</f>
        <v>15</v>
      </c>
      <c r="G92" s="44">
        <f>Raw!E142</f>
        <v>3525.0401850100016</v>
      </c>
      <c r="H92" s="44">
        <f>Raw!F142</f>
        <v>0</v>
      </c>
      <c r="I92" s="44" t="str">
        <f>Raw!G142</f>
        <v>R-All-HVAC-ERconvertDHP-HZ3-All-N</v>
      </c>
      <c r="J92" s="44">
        <f>Raw!H142</f>
        <v>54.777582725536647</v>
      </c>
      <c r="K92" s="44">
        <f>Raw!I142</f>
        <v>0</v>
      </c>
      <c r="L92" s="44">
        <f>Raw!J142</f>
        <v>0</v>
      </c>
      <c r="M92" s="44">
        <f>Raw!K142</f>
        <v>0</v>
      </c>
      <c r="N92" s="44">
        <f>Raw!L142</f>
        <v>0</v>
      </c>
      <c r="O92" s="44">
        <f>Raw!M142</f>
        <v>0</v>
      </c>
      <c r="P92" s="44">
        <f>Raw!N142</f>
        <v>0</v>
      </c>
      <c r="Q92" s="44">
        <f>Raw!O94</f>
        <v>0</v>
      </c>
      <c r="R92" s="44"/>
      <c r="S92" s="41"/>
    </row>
    <row r="93" spans="1:19">
      <c r="A93" t="str">
        <f>RIGHT(Raw!A143,6)</f>
        <v>HZ2CZ1</v>
      </c>
      <c r="B93" t="str">
        <f t="shared" si="0"/>
        <v>New SF Zonal to DHPHeating Savings</v>
      </c>
      <c r="C93" s="24" t="str">
        <f>IF(LEFT(Raw!A143,8)="New SF H",LEFT(Raw!A143,FIND("HZ",Raw!A143)-4),LEFT(Raw!A143,FIND("HZ",Raw!A143)-2))</f>
        <v>New SF Zonal to DHP</v>
      </c>
      <c r="D93" s="24" t="str">
        <f>Raw!B143</f>
        <v>Heating Savings</v>
      </c>
      <c r="E93" s="44">
        <f>Raw!C143</f>
        <v>2976.9281092658866</v>
      </c>
      <c r="F93" s="44">
        <f>Raw!D143</f>
        <v>15</v>
      </c>
      <c r="G93" s="44">
        <f>Raw!E143</f>
        <v>3749.6769301118838</v>
      </c>
      <c r="H93" s="44">
        <f>Raw!F143</f>
        <v>0</v>
      </c>
      <c r="I93" s="44" t="str">
        <f>Raw!G143</f>
        <v>R-All-HVAC-ERconvertDHP-HZ1-All-N</v>
      </c>
      <c r="J93" s="44">
        <f>Raw!H143</f>
        <v>44.311643672754037</v>
      </c>
      <c r="K93" s="44">
        <f>Raw!I143</f>
        <v>0</v>
      </c>
      <c r="L93" s="44">
        <f>Raw!J143</f>
        <v>0</v>
      </c>
      <c r="M93" s="44">
        <f>Raw!K143</f>
        <v>0</v>
      </c>
      <c r="N93" s="44">
        <f>Raw!L143</f>
        <v>0</v>
      </c>
      <c r="O93" s="44">
        <f>Raw!M143</f>
        <v>0</v>
      </c>
      <c r="P93" s="44">
        <f>Raw!N143</f>
        <v>0</v>
      </c>
      <c r="Q93" s="44">
        <f>Raw!O95</f>
        <v>0</v>
      </c>
      <c r="R93" s="44"/>
      <c r="S93" s="41"/>
    </row>
    <row r="94" spans="1:19">
      <c r="A94" t="str">
        <f>RIGHT(Raw!A144,6)</f>
        <v>HZ2CZ2</v>
      </c>
      <c r="B94" t="str">
        <f t="shared" si="0"/>
        <v>New SF Zonal to DHPHeating Savings</v>
      </c>
      <c r="C94" s="24" t="str">
        <f>IF(LEFT(Raw!A144,8)="New SF H",LEFT(Raw!A144,FIND("HZ",Raw!A144)-4),LEFT(Raw!A144,FIND("HZ",Raw!A144)-2))</f>
        <v>New SF Zonal to DHP</v>
      </c>
      <c r="D94" s="24" t="str">
        <f>Raw!B144</f>
        <v>Heating Savings</v>
      </c>
      <c r="E94" s="44">
        <f>Raw!C144</f>
        <v>2976.9281092658866</v>
      </c>
      <c r="F94" s="44">
        <f>Raw!D144</f>
        <v>15</v>
      </c>
      <c r="G94" s="44">
        <f>Raw!E144</f>
        <v>3548.304930111884</v>
      </c>
      <c r="H94" s="44">
        <f>Raw!F144</f>
        <v>0</v>
      </c>
      <c r="I94" s="44" t="str">
        <f>Raw!G144</f>
        <v>R-All-HVAC-ERconvertDHP-HZ2-All-N</v>
      </c>
      <c r="J94" s="44">
        <f>Raw!H144</f>
        <v>44.311643672754037</v>
      </c>
      <c r="K94" s="44">
        <f>Raw!I144</f>
        <v>0</v>
      </c>
      <c r="L94" s="44">
        <f>Raw!J144</f>
        <v>0</v>
      </c>
      <c r="M94" s="44">
        <f>Raw!K144</f>
        <v>0</v>
      </c>
      <c r="N94" s="44">
        <f>Raw!L144</f>
        <v>0</v>
      </c>
      <c r="O94" s="44">
        <f>Raw!M144</f>
        <v>0</v>
      </c>
      <c r="P94" s="44">
        <f>Raw!N144</f>
        <v>0</v>
      </c>
      <c r="Q94" s="44">
        <f>Raw!O96</f>
        <v>0</v>
      </c>
      <c r="R94" s="44"/>
      <c r="S94" s="41"/>
    </row>
    <row r="95" spans="1:19">
      <c r="A95" t="str">
        <f>RIGHT(Raw!A145,6)</f>
        <v>HZ2CZ3</v>
      </c>
      <c r="B95" t="str">
        <f t="shared" si="0"/>
        <v>New SF Zonal to DHPHeating Savings</v>
      </c>
      <c r="C95" s="24" t="str">
        <f>IF(LEFT(Raw!A145,8)="New SF H",LEFT(Raw!A145,FIND("HZ",Raw!A145)-4),LEFT(Raw!A145,FIND("HZ",Raw!A145)-2))</f>
        <v>New SF Zonal to DHP</v>
      </c>
      <c r="D95" s="24" t="str">
        <f>Raw!B145</f>
        <v>Heating Savings</v>
      </c>
      <c r="E95" s="44">
        <f>Raw!C145</f>
        <v>2976.9281092658866</v>
      </c>
      <c r="F95" s="44">
        <f>Raw!D145</f>
        <v>15</v>
      </c>
      <c r="G95" s="44">
        <f>Raw!E145</f>
        <v>3327.210930111884</v>
      </c>
      <c r="H95" s="44">
        <f>Raw!F145</f>
        <v>0</v>
      </c>
      <c r="I95" s="44" t="str">
        <f>Raw!G145</f>
        <v>R-All-HVAC-ERconvertDHP-HZ3-All-N</v>
      </c>
      <c r="J95" s="44">
        <f>Raw!H145</f>
        <v>44.311643672754037</v>
      </c>
      <c r="K95" s="44">
        <f>Raw!I145</f>
        <v>0</v>
      </c>
      <c r="L95" s="44">
        <f>Raw!J145</f>
        <v>0</v>
      </c>
      <c r="M95" s="44">
        <f>Raw!K145</f>
        <v>0</v>
      </c>
      <c r="N95" s="44">
        <f>Raw!L145</f>
        <v>0</v>
      </c>
      <c r="O95" s="44">
        <f>Raw!M145</f>
        <v>0</v>
      </c>
      <c r="P95" s="44">
        <f>Raw!N145</f>
        <v>0</v>
      </c>
      <c r="Q95" s="44">
        <f>Raw!O97</f>
        <v>0</v>
      </c>
      <c r="R95" s="44"/>
      <c r="S95" s="41"/>
    </row>
    <row r="96" spans="1:19">
      <c r="A96" t="str">
        <f>RIGHT(Raw!A146,6)</f>
        <v>HZ3CZ1</v>
      </c>
      <c r="B96" t="str">
        <f t="shared" si="0"/>
        <v>New SF Zonal to DHPHeating Savings</v>
      </c>
      <c r="C96" s="24" t="str">
        <f>IF(LEFT(Raw!A146,8)="New SF H",LEFT(Raw!A146,FIND("HZ",Raw!A146)-4),LEFT(Raw!A146,FIND("HZ",Raw!A146)-2))</f>
        <v>New SF Zonal to DHP</v>
      </c>
      <c r="D96" s="24" t="str">
        <f>Raw!B146</f>
        <v>Heating Savings</v>
      </c>
      <c r="E96" s="44">
        <f>Raw!C146</f>
        <v>1639.8901000105166</v>
      </c>
      <c r="F96" s="44">
        <f>Raw!D146</f>
        <v>15</v>
      </c>
      <c r="G96" s="44">
        <f>Raw!E146</f>
        <v>3561.3780000000002</v>
      </c>
      <c r="H96" s="44">
        <f>Raw!F146</f>
        <v>0</v>
      </c>
      <c r="I96" s="44" t="str">
        <f>Raw!G146</f>
        <v>R-All-HVAC-ERconvertDHP-HZ1-All-N</v>
      </c>
      <c r="J96" s="44">
        <f>Raw!H146</f>
        <v>127.78254899897512</v>
      </c>
      <c r="K96" s="44">
        <f>Raw!I146</f>
        <v>0</v>
      </c>
      <c r="L96" s="44">
        <f>Raw!J146</f>
        <v>0</v>
      </c>
      <c r="M96" s="44">
        <f>Raw!K146</f>
        <v>0</v>
      </c>
      <c r="N96" s="44">
        <f>Raw!L146</f>
        <v>0</v>
      </c>
      <c r="O96" s="44">
        <f>Raw!M146</f>
        <v>0</v>
      </c>
      <c r="P96" s="44">
        <f>Raw!N146</f>
        <v>0</v>
      </c>
      <c r="Q96" s="44">
        <f>Raw!O98</f>
        <v>0</v>
      </c>
      <c r="R96" s="44"/>
      <c r="S96" s="41"/>
    </row>
    <row r="97" spans="1:19">
      <c r="A97" t="str">
        <f>RIGHT(Raw!A147,6)</f>
        <v>HZ3CZ2</v>
      </c>
      <c r="B97" t="str">
        <f t="shared" si="0"/>
        <v>New SF Zonal to DHPHeating Savings</v>
      </c>
      <c r="C97" s="24" t="str">
        <f>IF(LEFT(Raw!A147,8)="New SF H",LEFT(Raw!A147,FIND("HZ",Raw!A147)-4),LEFT(Raw!A147,FIND("HZ",Raw!A147)-2))</f>
        <v>New SF Zonal to DHP</v>
      </c>
      <c r="D97" s="24" t="str">
        <f>Raw!B147</f>
        <v>Heating Savings</v>
      </c>
      <c r="E97" s="44">
        <f>Raw!C147</f>
        <v>1639.8901000105166</v>
      </c>
      <c r="F97" s="44">
        <f>Raw!D147</f>
        <v>15</v>
      </c>
      <c r="G97" s="44">
        <f>Raw!E147</f>
        <v>3360.0060000000003</v>
      </c>
      <c r="H97" s="44">
        <f>Raw!F147</f>
        <v>0</v>
      </c>
      <c r="I97" s="44" t="str">
        <f>Raw!G147</f>
        <v>R-All-HVAC-ERconvertDHP-HZ2-All-N</v>
      </c>
      <c r="J97" s="44">
        <f>Raw!H147</f>
        <v>127.78254899897512</v>
      </c>
      <c r="K97" s="44">
        <f>Raw!I147</f>
        <v>0</v>
      </c>
      <c r="L97" s="44">
        <f>Raw!J147</f>
        <v>0</v>
      </c>
      <c r="M97" s="44">
        <f>Raw!K147</f>
        <v>0</v>
      </c>
      <c r="N97" s="44">
        <f>Raw!L147</f>
        <v>0</v>
      </c>
      <c r="O97" s="44">
        <f>Raw!M147</f>
        <v>0</v>
      </c>
      <c r="P97" s="44">
        <f>Raw!N147</f>
        <v>0</v>
      </c>
      <c r="Q97" s="44">
        <f>Raw!O99</f>
        <v>0</v>
      </c>
      <c r="R97" s="44"/>
      <c r="S97" s="41"/>
    </row>
    <row r="98" spans="1:19">
      <c r="A98" t="str">
        <f>RIGHT(Raw!A148,6)</f>
        <v>HZ3CZ3</v>
      </c>
      <c r="B98" t="str">
        <f t="shared" si="0"/>
        <v>New SF Zonal to DHPHeating Savings</v>
      </c>
      <c r="C98" s="24" t="str">
        <f>IF(LEFT(Raw!A148,8)="New SF H",LEFT(Raw!A148,FIND("HZ",Raw!A148)-4),LEFT(Raw!A148,FIND("HZ",Raw!A148)-2))</f>
        <v>New SF Zonal to DHP</v>
      </c>
      <c r="D98" s="24" t="str">
        <f>Raw!B148</f>
        <v>Heating Savings</v>
      </c>
      <c r="E98" s="44">
        <f>Raw!C148</f>
        <v>1639.8901000105166</v>
      </c>
      <c r="F98" s="44">
        <f>Raw!D148</f>
        <v>15</v>
      </c>
      <c r="G98" s="44">
        <f>Raw!E148</f>
        <v>3138.9120000000003</v>
      </c>
      <c r="H98" s="44">
        <f>Raw!F148</f>
        <v>0</v>
      </c>
      <c r="I98" s="44" t="str">
        <f>Raw!G148</f>
        <v>R-All-HVAC-ERconvertDHP-HZ3-All-N</v>
      </c>
      <c r="J98" s="44">
        <f>Raw!H148</f>
        <v>127.78254899897512</v>
      </c>
      <c r="K98" s="44">
        <f>Raw!I148</f>
        <v>0</v>
      </c>
      <c r="L98" s="44">
        <f>Raw!J148</f>
        <v>0</v>
      </c>
      <c r="M98" s="44">
        <f>Raw!K148</f>
        <v>0</v>
      </c>
      <c r="N98" s="44">
        <f>Raw!L148</f>
        <v>0</v>
      </c>
      <c r="O98" s="44">
        <f>Raw!M148</f>
        <v>0</v>
      </c>
      <c r="P98" s="44">
        <f>Raw!N148</f>
        <v>0</v>
      </c>
      <c r="Q98" s="44">
        <f>Raw!O100</f>
        <v>0</v>
      </c>
      <c r="R98" s="44"/>
      <c r="S98" s="41"/>
    </row>
    <row r="99" spans="1:19">
      <c r="A99" t="str">
        <f>RIGHT(Raw!A149,6)</f>
        <v>HZ1CZ1</v>
      </c>
      <c r="B99" t="str">
        <f t="shared" si="0"/>
        <v>New SF HVAC Upgrade - Heat Pump Upgrade to 9.0 HSPF/14 SEERCooling Savings</v>
      </c>
      <c r="C99" s="24" t="str">
        <f>IF(LEFT(Raw!A149,8)="New SF H",LEFT(Raw!A149,FIND("HZ",Raw!A149)-4),LEFT(Raw!A149,FIND("HZ",Raw!A149)-2))</f>
        <v>New SF HVAC Upgrade - Heat Pump Upgrade to 9.0 HSPF/14 SEER</v>
      </c>
      <c r="D99" s="24" t="str">
        <f>Raw!B149</f>
        <v>Cooling Savings</v>
      </c>
      <c r="E99" s="44">
        <f>Raw!C149</f>
        <v>15.869696470000001</v>
      </c>
      <c r="F99" s="44">
        <f>Raw!D149</f>
        <v>15</v>
      </c>
      <c r="G99" s="44">
        <f>Raw!E149</f>
        <v>0</v>
      </c>
      <c r="H99" s="44">
        <f>Raw!F149</f>
        <v>0</v>
      </c>
      <c r="I99" s="44" t="str">
        <f>Raw!G149</f>
        <v>ResCACZ1</v>
      </c>
      <c r="J99" s="44">
        <f>Raw!H149</f>
        <v>0</v>
      </c>
      <c r="K99" s="44">
        <f>Raw!I149</f>
        <v>0</v>
      </c>
      <c r="L99" s="44">
        <f>Raw!J149</f>
        <v>0</v>
      </c>
      <c r="M99" s="44">
        <f>Raw!K149</f>
        <v>0</v>
      </c>
      <c r="N99" s="44">
        <f>Raw!L149</f>
        <v>0</v>
      </c>
      <c r="O99" s="44">
        <f>Raw!M149</f>
        <v>0</v>
      </c>
      <c r="P99" s="44">
        <f>Raw!N149</f>
        <v>0</v>
      </c>
      <c r="Q99" s="44">
        <f>Raw!O101</f>
        <v>0</v>
      </c>
      <c r="R99" s="44"/>
      <c r="S99" s="41"/>
    </row>
    <row r="100" spans="1:19">
      <c r="A100" t="str">
        <f>RIGHT(Raw!A150,6)</f>
        <v>HZ1CZ2</v>
      </c>
      <c r="B100" t="str">
        <f t="shared" si="0"/>
        <v>New SF HVAC Upgrade - Heat Pump Upgrade to 9.0 HSPF/14 SEERCooling Savings</v>
      </c>
      <c r="C100" s="24" t="str">
        <f>IF(LEFT(Raw!A150,8)="New SF H",LEFT(Raw!A150,FIND("HZ",Raw!A150)-4),LEFT(Raw!A150,FIND("HZ",Raw!A150)-2))</f>
        <v>New SF HVAC Upgrade - Heat Pump Upgrade to 9.0 HSPF/14 SEER</v>
      </c>
      <c r="D100" s="24" t="str">
        <f>Raw!B150</f>
        <v>Cooling Savings</v>
      </c>
      <c r="E100" s="44">
        <f>Raw!C150</f>
        <v>31.275325390000035</v>
      </c>
      <c r="F100" s="44">
        <f>Raw!D150</f>
        <v>15</v>
      </c>
      <c r="G100" s="44">
        <f>Raw!E150</f>
        <v>0</v>
      </c>
      <c r="H100" s="44">
        <f>Raw!F150</f>
        <v>0</v>
      </c>
      <c r="I100" s="44" t="str">
        <f>Raw!G150</f>
        <v>ResCACZ2</v>
      </c>
      <c r="J100" s="44">
        <f>Raw!H150</f>
        <v>0</v>
      </c>
      <c r="K100" s="44">
        <f>Raw!I150</f>
        <v>0</v>
      </c>
      <c r="L100" s="44">
        <f>Raw!J150</f>
        <v>0</v>
      </c>
      <c r="M100" s="44">
        <f>Raw!K150</f>
        <v>0</v>
      </c>
      <c r="N100" s="44">
        <f>Raw!L150</f>
        <v>0</v>
      </c>
      <c r="O100" s="44">
        <f>Raw!M150</f>
        <v>0</v>
      </c>
      <c r="P100" s="44">
        <f>Raw!N150</f>
        <v>0</v>
      </c>
      <c r="Q100" s="44">
        <f>Raw!O102</f>
        <v>0</v>
      </c>
      <c r="R100" s="44"/>
      <c r="S100" s="41"/>
    </row>
    <row r="101" spans="1:19">
      <c r="A101" t="str">
        <f>RIGHT(Raw!A151,6)</f>
        <v>HZ1CZ3</v>
      </c>
      <c r="B101" t="str">
        <f t="shared" si="0"/>
        <v>New SF HVAC Upgrade - Heat Pump Upgrade to 9.0 HSPF/14 SEERCooling Savings</v>
      </c>
      <c r="C101" s="24" t="str">
        <f>IF(LEFT(Raw!A151,8)="New SF H",LEFT(Raw!A151,FIND("HZ",Raw!A151)-4),LEFT(Raw!A151,FIND("HZ",Raw!A151)-2))</f>
        <v>New SF HVAC Upgrade - Heat Pump Upgrade to 9.0 HSPF/14 SEER</v>
      </c>
      <c r="D101" s="24" t="str">
        <f>Raw!B151</f>
        <v>Cooling Savings</v>
      </c>
      <c r="E101" s="44">
        <f>Raw!C151</f>
        <v>50.669817789999996</v>
      </c>
      <c r="F101" s="44">
        <f>Raw!D151</f>
        <v>15</v>
      </c>
      <c r="G101" s="44">
        <f>Raw!E151</f>
        <v>0</v>
      </c>
      <c r="H101" s="44">
        <f>Raw!F151</f>
        <v>0</v>
      </c>
      <c r="I101" s="44" t="str">
        <f>Raw!G151</f>
        <v>ResCACZ3</v>
      </c>
      <c r="J101" s="44">
        <f>Raw!H151</f>
        <v>0</v>
      </c>
      <c r="K101" s="44">
        <f>Raw!I151</f>
        <v>0</v>
      </c>
      <c r="L101" s="44">
        <f>Raw!J151</f>
        <v>0</v>
      </c>
      <c r="M101" s="44">
        <f>Raw!K151</f>
        <v>0</v>
      </c>
      <c r="N101" s="44">
        <f>Raw!L151</f>
        <v>0</v>
      </c>
      <c r="O101" s="44">
        <f>Raw!M151</f>
        <v>0</v>
      </c>
      <c r="P101" s="44">
        <f>Raw!N151</f>
        <v>0</v>
      </c>
      <c r="Q101" s="44">
        <f>Raw!O103</f>
        <v>0</v>
      </c>
      <c r="R101" s="44"/>
      <c r="S101" s="41"/>
    </row>
    <row r="102" spans="1:19">
      <c r="A102" t="str">
        <f>RIGHT(Raw!A152,6)</f>
        <v>HZ2CZ1</v>
      </c>
      <c r="B102" t="str">
        <f t="shared" si="0"/>
        <v>New SF HVAC Upgrade - Heat Pump Upgrade to 9.0 HSPF/14 SEERCooling Savings</v>
      </c>
      <c r="C102" s="24" t="str">
        <f>IF(LEFT(Raw!A152,8)="New SF H",LEFT(Raw!A152,FIND("HZ",Raw!A152)-4),LEFT(Raw!A152,FIND("HZ",Raw!A152)-2))</f>
        <v>New SF HVAC Upgrade - Heat Pump Upgrade to 9.0 HSPF/14 SEER</v>
      </c>
      <c r="D102" s="24" t="str">
        <f>Raw!B152</f>
        <v>Cooling Savings</v>
      </c>
      <c r="E102" s="44">
        <f>Raw!C152</f>
        <v>15.860532380000018</v>
      </c>
      <c r="F102" s="44">
        <f>Raw!D152</f>
        <v>15</v>
      </c>
      <c r="G102" s="44">
        <f>Raw!E152</f>
        <v>0</v>
      </c>
      <c r="H102" s="44">
        <f>Raw!F152</f>
        <v>0</v>
      </c>
      <c r="I102" s="44" t="str">
        <f>Raw!G152</f>
        <v>ResCACZ1</v>
      </c>
      <c r="J102" s="44">
        <f>Raw!H152</f>
        <v>0</v>
      </c>
      <c r="K102" s="44">
        <f>Raw!I152</f>
        <v>0</v>
      </c>
      <c r="L102" s="44">
        <f>Raw!J152</f>
        <v>0</v>
      </c>
      <c r="M102" s="44">
        <f>Raw!K152</f>
        <v>0</v>
      </c>
      <c r="N102" s="44">
        <f>Raw!L152</f>
        <v>0</v>
      </c>
      <c r="O102" s="44">
        <f>Raw!M152</f>
        <v>0</v>
      </c>
      <c r="P102" s="44">
        <f>Raw!N152</f>
        <v>0</v>
      </c>
      <c r="Q102" s="44">
        <f>Raw!O104</f>
        <v>0</v>
      </c>
      <c r="R102" s="44"/>
      <c r="S102" s="41"/>
    </row>
    <row r="103" spans="1:19">
      <c r="A103" t="str">
        <f>RIGHT(Raw!A153,6)</f>
        <v>HZ2CZ2</v>
      </c>
      <c r="B103" t="str">
        <f t="shared" si="0"/>
        <v>New SF HVAC Upgrade - Heat Pump Upgrade to 9.0 HSPF/14 SEERCooling Savings</v>
      </c>
      <c r="C103" s="24" t="str">
        <f>IF(LEFT(Raw!A153,8)="New SF H",LEFT(Raw!A153,FIND("HZ",Raw!A153)-4),LEFT(Raw!A153,FIND("HZ",Raw!A153)-2))</f>
        <v>New SF HVAC Upgrade - Heat Pump Upgrade to 9.0 HSPF/14 SEER</v>
      </c>
      <c r="D103" s="24" t="str">
        <f>Raw!B153</f>
        <v>Cooling Savings</v>
      </c>
      <c r="E103" s="44">
        <f>Raw!C153</f>
        <v>31.345845989999969</v>
      </c>
      <c r="F103" s="44">
        <f>Raw!D153</f>
        <v>15</v>
      </c>
      <c r="G103" s="44">
        <f>Raw!E153</f>
        <v>0</v>
      </c>
      <c r="H103" s="44">
        <f>Raw!F153</f>
        <v>0</v>
      </c>
      <c r="I103" s="44" t="str">
        <f>Raw!G153</f>
        <v>ResCACZ2</v>
      </c>
      <c r="J103" s="44">
        <f>Raw!H153</f>
        <v>0</v>
      </c>
      <c r="K103" s="44">
        <f>Raw!I153</f>
        <v>0</v>
      </c>
      <c r="L103" s="44">
        <f>Raw!J153</f>
        <v>0</v>
      </c>
      <c r="M103" s="44">
        <f>Raw!K153</f>
        <v>0</v>
      </c>
      <c r="N103" s="44">
        <f>Raw!L153</f>
        <v>0</v>
      </c>
      <c r="O103" s="44">
        <f>Raw!M153</f>
        <v>0</v>
      </c>
      <c r="P103" s="44">
        <f>Raw!N153</f>
        <v>0</v>
      </c>
      <c r="Q103" s="44">
        <f>Raw!O105</f>
        <v>0</v>
      </c>
      <c r="R103" s="44"/>
      <c r="S103" s="41"/>
    </row>
    <row r="104" spans="1:19">
      <c r="A104" t="str">
        <f>RIGHT(Raw!A154,6)</f>
        <v>HZ2CZ3</v>
      </c>
      <c r="B104" t="str">
        <f t="shared" ref="B104:B125" si="1">C104&amp;D104</f>
        <v>New SF HVAC Upgrade - Heat Pump Upgrade to 9.0 HSPF/14 SEERCooling Savings</v>
      </c>
      <c r="C104" s="24" t="str">
        <f>IF(LEFT(Raw!A154,8)="New SF H",LEFT(Raw!A154,FIND("HZ",Raw!A154)-4),LEFT(Raw!A154,FIND("HZ",Raw!A154)-2))</f>
        <v>New SF HVAC Upgrade - Heat Pump Upgrade to 9.0 HSPF/14 SEER</v>
      </c>
      <c r="D104" s="24" t="str">
        <f>Raw!B154</f>
        <v>Cooling Savings</v>
      </c>
      <c r="E104" s="44">
        <f>Raw!C154</f>
        <v>51.086072969999947</v>
      </c>
      <c r="F104" s="44">
        <f>Raw!D154</f>
        <v>15</v>
      </c>
      <c r="G104" s="44">
        <f>Raw!E154</f>
        <v>0</v>
      </c>
      <c r="H104" s="44">
        <f>Raw!F154</f>
        <v>0</v>
      </c>
      <c r="I104" s="44" t="str">
        <f>Raw!G154</f>
        <v>ResCACZ3</v>
      </c>
      <c r="J104" s="44">
        <f>Raw!H154</f>
        <v>0</v>
      </c>
      <c r="K104" s="44">
        <f>Raw!I154</f>
        <v>0</v>
      </c>
      <c r="L104" s="44">
        <f>Raw!J154</f>
        <v>0</v>
      </c>
      <c r="M104" s="44">
        <f>Raw!K154</f>
        <v>0</v>
      </c>
      <c r="N104" s="44">
        <f>Raw!L154</f>
        <v>0</v>
      </c>
      <c r="O104" s="44">
        <f>Raw!M154</f>
        <v>0</v>
      </c>
      <c r="P104" s="44">
        <f>Raw!N154</f>
        <v>0</v>
      </c>
      <c r="Q104" s="44">
        <f>Raw!O106</f>
        <v>0</v>
      </c>
      <c r="R104" s="44"/>
      <c r="S104" s="41"/>
    </row>
    <row r="105" spans="1:19">
      <c r="A105" t="str">
        <f>RIGHT(Raw!A155,6)</f>
        <v>HZ3CZ1</v>
      </c>
      <c r="B105" t="str">
        <f t="shared" si="1"/>
        <v>New SF HVAC Upgrade - Heat Pump Upgrade to 9.0 HSPF/14 SEERCooling Savings</v>
      </c>
      <c r="C105" s="24" t="str">
        <f>IF(LEFT(Raw!A155,8)="New SF H",LEFT(Raw!A155,FIND("HZ",Raw!A155)-4),LEFT(Raw!A155,FIND("HZ",Raw!A155)-2))</f>
        <v>New SF HVAC Upgrade - Heat Pump Upgrade to 9.0 HSPF/14 SEER</v>
      </c>
      <c r="D105" s="24" t="str">
        <f>Raw!B155</f>
        <v>Cooling Savings</v>
      </c>
      <c r="E105" s="44">
        <f>Raw!C155</f>
        <v>16.101439590000009</v>
      </c>
      <c r="F105" s="44">
        <f>Raw!D155</f>
        <v>15</v>
      </c>
      <c r="G105" s="44">
        <f>Raw!E155</f>
        <v>0</v>
      </c>
      <c r="H105" s="44">
        <f>Raw!F155</f>
        <v>0</v>
      </c>
      <c r="I105" s="44" t="str">
        <f>Raw!G155</f>
        <v>ResCACZ1</v>
      </c>
      <c r="J105" s="44">
        <f>Raw!H155</f>
        <v>0</v>
      </c>
      <c r="K105" s="44">
        <f>Raw!I155</f>
        <v>0</v>
      </c>
      <c r="L105" s="44">
        <f>Raw!J155</f>
        <v>0</v>
      </c>
      <c r="M105" s="44">
        <f>Raw!K155</f>
        <v>0</v>
      </c>
      <c r="N105" s="44">
        <f>Raw!L155</f>
        <v>0</v>
      </c>
      <c r="O105" s="44">
        <f>Raw!M155</f>
        <v>0</v>
      </c>
      <c r="P105" s="44">
        <f>Raw!N155</f>
        <v>0</v>
      </c>
      <c r="Q105" s="44">
        <f>Raw!O107</f>
        <v>0</v>
      </c>
      <c r="R105" s="44"/>
      <c r="S105" s="41"/>
    </row>
    <row r="106" spans="1:19">
      <c r="A106" t="str">
        <f>RIGHT(Raw!A156,6)</f>
        <v>HZ3CZ2</v>
      </c>
      <c r="B106" t="str">
        <f t="shared" si="1"/>
        <v>New SF HVAC Upgrade - Heat Pump Upgrade to 9.0 HSPF/14 SEERCooling Savings</v>
      </c>
      <c r="C106" s="24" t="str">
        <f>IF(LEFT(Raw!A156,8)="New SF H",LEFT(Raw!A156,FIND("HZ",Raw!A156)-4),LEFT(Raw!A156,FIND("HZ",Raw!A156)-2))</f>
        <v>New SF HVAC Upgrade - Heat Pump Upgrade to 9.0 HSPF/14 SEER</v>
      </c>
      <c r="D106" s="24" t="str">
        <f>Raw!B156</f>
        <v>Cooling Savings</v>
      </c>
      <c r="E106" s="44">
        <f>Raw!C156</f>
        <v>31.558066760000042</v>
      </c>
      <c r="F106" s="44">
        <f>Raw!D156</f>
        <v>15</v>
      </c>
      <c r="G106" s="44">
        <f>Raw!E156</f>
        <v>0</v>
      </c>
      <c r="H106" s="44">
        <f>Raw!F156</f>
        <v>0</v>
      </c>
      <c r="I106" s="44" t="str">
        <f>Raw!G156</f>
        <v>ResCACZ2</v>
      </c>
      <c r="J106" s="44">
        <f>Raw!H156</f>
        <v>0</v>
      </c>
      <c r="K106" s="44">
        <f>Raw!I156</f>
        <v>0</v>
      </c>
      <c r="L106" s="44">
        <f>Raw!J156</f>
        <v>0</v>
      </c>
      <c r="M106" s="44">
        <f>Raw!K156</f>
        <v>0</v>
      </c>
      <c r="N106" s="44">
        <f>Raw!L156</f>
        <v>0</v>
      </c>
      <c r="O106" s="44">
        <f>Raw!M156</f>
        <v>0</v>
      </c>
      <c r="P106" s="44">
        <f>Raw!N156</f>
        <v>0</v>
      </c>
      <c r="Q106" s="44">
        <f>Raw!O108</f>
        <v>0</v>
      </c>
      <c r="R106" s="44"/>
      <c r="S106" s="41"/>
    </row>
    <row r="107" spans="1:19">
      <c r="A107" t="str">
        <f>RIGHT(Raw!A157,6)</f>
        <v>HZ3CZ3</v>
      </c>
      <c r="B107" t="str">
        <f t="shared" si="1"/>
        <v>New SF HVAC Upgrade - Heat Pump Upgrade to 9.0 HSPF/14 SEERCooling Savings</v>
      </c>
      <c r="C107" s="24" t="str">
        <f>IF(LEFT(Raw!A157,8)="New SF H",LEFT(Raw!A157,FIND("HZ",Raw!A157)-4),LEFT(Raw!A157,FIND("HZ",Raw!A157)-2))</f>
        <v>New SF HVAC Upgrade - Heat Pump Upgrade to 9.0 HSPF/14 SEER</v>
      </c>
      <c r="D107" s="24" t="str">
        <f>Raw!B157</f>
        <v>Cooling Savings</v>
      </c>
      <c r="E107" s="44">
        <f>Raw!C157</f>
        <v>51.227045089999876</v>
      </c>
      <c r="F107" s="44">
        <f>Raw!D157</f>
        <v>15</v>
      </c>
      <c r="G107" s="44">
        <f>Raw!E157</f>
        <v>0</v>
      </c>
      <c r="H107" s="44">
        <f>Raw!F157</f>
        <v>0</v>
      </c>
      <c r="I107" s="44" t="str">
        <f>Raw!G157</f>
        <v>ResCACZ3</v>
      </c>
      <c r="J107" s="44">
        <f>Raw!H157</f>
        <v>0</v>
      </c>
      <c r="K107" s="44">
        <f>Raw!I157</f>
        <v>0</v>
      </c>
      <c r="L107" s="44">
        <f>Raw!J157</f>
        <v>0</v>
      </c>
      <c r="M107" s="44">
        <f>Raw!K157</f>
        <v>0</v>
      </c>
      <c r="N107" s="44">
        <f>Raw!L157</f>
        <v>0</v>
      </c>
      <c r="O107" s="44">
        <f>Raw!M157</f>
        <v>0</v>
      </c>
      <c r="P107" s="44">
        <f>Raw!N157</f>
        <v>0</v>
      </c>
      <c r="Q107" s="44">
        <f>Raw!O109</f>
        <v>0</v>
      </c>
      <c r="R107" s="44"/>
      <c r="S107" s="41"/>
    </row>
    <row r="108" spans="1:19">
      <c r="A108" t="str">
        <f>RIGHT(Raw!A158,6)</f>
        <v>HZ1CZ1</v>
      </c>
      <c r="B108" t="str">
        <f t="shared" si="1"/>
        <v>New SF HVAC Upgrade - Central Heat Pump Upgrade to Variable Capacity Central Heat PumpCooling Savings</v>
      </c>
      <c r="C108" s="24" t="str">
        <f>IF(LEFT(Raw!A158,8)="New SF H",LEFT(Raw!A158,FIND("HZ",Raw!A158)-4),LEFT(Raw!A158,FIND("HZ",Raw!A158)-2))</f>
        <v>New SF HVAC Upgrade - Central Heat Pump Upgrade to Variable Capacity Central Heat Pump</v>
      </c>
      <c r="D108" s="24" t="str">
        <f>Raw!B158</f>
        <v>Cooling Savings</v>
      </c>
      <c r="E108" s="44">
        <f>Raw!C158</f>
        <v>63.646904412715216</v>
      </c>
      <c r="F108" s="44">
        <f>Raw!D158</f>
        <v>15</v>
      </c>
      <c r="G108" s="44">
        <f>Raw!E158</f>
        <v>0</v>
      </c>
      <c r="H108" s="44">
        <f>Raw!F158</f>
        <v>0</v>
      </c>
      <c r="I108" s="44" t="str">
        <f>Raw!G158</f>
        <v>ResCACZ1</v>
      </c>
      <c r="J108" s="44">
        <f>Raw!H158</f>
        <v>0</v>
      </c>
      <c r="K108" s="44">
        <f>Raw!I158</f>
        <v>0</v>
      </c>
      <c r="L108" s="44">
        <f>Raw!J158</f>
        <v>0</v>
      </c>
      <c r="M108" s="44">
        <f>Raw!K158</f>
        <v>0</v>
      </c>
      <c r="N108" s="44">
        <f>Raw!L158</f>
        <v>0</v>
      </c>
      <c r="O108" s="44">
        <f>Raw!M158</f>
        <v>0</v>
      </c>
      <c r="P108" s="44">
        <f>Raw!N158</f>
        <v>0</v>
      </c>
      <c r="Q108" s="44">
        <f>Raw!O110</f>
        <v>0</v>
      </c>
      <c r="R108" s="44"/>
      <c r="S108" s="41"/>
    </row>
    <row r="109" spans="1:19">
      <c r="A109" t="str">
        <f>RIGHT(Raw!A159,6)</f>
        <v>HZ1CZ2</v>
      </c>
      <c r="B109" t="str">
        <f t="shared" si="1"/>
        <v>New SF HVAC Upgrade - Central Heat Pump Upgrade to Variable Capacity Central Heat PumpCooling Savings</v>
      </c>
      <c r="C109" s="24" t="str">
        <f>IF(LEFT(Raw!A159,8)="New SF H",LEFT(Raw!A159,FIND("HZ",Raw!A159)-4),LEFT(Raw!A159,FIND("HZ",Raw!A159)-2))</f>
        <v>New SF HVAC Upgrade - Central Heat Pump Upgrade to Variable Capacity Central Heat Pump</v>
      </c>
      <c r="D109" s="24" t="str">
        <f>Raw!B159</f>
        <v>Cooling Savings</v>
      </c>
      <c r="E109" s="44">
        <f>Raw!C159</f>
        <v>148.1378811331501</v>
      </c>
      <c r="F109" s="44">
        <f>Raw!D159</f>
        <v>15</v>
      </c>
      <c r="G109" s="44">
        <f>Raw!E159</f>
        <v>0</v>
      </c>
      <c r="H109" s="44">
        <f>Raw!F159</f>
        <v>0</v>
      </c>
      <c r="I109" s="44" t="str">
        <f>Raw!G159</f>
        <v>ResCACZ2</v>
      </c>
      <c r="J109" s="44">
        <f>Raw!H159</f>
        <v>0</v>
      </c>
      <c r="K109" s="44">
        <f>Raw!I159</f>
        <v>0</v>
      </c>
      <c r="L109" s="44">
        <f>Raw!J159</f>
        <v>0</v>
      </c>
      <c r="M109" s="44">
        <f>Raw!K159</f>
        <v>0</v>
      </c>
      <c r="N109" s="44">
        <f>Raw!L159</f>
        <v>0</v>
      </c>
      <c r="O109" s="44">
        <f>Raw!M159</f>
        <v>0</v>
      </c>
      <c r="P109" s="44">
        <f>Raw!N159</f>
        <v>0</v>
      </c>
      <c r="Q109" s="44">
        <f>Raw!O111</f>
        <v>0</v>
      </c>
      <c r="R109" s="44"/>
      <c r="S109" s="41"/>
    </row>
    <row r="110" spans="1:19">
      <c r="A110" t="str">
        <f>RIGHT(Raw!A160,6)</f>
        <v>HZ1CZ3</v>
      </c>
      <c r="B110" t="str">
        <f t="shared" si="1"/>
        <v>New SF HVAC Upgrade - Central Heat Pump Upgrade to Variable Capacity Central Heat PumpCooling Savings</v>
      </c>
      <c r="C110" s="24" t="str">
        <f>IF(LEFT(Raw!A160,8)="New SF H",LEFT(Raw!A160,FIND("HZ",Raw!A160)-4),LEFT(Raw!A160,FIND("HZ",Raw!A160)-2))</f>
        <v>New SF HVAC Upgrade - Central Heat Pump Upgrade to Variable Capacity Central Heat Pump</v>
      </c>
      <c r="D110" s="24" t="str">
        <f>Raw!B160</f>
        <v>Cooling Savings</v>
      </c>
      <c r="E110" s="44">
        <f>Raw!C160</f>
        <v>248.28454951850256</v>
      </c>
      <c r="F110" s="44">
        <f>Raw!D160</f>
        <v>15</v>
      </c>
      <c r="G110" s="44">
        <f>Raw!E160</f>
        <v>0</v>
      </c>
      <c r="H110" s="44">
        <f>Raw!F160</f>
        <v>0</v>
      </c>
      <c r="I110" s="44" t="str">
        <f>Raw!G160</f>
        <v>ResCACZ3</v>
      </c>
      <c r="J110" s="44">
        <f>Raw!H160</f>
        <v>0</v>
      </c>
      <c r="K110" s="44">
        <f>Raw!I160</f>
        <v>0</v>
      </c>
      <c r="L110" s="44">
        <f>Raw!J160</f>
        <v>0</v>
      </c>
      <c r="M110" s="44">
        <f>Raw!K160</f>
        <v>0</v>
      </c>
      <c r="N110" s="44">
        <f>Raw!L160</f>
        <v>0</v>
      </c>
      <c r="O110" s="44">
        <f>Raw!M160</f>
        <v>0</v>
      </c>
      <c r="P110" s="44">
        <f>Raw!N160</f>
        <v>0</v>
      </c>
      <c r="Q110" s="44">
        <f>Raw!O112</f>
        <v>0</v>
      </c>
      <c r="R110" s="44"/>
      <c r="S110" s="41"/>
    </row>
    <row r="111" spans="1:19">
      <c r="A111" t="str">
        <f>RIGHT(Raw!A161,6)</f>
        <v>HZ2CZ1</v>
      </c>
      <c r="B111" t="str">
        <f t="shared" si="1"/>
        <v>New SF HVAC Upgrade - Central Heat Pump Upgrade to Variable Capacity Central Heat PumpCooling Savings</v>
      </c>
      <c r="C111" s="24" t="str">
        <f>IF(LEFT(Raw!A161,8)="New SF H",LEFT(Raw!A161,FIND("HZ",Raw!A161)-4),LEFT(Raw!A161,FIND("HZ",Raw!A161)-2))</f>
        <v>New SF HVAC Upgrade - Central Heat Pump Upgrade to Variable Capacity Central Heat Pump</v>
      </c>
      <c r="D111" s="24" t="str">
        <f>Raw!B161</f>
        <v>Cooling Savings</v>
      </c>
      <c r="E111" s="44">
        <f>Raw!C161</f>
        <v>63.646904412715216</v>
      </c>
      <c r="F111" s="44">
        <f>Raw!D161</f>
        <v>15</v>
      </c>
      <c r="G111" s="44">
        <f>Raw!E161</f>
        <v>0</v>
      </c>
      <c r="H111" s="44">
        <f>Raw!F161</f>
        <v>0</v>
      </c>
      <c r="I111" s="44" t="str">
        <f>Raw!G161</f>
        <v>ResCACZ1</v>
      </c>
      <c r="J111" s="44">
        <f>Raw!H161</f>
        <v>0</v>
      </c>
      <c r="K111" s="44">
        <f>Raw!I161</f>
        <v>0</v>
      </c>
      <c r="L111" s="44">
        <f>Raw!J161</f>
        <v>0</v>
      </c>
      <c r="M111" s="44">
        <f>Raw!K161</f>
        <v>0</v>
      </c>
      <c r="N111" s="44">
        <f>Raw!L161</f>
        <v>0</v>
      </c>
      <c r="O111" s="44">
        <f>Raw!M161</f>
        <v>0</v>
      </c>
      <c r="P111" s="44">
        <f>Raw!N161</f>
        <v>0</v>
      </c>
      <c r="Q111" s="44">
        <f>Raw!O113</f>
        <v>0</v>
      </c>
      <c r="R111" s="44"/>
      <c r="S111" s="41"/>
    </row>
    <row r="112" spans="1:19">
      <c r="A112" t="str">
        <f>RIGHT(Raw!A162,6)</f>
        <v>HZ2CZ2</v>
      </c>
      <c r="B112" t="str">
        <f t="shared" si="1"/>
        <v>New SF HVAC Upgrade - Central Heat Pump Upgrade to Variable Capacity Central Heat PumpCooling Savings</v>
      </c>
      <c r="C112" s="24" t="str">
        <f>IF(LEFT(Raw!A162,8)="New SF H",LEFT(Raw!A162,FIND("HZ",Raw!A162)-4),LEFT(Raw!A162,FIND("HZ",Raw!A162)-2))</f>
        <v>New SF HVAC Upgrade - Central Heat Pump Upgrade to Variable Capacity Central Heat Pump</v>
      </c>
      <c r="D112" s="24" t="str">
        <f>Raw!B162</f>
        <v>Cooling Savings</v>
      </c>
      <c r="E112" s="44">
        <f>Raw!C162</f>
        <v>148.1378811331501</v>
      </c>
      <c r="F112" s="44">
        <f>Raw!D162</f>
        <v>15</v>
      </c>
      <c r="G112" s="44">
        <f>Raw!E162</f>
        <v>0</v>
      </c>
      <c r="H112" s="44">
        <f>Raw!F162</f>
        <v>0</v>
      </c>
      <c r="I112" s="44" t="str">
        <f>Raw!G162</f>
        <v>ResCACZ2</v>
      </c>
      <c r="J112" s="44">
        <f>Raw!H162</f>
        <v>0</v>
      </c>
      <c r="K112" s="44">
        <f>Raw!I162</f>
        <v>0</v>
      </c>
      <c r="L112" s="44">
        <f>Raw!J162</f>
        <v>0</v>
      </c>
      <c r="M112" s="44">
        <f>Raw!K162</f>
        <v>0</v>
      </c>
      <c r="N112" s="44">
        <f>Raw!L162</f>
        <v>0</v>
      </c>
      <c r="O112" s="44">
        <f>Raw!M162</f>
        <v>0</v>
      </c>
      <c r="P112" s="44">
        <f>Raw!N162</f>
        <v>0</v>
      </c>
      <c r="Q112" s="44">
        <f>Raw!O114</f>
        <v>0</v>
      </c>
      <c r="R112" s="44"/>
    </row>
    <row r="113" spans="1:18">
      <c r="A113" t="str">
        <f>RIGHT(Raw!A163,6)</f>
        <v>HZ2CZ3</v>
      </c>
      <c r="B113" t="str">
        <f t="shared" si="1"/>
        <v>New SF HVAC Upgrade - Central Heat Pump Upgrade to Variable Capacity Central Heat PumpCooling Savings</v>
      </c>
      <c r="C113" s="24" t="str">
        <f>IF(LEFT(Raw!A163,8)="New SF H",LEFT(Raw!A163,FIND("HZ",Raw!A163)-4),LEFT(Raw!A163,FIND("HZ",Raw!A163)-2))</f>
        <v>New SF HVAC Upgrade - Central Heat Pump Upgrade to Variable Capacity Central Heat Pump</v>
      </c>
      <c r="D113" s="24" t="str">
        <f>Raw!B163</f>
        <v>Cooling Savings</v>
      </c>
      <c r="E113" s="44">
        <f>Raw!C163</f>
        <v>248.28454951850256</v>
      </c>
      <c r="F113" s="44">
        <f>Raw!D163</f>
        <v>15</v>
      </c>
      <c r="G113" s="44">
        <f>Raw!E163</f>
        <v>0</v>
      </c>
      <c r="H113" s="44">
        <f>Raw!F163</f>
        <v>0</v>
      </c>
      <c r="I113" s="44" t="str">
        <f>Raw!G163</f>
        <v>ResCACZ3</v>
      </c>
      <c r="J113" s="44">
        <f>Raw!H163</f>
        <v>0</v>
      </c>
      <c r="K113" s="44">
        <f>Raw!I163</f>
        <v>0</v>
      </c>
      <c r="L113" s="44">
        <f>Raw!J163</f>
        <v>0</v>
      </c>
      <c r="M113" s="44">
        <f>Raw!K163</f>
        <v>0</v>
      </c>
      <c r="N113" s="44">
        <f>Raw!L163</f>
        <v>0</v>
      </c>
      <c r="O113" s="44">
        <f>Raw!M163</f>
        <v>0</v>
      </c>
      <c r="P113" s="44">
        <f>Raw!N163</f>
        <v>0</v>
      </c>
      <c r="Q113" s="44">
        <f>Raw!O115</f>
        <v>0</v>
      </c>
      <c r="R113" s="44"/>
    </row>
    <row r="114" spans="1:18">
      <c r="A114" t="str">
        <f>RIGHT(Raw!A164,6)</f>
        <v>HZ3CZ1</v>
      </c>
      <c r="B114" t="str">
        <f t="shared" si="1"/>
        <v>New SF HVAC Upgrade - Central Heat Pump Upgrade to Variable Capacity Central Heat PumpCooling Savings</v>
      </c>
      <c r="C114" s="24" t="str">
        <f>IF(LEFT(Raw!A164,8)="New SF H",LEFT(Raw!A164,FIND("HZ",Raw!A164)-4),LEFT(Raw!A164,FIND("HZ",Raw!A164)-2))</f>
        <v>New SF HVAC Upgrade - Central Heat Pump Upgrade to Variable Capacity Central Heat Pump</v>
      </c>
      <c r="D114" s="24" t="str">
        <f>Raw!B164</f>
        <v>Cooling Savings</v>
      </c>
      <c r="E114" s="44">
        <f>Raw!C164</f>
        <v>63.646904412715216</v>
      </c>
      <c r="F114" s="44">
        <f>Raw!D164</f>
        <v>15</v>
      </c>
      <c r="G114" s="44">
        <f>Raw!E164</f>
        <v>0</v>
      </c>
      <c r="H114" s="44">
        <f>Raw!F164</f>
        <v>0</v>
      </c>
      <c r="I114" s="44" t="str">
        <f>Raw!G164</f>
        <v>ResCACZ1</v>
      </c>
      <c r="J114" s="44">
        <f>Raw!H164</f>
        <v>0</v>
      </c>
      <c r="K114" s="44">
        <f>Raw!I164</f>
        <v>0</v>
      </c>
      <c r="L114" s="44">
        <f>Raw!J164</f>
        <v>0</v>
      </c>
      <c r="M114" s="44">
        <f>Raw!K164</f>
        <v>0</v>
      </c>
      <c r="N114" s="44">
        <f>Raw!L164</f>
        <v>0</v>
      </c>
      <c r="O114" s="44">
        <f>Raw!M164</f>
        <v>0</v>
      </c>
      <c r="P114" s="44">
        <f>Raw!N164</f>
        <v>0</v>
      </c>
      <c r="Q114" s="44">
        <f>Raw!O116</f>
        <v>0</v>
      </c>
      <c r="R114" s="44"/>
    </row>
    <row r="115" spans="1:18">
      <c r="A115" t="str">
        <f>RIGHT(Raw!A165,6)</f>
        <v>HZ3CZ2</v>
      </c>
      <c r="B115" t="str">
        <f t="shared" si="1"/>
        <v>New SF HVAC Upgrade - Central Heat Pump Upgrade to Variable Capacity Central Heat PumpCooling Savings</v>
      </c>
      <c r="C115" s="24" t="str">
        <f>IF(LEFT(Raw!A165,8)="New SF H",LEFT(Raw!A165,FIND("HZ",Raw!A165)-4),LEFT(Raw!A165,FIND("HZ",Raw!A165)-2))</f>
        <v>New SF HVAC Upgrade - Central Heat Pump Upgrade to Variable Capacity Central Heat Pump</v>
      </c>
      <c r="D115" s="24" t="str">
        <f>Raw!B165</f>
        <v>Cooling Savings</v>
      </c>
      <c r="E115" s="44">
        <f>Raw!C165</f>
        <v>148.1378811331501</v>
      </c>
      <c r="F115" s="44">
        <f>Raw!D165</f>
        <v>15</v>
      </c>
      <c r="G115" s="44">
        <f>Raw!E165</f>
        <v>0</v>
      </c>
      <c r="H115" s="44">
        <f>Raw!F165</f>
        <v>0</v>
      </c>
      <c r="I115" s="44" t="str">
        <f>Raw!G165</f>
        <v>ResCACZ2</v>
      </c>
      <c r="J115" s="44">
        <f>Raw!H165</f>
        <v>0</v>
      </c>
      <c r="K115" s="44">
        <f>Raw!I165</f>
        <v>0</v>
      </c>
      <c r="L115" s="44">
        <f>Raw!J165</f>
        <v>0</v>
      </c>
      <c r="M115" s="44">
        <f>Raw!K165</f>
        <v>0</v>
      </c>
      <c r="N115" s="44">
        <f>Raw!L165</f>
        <v>0</v>
      </c>
      <c r="O115" s="44">
        <f>Raw!M165</f>
        <v>0</v>
      </c>
      <c r="P115" s="44">
        <f>Raw!N165</f>
        <v>0</v>
      </c>
      <c r="Q115" s="44">
        <f>Raw!O117</f>
        <v>0</v>
      </c>
      <c r="R115" s="44"/>
    </row>
    <row r="116" spans="1:18">
      <c r="A116" t="str">
        <f>RIGHT(Raw!A166,6)</f>
        <v>HZ3CZ3</v>
      </c>
      <c r="B116" t="str">
        <f t="shared" si="1"/>
        <v>New SF HVAC Upgrade - Central Heat Pump Upgrade to Variable Capacity Central Heat PumpCooling Savings</v>
      </c>
      <c r="C116" s="24" t="str">
        <f>IF(LEFT(Raw!A166,8)="New SF H",LEFT(Raw!A166,FIND("HZ",Raw!A166)-4),LEFT(Raw!A166,FIND("HZ",Raw!A166)-2))</f>
        <v>New SF HVAC Upgrade - Central Heat Pump Upgrade to Variable Capacity Central Heat Pump</v>
      </c>
      <c r="D116" s="24" t="str">
        <f>Raw!B166</f>
        <v>Cooling Savings</v>
      </c>
      <c r="E116" s="44">
        <f>Raw!C166</f>
        <v>248.28454951850256</v>
      </c>
      <c r="F116" s="44">
        <f>Raw!D166</f>
        <v>15</v>
      </c>
      <c r="G116" s="44">
        <f>Raw!E166</f>
        <v>0</v>
      </c>
      <c r="H116" s="44">
        <f>Raw!F166</f>
        <v>0</v>
      </c>
      <c r="I116" s="44" t="str">
        <f>Raw!G166</f>
        <v>ResCACZ3</v>
      </c>
      <c r="J116" s="44">
        <f>Raw!H166</f>
        <v>0</v>
      </c>
      <c r="K116" s="44">
        <f>Raw!I166</f>
        <v>0</v>
      </c>
      <c r="L116" s="44">
        <f>Raw!J166</f>
        <v>0</v>
      </c>
      <c r="M116" s="44">
        <f>Raw!K166</f>
        <v>0</v>
      </c>
      <c r="N116" s="44">
        <f>Raw!L166</f>
        <v>0</v>
      </c>
      <c r="O116" s="44">
        <f>Raw!M166</f>
        <v>0</v>
      </c>
      <c r="P116" s="44">
        <f>Raw!N166</f>
        <v>0</v>
      </c>
      <c r="Q116" s="44">
        <f>Raw!O118</f>
        <v>0</v>
      </c>
      <c r="R116" s="44"/>
    </row>
    <row r="117" spans="1:18">
      <c r="A117" t="str">
        <f>RIGHT(Raw!A167,6)</f>
        <v>HZ1CZ1</v>
      </c>
      <c r="B117" t="str">
        <f t="shared" si="1"/>
        <v>New SF Zonal to DHPCooling Savings</v>
      </c>
      <c r="C117" s="24" t="str">
        <f>IF(LEFT(Raw!A167,8)="New SF H",LEFT(Raw!A167,FIND("HZ",Raw!A167)-4),LEFT(Raw!A167,FIND("HZ",Raw!A167)-2))</f>
        <v>New SF Zonal to DHP</v>
      </c>
      <c r="D117" s="24" t="str">
        <f>Raw!B167</f>
        <v>Cooling Savings</v>
      </c>
      <c r="E117" s="44">
        <f>Raw!C167</f>
        <v>-32.124417637256897</v>
      </c>
      <c r="F117" s="44">
        <f>Raw!D167</f>
        <v>15</v>
      </c>
      <c r="G117" s="44">
        <f>Raw!E167</f>
        <v>0</v>
      </c>
      <c r="H117" s="44">
        <f>Raw!F167</f>
        <v>0</v>
      </c>
      <c r="I117" s="44" t="str">
        <f>Raw!G167</f>
        <v>R-All-HVAC-DHP_cool-All-All-N</v>
      </c>
      <c r="J117" s="44">
        <f>Raw!H167</f>
        <v>4.2672027323999426</v>
      </c>
      <c r="K117" s="44">
        <f>Raw!I167</f>
        <v>0</v>
      </c>
      <c r="L117" s="44">
        <f>Raw!J167</f>
        <v>0</v>
      </c>
      <c r="M117" s="44">
        <f>Raw!K167</f>
        <v>0</v>
      </c>
      <c r="N117" s="44">
        <f>Raw!L167</f>
        <v>0</v>
      </c>
      <c r="O117" s="44">
        <f>Raw!M167</f>
        <v>0</v>
      </c>
      <c r="P117" s="44">
        <f>Raw!N167</f>
        <v>0</v>
      </c>
      <c r="Q117" s="44">
        <f>Raw!O119</f>
        <v>0</v>
      </c>
      <c r="R117" s="44"/>
    </row>
    <row r="118" spans="1:18">
      <c r="A118" t="str">
        <f>RIGHT(Raw!A168,6)</f>
        <v>HZ1CZ2</v>
      </c>
      <c r="B118" t="str">
        <f t="shared" si="1"/>
        <v>New SF Zonal to DHPCooling Savings</v>
      </c>
      <c r="C118" s="24" t="str">
        <f>IF(LEFT(Raw!A168,8)="New SF H",LEFT(Raw!A168,FIND("HZ",Raw!A168)-4),LEFT(Raw!A168,FIND("HZ",Raw!A168)-2))</f>
        <v>New SF Zonal to DHP</v>
      </c>
      <c r="D118" s="24" t="str">
        <f>Raw!B168</f>
        <v>Cooling Savings</v>
      </c>
      <c r="E118" s="44">
        <f>Raw!C168</f>
        <v>-32.124417637256897</v>
      </c>
      <c r="F118" s="44">
        <f>Raw!D168</f>
        <v>15</v>
      </c>
      <c r="G118" s="44">
        <f>Raw!E168</f>
        <v>0</v>
      </c>
      <c r="H118" s="44">
        <f>Raw!F168</f>
        <v>0</v>
      </c>
      <c r="I118" s="44" t="str">
        <f>Raw!G168</f>
        <v>R-All-HVAC-DHP_cool-All-All-N</v>
      </c>
      <c r="J118" s="44">
        <f>Raw!H168</f>
        <v>4.2672027323999426</v>
      </c>
      <c r="K118" s="44">
        <f>Raw!I168</f>
        <v>0</v>
      </c>
      <c r="L118" s="44">
        <f>Raw!J168</f>
        <v>0</v>
      </c>
      <c r="M118" s="44">
        <f>Raw!K168</f>
        <v>0</v>
      </c>
      <c r="N118" s="44">
        <f>Raw!L168</f>
        <v>0</v>
      </c>
      <c r="O118" s="44">
        <f>Raw!M168</f>
        <v>0</v>
      </c>
      <c r="P118" s="44">
        <f>Raw!N168</f>
        <v>0</v>
      </c>
      <c r="Q118" s="44">
        <f>Raw!O120</f>
        <v>0</v>
      </c>
      <c r="R118" s="44"/>
    </row>
    <row r="119" spans="1:18">
      <c r="A119" t="str">
        <f>RIGHT(Raw!A169,6)</f>
        <v>HZ1CZ3</v>
      </c>
      <c r="B119" t="str">
        <f t="shared" si="1"/>
        <v>New SF Zonal to DHPCooling Savings</v>
      </c>
      <c r="C119" s="24" t="str">
        <f>IF(LEFT(Raw!A169,8)="New SF H",LEFT(Raw!A169,FIND("HZ",Raw!A169)-4),LEFT(Raw!A169,FIND("HZ",Raw!A169)-2))</f>
        <v>New SF Zonal to DHP</v>
      </c>
      <c r="D119" s="24" t="str">
        <f>Raw!B169</f>
        <v>Cooling Savings</v>
      </c>
      <c r="E119" s="44">
        <f>Raw!C169</f>
        <v>-32.124417637256897</v>
      </c>
      <c r="F119" s="44">
        <f>Raw!D169</f>
        <v>15</v>
      </c>
      <c r="G119" s="44">
        <f>Raw!E169</f>
        <v>0</v>
      </c>
      <c r="H119" s="44">
        <f>Raw!F169</f>
        <v>0</v>
      </c>
      <c r="I119" s="44" t="str">
        <f>Raw!G169</f>
        <v>R-All-HVAC-DHP_cool-All-All-N</v>
      </c>
      <c r="J119" s="44">
        <f>Raw!H169</f>
        <v>4.2672027323999426</v>
      </c>
      <c r="K119" s="44">
        <f>Raw!I169</f>
        <v>0</v>
      </c>
      <c r="L119" s="44">
        <f>Raw!J169</f>
        <v>0</v>
      </c>
      <c r="M119" s="44">
        <f>Raw!K169</f>
        <v>0</v>
      </c>
      <c r="N119" s="44">
        <f>Raw!L169</f>
        <v>0</v>
      </c>
      <c r="O119" s="44">
        <f>Raw!M169</f>
        <v>0</v>
      </c>
      <c r="P119" s="44">
        <f>Raw!N169</f>
        <v>0</v>
      </c>
      <c r="Q119" s="44">
        <f>Raw!O121</f>
        <v>0</v>
      </c>
      <c r="R119" s="44"/>
    </row>
    <row r="120" spans="1:18">
      <c r="A120" t="str">
        <f>RIGHT(Raw!A170,6)</f>
        <v>HZ2CZ1</v>
      </c>
      <c r="B120" t="str">
        <f t="shared" si="1"/>
        <v>New SF Zonal to DHPCooling Savings</v>
      </c>
      <c r="C120" s="24" t="str">
        <f>IF(LEFT(Raw!A170,8)="New SF H",LEFT(Raw!A170,FIND("HZ",Raw!A170)-4),LEFT(Raw!A170,FIND("HZ",Raw!A170)-2))</f>
        <v>New SF Zonal to DHP</v>
      </c>
      <c r="D120" s="24" t="str">
        <f>Raw!B170</f>
        <v>Cooling Savings</v>
      </c>
      <c r="E120" s="44">
        <f>Raw!C170</f>
        <v>117.23903663470225</v>
      </c>
      <c r="F120" s="44">
        <f>Raw!D170</f>
        <v>15</v>
      </c>
      <c r="G120" s="44">
        <f>Raw!E170</f>
        <v>0</v>
      </c>
      <c r="H120" s="44">
        <f>Raw!F170</f>
        <v>0</v>
      </c>
      <c r="I120" s="44" t="str">
        <f>Raw!G170</f>
        <v>R-All-HVAC-DHP_cool-All-All-N</v>
      </c>
      <c r="J120" s="44">
        <f>Raw!H170</f>
        <v>5.8134205779960713</v>
      </c>
      <c r="K120" s="44">
        <f>Raw!I170</f>
        <v>0</v>
      </c>
      <c r="L120" s="44">
        <f>Raw!J170</f>
        <v>0</v>
      </c>
      <c r="M120" s="44">
        <f>Raw!K170</f>
        <v>0</v>
      </c>
      <c r="N120" s="44">
        <f>Raw!L170</f>
        <v>0</v>
      </c>
      <c r="O120" s="44">
        <f>Raw!M170</f>
        <v>0</v>
      </c>
      <c r="P120" s="44">
        <f>Raw!N170</f>
        <v>0</v>
      </c>
      <c r="Q120" s="44">
        <f>Raw!O122</f>
        <v>0</v>
      </c>
      <c r="R120" s="44"/>
    </row>
    <row r="121" spans="1:18">
      <c r="A121" t="str">
        <f>RIGHT(Raw!A171,6)</f>
        <v>HZ2CZ2</v>
      </c>
      <c r="B121" t="str">
        <f t="shared" si="1"/>
        <v>New SF Zonal to DHPCooling Savings</v>
      </c>
      <c r="C121" s="24" t="str">
        <f>IF(LEFT(Raw!A171,8)="New SF H",LEFT(Raw!A171,FIND("HZ",Raw!A171)-4),LEFT(Raw!A171,FIND("HZ",Raw!A171)-2))</f>
        <v>New SF Zonal to DHP</v>
      </c>
      <c r="D121" s="24" t="str">
        <f>Raw!B171</f>
        <v>Cooling Savings</v>
      </c>
      <c r="E121" s="44">
        <f>Raw!C171</f>
        <v>117.23903663470225</v>
      </c>
      <c r="F121" s="44">
        <f>Raw!D171</f>
        <v>15</v>
      </c>
      <c r="G121" s="44">
        <f>Raw!E171</f>
        <v>0</v>
      </c>
      <c r="H121" s="44">
        <f>Raw!F171</f>
        <v>0</v>
      </c>
      <c r="I121" s="44" t="str">
        <f>Raw!G171</f>
        <v>R-All-HVAC-DHP_cool-All-All-N</v>
      </c>
      <c r="J121" s="44">
        <f>Raw!H171</f>
        <v>5.8134205779960713</v>
      </c>
      <c r="K121" s="44">
        <f>Raw!I171</f>
        <v>0</v>
      </c>
      <c r="L121" s="44">
        <f>Raw!J171</f>
        <v>0</v>
      </c>
      <c r="M121" s="44">
        <f>Raw!K171</f>
        <v>0</v>
      </c>
      <c r="N121" s="44">
        <f>Raw!L171</f>
        <v>0</v>
      </c>
      <c r="O121" s="44">
        <f>Raw!M171</f>
        <v>0</v>
      </c>
      <c r="P121" s="44">
        <f>Raw!N171</f>
        <v>0</v>
      </c>
      <c r="Q121" s="44">
        <f>Raw!O123</f>
        <v>0</v>
      </c>
      <c r="R121" s="44"/>
    </row>
    <row r="122" spans="1:18">
      <c r="A122" t="str">
        <f>RIGHT(Raw!A172,6)</f>
        <v>HZ2CZ3</v>
      </c>
      <c r="B122" t="str">
        <f t="shared" si="1"/>
        <v>New SF Zonal to DHPCooling Savings</v>
      </c>
      <c r="C122" s="24" t="str">
        <f>IF(LEFT(Raw!A172,8)="New SF H",LEFT(Raw!A172,FIND("HZ",Raw!A172)-4),LEFT(Raw!A172,FIND("HZ",Raw!A172)-2))</f>
        <v>New SF Zonal to DHP</v>
      </c>
      <c r="D122" s="24" t="str">
        <f>Raw!B172</f>
        <v>Cooling Savings</v>
      </c>
      <c r="E122" s="44">
        <f>Raw!C172</f>
        <v>117.23903663470225</v>
      </c>
      <c r="F122" s="44">
        <f>Raw!D172</f>
        <v>15</v>
      </c>
      <c r="G122" s="44">
        <f>Raw!E172</f>
        <v>0</v>
      </c>
      <c r="H122" s="44">
        <f>Raw!F172</f>
        <v>0</v>
      </c>
      <c r="I122" s="44" t="str">
        <f>Raw!G172</f>
        <v>R-All-HVAC-DHP_cool-All-All-N</v>
      </c>
      <c r="J122" s="44">
        <f>Raw!H172</f>
        <v>5.8134205779960713</v>
      </c>
      <c r="K122" s="44">
        <f>Raw!I172</f>
        <v>0</v>
      </c>
      <c r="L122" s="44">
        <f>Raw!J172</f>
        <v>0</v>
      </c>
      <c r="M122" s="44">
        <f>Raw!K172</f>
        <v>0</v>
      </c>
      <c r="N122" s="44">
        <f>Raw!L172</f>
        <v>0</v>
      </c>
      <c r="O122" s="44">
        <f>Raw!M172</f>
        <v>0</v>
      </c>
      <c r="P122" s="44">
        <f>Raw!N172</f>
        <v>0</v>
      </c>
      <c r="Q122" s="44">
        <f>Raw!O124</f>
        <v>0</v>
      </c>
      <c r="R122" s="44"/>
    </row>
    <row r="123" spans="1:18">
      <c r="A123" t="str">
        <f>RIGHT(Raw!A173,6)</f>
        <v>HZ3CZ1</v>
      </c>
      <c r="B123" t="str">
        <f t="shared" si="1"/>
        <v>New SF Zonal to DHPCooling Savings</v>
      </c>
      <c r="C123" s="24" t="str">
        <f>IF(LEFT(Raw!A173,8)="New SF H",LEFT(Raw!A173,FIND("HZ",Raw!A173)-4),LEFT(Raw!A173,FIND("HZ",Raw!A173)-2))</f>
        <v>New SF Zonal to DHP</v>
      </c>
      <c r="D123" s="24" t="str">
        <f>Raw!B173</f>
        <v>Cooling Savings</v>
      </c>
      <c r="E123" s="44">
        <f>Raw!C173</f>
        <v>412</v>
      </c>
      <c r="F123" s="44">
        <f>Raw!D173</f>
        <v>15</v>
      </c>
      <c r="G123" s="44">
        <f>Raw!E173</f>
        <v>0</v>
      </c>
      <c r="H123" s="44">
        <f>Raw!F173</f>
        <v>0</v>
      </c>
      <c r="I123" s="44" t="str">
        <f>Raw!G173</f>
        <v>R-All-HVAC-DHP_cool-All-All-N</v>
      </c>
      <c r="J123" s="44">
        <f>Raw!H173</f>
        <v>0</v>
      </c>
      <c r="K123" s="44">
        <f>Raw!I173</f>
        <v>0</v>
      </c>
      <c r="L123" s="44">
        <f>Raw!J173</f>
        <v>0</v>
      </c>
      <c r="M123" s="44">
        <f>Raw!K173</f>
        <v>0</v>
      </c>
      <c r="N123" s="44">
        <f>Raw!L173</f>
        <v>0</v>
      </c>
      <c r="O123" s="44">
        <f>Raw!M173</f>
        <v>0</v>
      </c>
      <c r="P123" s="44">
        <f>Raw!N173</f>
        <v>0</v>
      </c>
      <c r="Q123" s="44">
        <f>Raw!O125</f>
        <v>0</v>
      </c>
      <c r="R123" s="44"/>
    </row>
    <row r="124" spans="1:18">
      <c r="A124" t="str">
        <f>RIGHT(Raw!A174,6)</f>
        <v>HZ3CZ2</v>
      </c>
      <c r="B124" t="str">
        <f t="shared" si="1"/>
        <v>New SF Zonal to DHPCooling Savings</v>
      </c>
      <c r="C124" s="24" t="str">
        <f>IF(LEFT(Raw!A174,8)="New SF H",LEFT(Raw!A174,FIND("HZ",Raw!A174)-4),LEFT(Raw!A174,FIND("HZ",Raw!A174)-2))</f>
        <v>New SF Zonal to DHP</v>
      </c>
      <c r="D124" s="24" t="str">
        <f>Raw!B174</f>
        <v>Cooling Savings</v>
      </c>
      <c r="E124" s="44">
        <f>Raw!C174</f>
        <v>412</v>
      </c>
      <c r="F124" s="44">
        <f>Raw!D174</f>
        <v>15</v>
      </c>
      <c r="G124" s="44">
        <f>Raw!E174</f>
        <v>0</v>
      </c>
      <c r="H124" s="44">
        <f>Raw!F174</f>
        <v>0</v>
      </c>
      <c r="I124" s="44" t="str">
        <f>Raw!G174</f>
        <v>R-All-HVAC-DHP_cool-All-All-N</v>
      </c>
      <c r="J124" s="44">
        <f>Raw!H174</f>
        <v>0</v>
      </c>
      <c r="K124" s="44">
        <f>Raw!I174</f>
        <v>0</v>
      </c>
      <c r="L124" s="44">
        <f>Raw!J174</f>
        <v>0</v>
      </c>
      <c r="M124" s="44">
        <f>Raw!K174</f>
        <v>0</v>
      </c>
      <c r="N124" s="44">
        <f>Raw!L174</f>
        <v>0</v>
      </c>
      <c r="O124" s="44">
        <f>Raw!M174</f>
        <v>0</v>
      </c>
      <c r="P124" s="44">
        <f>Raw!N174</f>
        <v>0</v>
      </c>
      <c r="Q124" s="44">
        <f>Raw!O126</f>
        <v>0</v>
      </c>
      <c r="R124" s="44"/>
    </row>
    <row r="125" spans="1:18">
      <c r="A125" t="str">
        <f>RIGHT(Raw!A175,6)</f>
        <v>HZ3CZ3</v>
      </c>
      <c r="B125" t="str">
        <f t="shared" si="1"/>
        <v>New SF Zonal to DHPCooling Savings</v>
      </c>
      <c r="C125" s="24" t="str">
        <f>IF(LEFT(Raw!A175,8)="New SF H",LEFT(Raw!A175,FIND("HZ",Raw!A175)-4),LEFT(Raw!A175,FIND("HZ",Raw!A175)-2))</f>
        <v>New SF Zonal to DHP</v>
      </c>
      <c r="D125" s="24" t="str">
        <f>Raw!B175</f>
        <v>Cooling Savings</v>
      </c>
      <c r="E125" s="44">
        <f>Raw!C175</f>
        <v>412</v>
      </c>
      <c r="F125" s="44">
        <f>Raw!D175</f>
        <v>15</v>
      </c>
      <c r="G125" s="44">
        <f>Raw!E175</f>
        <v>0</v>
      </c>
      <c r="H125" s="44">
        <f>Raw!F175</f>
        <v>0</v>
      </c>
      <c r="I125" s="44" t="str">
        <f>Raw!G175</f>
        <v>R-All-HVAC-DHP_cool-All-All-N</v>
      </c>
      <c r="J125" s="44">
        <f>Raw!H175</f>
        <v>0</v>
      </c>
      <c r="K125" s="44">
        <f>Raw!I175</f>
        <v>0</v>
      </c>
      <c r="L125" s="44">
        <f>Raw!J175</f>
        <v>0</v>
      </c>
      <c r="M125" s="44">
        <f>Raw!K175</f>
        <v>0</v>
      </c>
      <c r="N125" s="44">
        <f>Raw!L175</f>
        <v>0</v>
      </c>
      <c r="O125" s="44">
        <f>Raw!M175</f>
        <v>0</v>
      </c>
      <c r="P125" s="44">
        <f>Raw!N175</f>
        <v>0</v>
      </c>
      <c r="Q125" s="44">
        <f>Raw!O127</f>
        <v>0</v>
      </c>
      <c r="R125" s="44"/>
    </row>
    <row r="126" spans="1:18">
      <c r="E126" s="43"/>
      <c r="J126" s="43"/>
      <c r="Q126" s="43"/>
    </row>
    <row r="127" spans="1:18">
      <c r="E127" s="43"/>
      <c r="J127" s="43"/>
      <c r="Q127" s="43"/>
    </row>
    <row r="128" spans="1:18">
      <c r="E128" s="43"/>
      <c r="J128" s="43"/>
      <c r="Q128" s="43"/>
    </row>
    <row r="129" spans="1:18">
      <c r="E129" s="43"/>
      <c r="J129" s="43"/>
      <c r="Q129" s="43"/>
    </row>
    <row r="130" spans="1:18">
      <c r="E130" s="43"/>
      <c r="J130" s="43"/>
      <c r="Q130" s="43"/>
    </row>
    <row r="131" spans="1:18">
      <c r="E131" s="43"/>
      <c r="J131" s="43"/>
      <c r="Q131" s="43"/>
    </row>
    <row r="132" spans="1:18">
      <c r="E132" s="43"/>
      <c r="J132" s="43"/>
      <c r="Q132" s="43"/>
    </row>
    <row r="133" spans="1:18">
      <c r="E133" s="43"/>
      <c r="J133" s="43"/>
      <c r="Q133" s="43"/>
    </row>
    <row r="134" spans="1:18">
      <c r="E134" s="43"/>
      <c r="J134" s="43"/>
      <c r="Q134" s="43"/>
    </row>
    <row r="135" spans="1:18">
      <c r="E135" s="43"/>
      <c r="J135" s="43"/>
      <c r="Q135" s="43"/>
    </row>
    <row r="136" spans="1:18">
      <c r="E136" s="43"/>
      <c r="J136" s="43"/>
      <c r="Q136" s="43"/>
    </row>
    <row r="137" spans="1:18">
      <c r="E137" s="43"/>
      <c r="J137" s="43"/>
      <c r="Q137" s="43"/>
    </row>
    <row r="138" spans="1:18">
      <c r="E138" s="43"/>
      <c r="J138" s="43"/>
      <c r="Q138" s="43"/>
    </row>
    <row r="139" spans="1:18">
      <c r="E139" s="43"/>
      <c r="J139" s="43"/>
      <c r="Q139" s="43"/>
    </row>
    <row r="140" spans="1:18">
      <c r="E140" s="43"/>
      <c r="J140" s="43"/>
      <c r="Q140" s="43"/>
    </row>
    <row r="141" spans="1:18">
      <c r="C141" s="24"/>
      <c r="D141" s="24"/>
      <c r="E141" s="24"/>
      <c r="F141" s="24"/>
      <c r="G141" s="24"/>
      <c r="H141" s="24"/>
      <c r="I141" s="24"/>
      <c r="J141" s="24"/>
      <c r="K141" s="24"/>
      <c r="L141" s="24"/>
      <c r="M141" s="24"/>
      <c r="N141" s="24"/>
      <c r="O141" s="24"/>
      <c r="P141" s="24"/>
      <c r="Q141" s="24"/>
    </row>
    <row r="144" spans="1:18">
      <c r="A144" s="42"/>
      <c r="B144" s="42"/>
      <c r="C144" s="42"/>
      <c r="E144">
        <v>4</v>
      </c>
      <c r="F144">
        <v>5</v>
      </c>
      <c r="G144">
        <v>6</v>
      </c>
      <c r="H144">
        <v>7</v>
      </c>
      <c r="I144">
        <v>8</v>
      </c>
      <c r="J144">
        <v>9</v>
      </c>
      <c r="K144">
        <v>10</v>
      </c>
      <c r="L144">
        <v>11</v>
      </c>
      <c r="M144">
        <v>12</v>
      </c>
      <c r="N144">
        <v>13</v>
      </c>
      <c r="O144">
        <v>14</v>
      </c>
      <c r="P144">
        <v>15</v>
      </c>
      <c r="Q144">
        <v>16</v>
      </c>
      <c r="R144">
        <v>17</v>
      </c>
    </row>
    <row r="145" spans="1:107" s="7" customFormat="1">
      <c r="C145" s="451" t="s">
        <v>3</v>
      </c>
      <c r="D145" s="452"/>
      <c r="E145" s="452"/>
      <c r="F145" s="452"/>
      <c r="G145" s="452"/>
      <c r="H145" s="452"/>
      <c r="I145" s="452"/>
      <c r="J145" s="453"/>
      <c r="K145" s="454" t="s">
        <v>4</v>
      </c>
      <c r="L145" s="455"/>
      <c r="M145" s="455"/>
      <c r="N145" s="455"/>
      <c r="O145" s="455"/>
      <c r="P145" s="456"/>
      <c r="Q145" s="457" t="s">
        <v>5</v>
      </c>
      <c r="R145" s="458"/>
      <c r="S145" s="16"/>
      <c r="T145" s="17"/>
      <c r="U145" s="17"/>
      <c r="V145" s="17"/>
      <c r="W145" s="17"/>
      <c r="X145" s="17"/>
      <c r="Y145" s="17"/>
      <c r="Z145" s="18"/>
      <c r="AA145" s="19"/>
      <c r="AB145" s="17"/>
      <c r="AC145" s="17"/>
      <c r="AD145" s="17"/>
      <c r="AE145" s="17"/>
      <c r="AF145" s="17"/>
      <c r="AG145" s="20"/>
      <c r="AH145" s="20"/>
      <c r="AI145" s="20"/>
      <c r="AJ145" s="20"/>
      <c r="AK145" s="20"/>
      <c r="AL145" s="20"/>
      <c r="AM145" s="20"/>
      <c r="AN145" s="20"/>
      <c r="AO145" s="20"/>
      <c r="AP145" s="20"/>
      <c r="AQ145" s="20"/>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row>
    <row r="146" spans="1:107" ht="38.25">
      <c r="A146" s="7"/>
      <c r="B146" s="7"/>
      <c r="C146" s="21" t="s">
        <v>6</v>
      </c>
      <c r="D146" s="21" t="s">
        <v>7</v>
      </c>
      <c r="E146" s="21" t="s">
        <v>8</v>
      </c>
      <c r="F146" s="21" t="s">
        <v>9</v>
      </c>
      <c r="G146" s="21" t="s">
        <v>10</v>
      </c>
      <c r="H146" s="21" t="s">
        <v>11</v>
      </c>
      <c r="I146" s="21" t="s">
        <v>12</v>
      </c>
      <c r="J146" s="21" t="s">
        <v>13</v>
      </c>
      <c r="K146" s="21" t="s">
        <v>14</v>
      </c>
      <c r="L146" s="21" t="s">
        <v>15</v>
      </c>
      <c r="M146" s="21" t="s">
        <v>16</v>
      </c>
      <c r="N146" s="21" t="s">
        <v>17</v>
      </c>
      <c r="O146" s="21" t="s">
        <v>18</v>
      </c>
      <c r="P146" s="21" t="s">
        <v>19</v>
      </c>
      <c r="Q146" s="22" t="s">
        <v>20</v>
      </c>
      <c r="R146" s="21" t="s">
        <v>12</v>
      </c>
    </row>
    <row r="147" spans="1:107">
      <c r="A147" t="s">
        <v>481</v>
      </c>
      <c r="C147" t="str">
        <f>C6</f>
        <v>Existing Single Family Home HVAC Conversion - Convert FAF w/CAC to Heat Pump - House with "Good Insulation"</v>
      </c>
      <c r="D147" t="str">
        <f>D6</f>
        <v>Heating Savings</v>
      </c>
      <c r="E147" s="180">
        <f>E6</f>
        <v>2610.3529019871903</v>
      </c>
      <c r="F147">
        <f t="shared" ref="F147:R147" si="2">F6</f>
        <v>15</v>
      </c>
      <c r="G147" s="43">
        <f>G6</f>
        <v>2878.5049609349367</v>
      </c>
      <c r="H147" s="43">
        <f>H6</f>
        <v>0</v>
      </c>
      <c r="I147" t="str">
        <f t="shared" si="2"/>
        <v>ResSpHtHPZ1</v>
      </c>
      <c r="J147" s="43">
        <f>J6</f>
        <v>41.534869287695713</v>
      </c>
      <c r="K147" s="43">
        <f>K6</f>
        <v>0</v>
      </c>
      <c r="L147">
        <f t="shared" si="2"/>
        <v>0</v>
      </c>
      <c r="M147" s="43">
        <f>M6</f>
        <v>0</v>
      </c>
      <c r="N147">
        <f t="shared" si="2"/>
        <v>0</v>
      </c>
      <c r="O147" s="43">
        <f>O6</f>
        <v>0</v>
      </c>
      <c r="P147">
        <f t="shared" si="2"/>
        <v>0</v>
      </c>
      <c r="Q147" s="43">
        <f>Q6</f>
        <v>0</v>
      </c>
      <c r="R147">
        <f t="shared" si="2"/>
        <v>0</v>
      </c>
    </row>
    <row r="148" spans="1:107">
      <c r="A148" t="s">
        <v>482</v>
      </c>
      <c r="C148" t="str">
        <f t="shared" ref="C148:D152" si="3">C7</f>
        <v>Existing Single Family Home HVAC Conversion - Convert FAF w/CAC to Heat Pump - House with "Good Insulation"</v>
      </c>
      <c r="D148" t="str">
        <f t="shared" si="3"/>
        <v>Heating Savings</v>
      </c>
      <c r="E148" s="180">
        <f>E7+E8</f>
        <v>2563.9872339710073</v>
      </c>
      <c r="F148">
        <f t="shared" ref="F148:R148" si="4">F7</f>
        <v>15</v>
      </c>
      <c r="G148" s="43">
        <f>G7+G8</f>
        <v>2911.5329115654022</v>
      </c>
      <c r="H148" s="43">
        <f>H7+H8</f>
        <v>0</v>
      </c>
      <c r="I148" t="str">
        <f t="shared" si="4"/>
        <v>ResSpHtHPZ2</v>
      </c>
      <c r="J148" s="43">
        <f>J7+J8</f>
        <v>29.987858229730204</v>
      </c>
      <c r="K148" s="43">
        <f>K7+K8</f>
        <v>0</v>
      </c>
      <c r="L148">
        <f t="shared" si="4"/>
        <v>0</v>
      </c>
      <c r="M148" s="43">
        <f>M7+M8</f>
        <v>0</v>
      </c>
      <c r="N148">
        <f t="shared" si="4"/>
        <v>0</v>
      </c>
      <c r="O148" s="43">
        <f>O7+O8</f>
        <v>0</v>
      </c>
      <c r="P148">
        <f t="shared" si="4"/>
        <v>0</v>
      </c>
      <c r="Q148" s="43">
        <f>Q7+Q8</f>
        <v>0</v>
      </c>
      <c r="R148">
        <f t="shared" si="4"/>
        <v>0</v>
      </c>
    </row>
    <row r="149" spans="1:107">
      <c r="A149" t="s">
        <v>472</v>
      </c>
      <c r="C149" s="180" t="str">
        <f>C9</f>
        <v>Existing Single Family Home HVAC Conversion - Convert FAF w/o CAC to Heat Pump - House with "Good Insulation"</v>
      </c>
      <c r="D149" s="180" t="str">
        <f>D9</f>
        <v>Heating Savings</v>
      </c>
      <c r="E149" s="180">
        <f>E9</f>
        <v>2610.3529019871903</v>
      </c>
      <c r="F149">
        <f t="shared" ref="F149:R149" si="5">F8</f>
        <v>15</v>
      </c>
      <c r="G149" s="43">
        <f>G9</f>
        <v>4405.939111130092</v>
      </c>
      <c r="H149" s="43">
        <f>H9</f>
        <v>0</v>
      </c>
      <c r="I149" t="str">
        <f t="shared" si="5"/>
        <v>ResSpHtHPZ3</v>
      </c>
      <c r="J149" s="43">
        <f>J9</f>
        <v>41.534869287695713</v>
      </c>
      <c r="K149" s="43">
        <f>K9</f>
        <v>0</v>
      </c>
      <c r="L149">
        <f t="shared" si="5"/>
        <v>0</v>
      </c>
      <c r="M149" s="43">
        <f>M9</f>
        <v>0</v>
      </c>
      <c r="N149">
        <f t="shared" si="5"/>
        <v>0</v>
      </c>
      <c r="O149" s="43">
        <f>O9</f>
        <v>0</v>
      </c>
      <c r="P149">
        <f t="shared" si="5"/>
        <v>0</v>
      </c>
      <c r="Q149" s="43">
        <f>Q9</f>
        <v>0</v>
      </c>
      <c r="R149">
        <f t="shared" si="5"/>
        <v>0</v>
      </c>
    </row>
    <row r="150" spans="1:107">
      <c r="A150" t="s">
        <v>483</v>
      </c>
      <c r="C150" t="str">
        <f t="shared" si="3"/>
        <v>Existing Single Family Home HVAC Conversion - Convert FAF w/o CAC to Heat Pump - House with "Good Insulation"</v>
      </c>
      <c r="D150" t="str">
        <f t="shared" si="3"/>
        <v>Heating Savings</v>
      </c>
      <c r="E150" s="180">
        <f>E10+E11</f>
        <v>2610.3529019871903</v>
      </c>
      <c r="F150">
        <f>F9</f>
        <v>15</v>
      </c>
      <c r="G150" s="43">
        <f>G10+G11</f>
        <v>3231.068075449366</v>
      </c>
      <c r="H150" s="43">
        <f>H10+H11</f>
        <v>0</v>
      </c>
      <c r="I150" t="str">
        <f>I9</f>
        <v>ResSpHtHPZ1</v>
      </c>
      <c r="J150" s="43">
        <f>J10+J11</f>
        <v>41.534869287695713</v>
      </c>
      <c r="K150" s="43">
        <f>K10+K11</f>
        <v>0</v>
      </c>
      <c r="L150">
        <f t="shared" ref="L150:R150" si="6">L9</f>
        <v>0</v>
      </c>
      <c r="M150" s="43">
        <f>M10+M11</f>
        <v>0</v>
      </c>
      <c r="N150">
        <f t="shared" si="6"/>
        <v>0</v>
      </c>
      <c r="O150" s="43">
        <f>O10+O11</f>
        <v>0</v>
      </c>
      <c r="P150">
        <f t="shared" si="6"/>
        <v>0</v>
      </c>
      <c r="Q150" s="43">
        <f>Q10+Q11</f>
        <v>0</v>
      </c>
      <c r="R150">
        <f t="shared" si="6"/>
        <v>0</v>
      </c>
    </row>
    <row r="151" spans="1:107">
      <c r="A151" t="s">
        <v>484</v>
      </c>
      <c r="C151" t="str">
        <f t="shared" si="3"/>
        <v>Existing Single Family Home HVAC Conversion - Convert FAF w/o CAC to Heat Pump - House with "Good Insulation"</v>
      </c>
      <c r="D151" t="str">
        <f t="shared" si="3"/>
        <v>Heating Savings</v>
      </c>
      <c r="E151" s="180">
        <f>E12+E15</f>
        <v>2478.0659385484655</v>
      </c>
      <c r="F151">
        <f t="shared" ref="F151:F152" si="7">F10</f>
        <v>15</v>
      </c>
      <c r="G151" s="43">
        <f>G12+G15</f>
        <v>4476.2075916098729</v>
      </c>
      <c r="H151" s="43">
        <f>H12+H15</f>
        <v>0</v>
      </c>
      <c r="I151" t="str">
        <f t="shared" ref="I151:R151" si="8">I10</f>
        <v>ResSpHtHPZ1</v>
      </c>
      <c r="J151" s="43">
        <f>J12+J15</f>
        <v>29.095735423173785</v>
      </c>
      <c r="K151" s="43">
        <f>K12+K15</f>
        <v>0</v>
      </c>
      <c r="L151">
        <f t="shared" si="8"/>
        <v>0</v>
      </c>
      <c r="M151" s="43">
        <f>M12+M15</f>
        <v>0</v>
      </c>
      <c r="N151">
        <f t="shared" si="8"/>
        <v>0</v>
      </c>
      <c r="O151" s="43">
        <f>O12+O15</f>
        <v>0</v>
      </c>
      <c r="P151">
        <f t="shared" si="8"/>
        <v>0</v>
      </c>
      <c r="Q151" s="43">
        <f>Q12+Q15</f>
        <v>0</v>
      </c>
      <c r="R151">
        <f t="shared" si="8"/>
        <v>0</v>
      </c>
    </row>
    <row r="152" spans="1:107">
      <c r="A152" t="s">
        <v>485</v>
      </c>
      <c r="C152" t="str">
        <f t="shared" si="3"/>
        <v>Existing Single Family Home HVAC Conversion - Convert FAF w/o CAC to Heat Pump - House with "Good Insulation"</v>
      </c>
      <c r="D152" t="str">
        <f t="shared" si="3"/>
        <v>Heating Savings</v>
      </c>
      <c r="E152" s="180">
        <f>E13+E14+E16+E17</f>
        <v>2633.4037799209864</v>
      </c>
      <c r="F152">
        <f t="shared" si="7"/>
        <v>15</v>
      </c>
      <c r="G152" s="43">
        <f>G13+G14+G16+G17</f>
        <v>3514.1785459794187</v>
      </c>
      <c r="H152" s="43">
        <f>H13+H14+H16+H17</f>
        <v>0</v>
      </c>
      <c r="I152" t="str">
        <f t="shared" ref="I152:R152" si="9">I11</f>
        <v>ResSpHtHPZ1</v>
      </c>
      <c r="J152" s="43">
        <f>J13+J14+J16+J17</f>
        <v>30.708611839063021</v>
      </c>
      <c r="K152" s="43">
        <f>K13+K14+K16+K17</f>
        <v>0</v>
      </c>
      <c r="L152">
        <f t="shared" si="9"/>
        <v>0</v>
      </c>
      <c r="M152" s="43">
        <f>M13+M14+M16+M17</f>
        <v>0</v>
      </c>
      <c r="N152">
        <f t="shared" si="9"/>
        <v>0</v>
      </c>
      <c r="O152" s="43">
        <f>O13+O14+O16+O17</f>
        <v>0</v>
      </c>
      <c r="P152">
        <f t="shared" si="9"/>
        <v>0</v>
      </c>
      <c r="Q152" s="43">
        <f>Q13+Q14+Q16+Q17</f>
        <v>0</v>
      </c>
      <c r="R152">
        <f t="shared" si="9"/>
        <v>0</v>
      </c>
    </row>
    <row r="153" spans="1:107">
      <c r="A153" t="s">
        <v>481</v>
      </c>
      <c r="C153" t="str">
        <f>C18</f>
        <v>Existing Single Family Home HVAC Upgrade</v>
      </c>
      <c r="D153" t="str">
        <f t="shared" ref="D153:R154" si="10">D18</f>
        <v>Heating Savings</v>
      </c>
      <c r="E153" s="180">
        <f t="shared" si="10"/>
        <v>115.19308595364367</v>
      </c>
      <c r="F153">
        <f t="shared" si="10"/>
        <v>15</v>
      </c>
      <c r="G153">
        <f t="shared" si="10"/>
        <v>89.471516996608102</v>
      </c>
      <c r="H153">
        <f t="shared" si="10"/>
        <v>0</v>
      </c>
      <c r="I153" t="str">
        <f t="shared" si="10"/>
        <v>ResSpHtHPZ1</v>
      </c>
      <c r="J153">
        <f t="shared" si="10"/>
        <v>1.6807132651285106</v>
      </c>
      <c r="K153">
        <f t="shared" si="10"/>
        <v>0</v>
      </c>
      <c r="L153">
        <f t="shared" si="10"/>
        <v>0</v>
      </c>
      <c r="M153">
        <f t="shared" si="10"/>
        <v>0</v>
      </c>
      <c r="N153">
        <f t="shared" si="10"/>
        <v>0</v>
      </c>
      <c r="O153">
        <f t="shared" si="10"/>
        <v>0</v>
      </c>
      <c r="P153">
        <f t="shared" si="10"/>
        <v>0</v>
      </c>
      <c r="Q153">
        <f t="shared" si="10"/>
        <v>0</v>
      </c>
      <c r="R153">
        <f t="shared" si="10"/>
        <v>0</v>
      </c>
    </row>
    <row r="154" spans="1:107">
      <c r="A154" t="s">
        <v>482</v>
      </c>
      <c r="C154" t="str">
        <f>C19</f>
        <v>Existing Single Family Home HVAC Upgrade</v>
      </c>
      <c r="D154" t="str">
        <f t="shared" si="10"/>
        <v>Heating Savings</v>
      </c>
      <c r="E154" s="180">
        <f>E19+E20</f>
        <v>80.622184985288499</v>
      </c>
      <c r="F154">
        <f t="shared" si="10"/>
        <v>15</v>
      </c>
      <c r="G154" s="41">
        <f>G19+G20</f>
        <v>89.471516996608102</v>
      </c>
      <c r="H154" s="41">
        <f>H19+H20</f>
        <v>0</v>
      </c>
      <c r="I154" t="str">
        <f t="shared" si="10"/>
        <v>ResSpHtHPZ2</v>
      </c>
      <c r="J154" s="41">
        <f>J19+J20</f>
        <v>0.95033667913851261</v>
      </c>
      <c r="K154" s="41">
        <f>K19+K20</f>
        <v>0</v>
      </c>
      <c r="L154">
        <f t="shared" si="10"/>
        <v>0</v>
      </c>
      <c r="M154" s="41">
        <f>M19+M20</f>
        <v>0</v>
      </c>
      <c r="N154">
        <f t="shared" si="10"/>
        <v>0</v>
      </c>
      <c r="O154" s="41">
        <f>O19+O20</f>
        <v>0</v>
      </c>
      <c r="P154">
        <f t="shared" si="10"/>
        <v>0</v>
      </c>
      <c r="Q154" s="41">
        <f>Q19+Q20</f>
        <v>0</v>
      </c>
      <c r="R154">
        <f t="shared" si="10"/>
        <v>0</v>
      </c>
    </row>
    <row r="155" spans="1:107">
      <c r="A155" t="s">
        <v>472</v>
      </c>
      <c r="C155" t="str">
        <f>C21</f>
        <v>Existing Single Family Home HVAC Upgrade - Central Heat Pump Upgrade to Variable Capacity Central Heat Pump</v>
      </c>
      <c r="D155" t="str">
        <f t="shared" ref="D155:R155" si="11">D21</f>
        <v>Heating Savings</v>
      </c>
      <c r="E155" s="180">
        <f t="shared" si="11"/>
        <v>459.77548885727816</v>
      </c>
      <c r="F155">
        <f t="shared" si="11"/>
        <v>15</v>
      </c>
      <c r="G155">
        <f t="shared" si="11"/>
        <v>5356.8461304836173</v>
      </c>
      <c r="H155">
        <f t="shared" si="11"/>
        <v>0</v>
      </c>
      <c r="I155" t="str">
        <f t="shared" si="11"/>
        <v>ResSpHtHPZ1</v>
      </c>
      <c r="J155">
        <f t="shared" si="11"/>
        <v>6.4703973995617137</v>
      </c>
      <c r="K155">
        <f t="shared" si="11"/>
        <v>0</v>
      </c>
      <c r="L155">
        <f t="shared" si="11"/>
        <v>0</v>
      </c>
      <c r="M155">
        <f t="shared" si="11"/>
        <v>0</v>
      </c>
      <c r="N155">
        <f t="shared" si="11"/>
        <v>0</v>
      </c>
      <c r="O155">
        <f t="shared" si="11"/>
        <v>0</v>
      </c>
      <c r="P155">
        <f t="shared" si="11"/>
        <v>0</v>
      </c>
      <c r="Q155">
        <f t="shared" si="11"/>
        <v>0</v>
      </c>
      <c r="R155">
        <f t="shared" si="11"/>
        <v>0</v>
      </c>
    </row>
    <row r="156" spans="1:107">
      <c r="A156" t="s">
        <v>483</v>
      </c>
      <c r="C156" t="str">
        <f>C22</f>
        <v>Existing Single Family Home HVAC Upgrade - Central Heat Pump Upgrade to Variable Capacity Central Heat Pump</v>
      </c>
      <c r="D156" t="str">
        <f>D22</f>
        <v>Heating Savings</v>
      </c>
      <c r="E156" s="180">
        <f>E22+E23</f>
        <v>459.77548885727822</v>
      </c>
      <c r="F156">
        <f>F22</f>
        <v>15</v>
      </c>
      <c r="G156" s="41">
        <f>G22+G23</f>
        <v>5356.8461304836183</v>
      </c>
      <c r="H156" s="41">
        <f>H22+H23</f>
        <v>0</v>
      </c>
      <c r="I156" t="str">
        <f>I22</f>
        <v>ResSpHtHPZ1</v>
      </c>
      <c r="J156" s="41">
        <f>J22+J23</f>
        <v>6.4703973995617137</v>
      </c>
      <c r="K156" s="41">
        <f>K22+K23</f>
        <v>0</v>
      </c>
      <c r="L156">
        <f>L22</f>
        <v>0</v>
      </c>
      <c r="M156" s="41">
        <f>M22+M23</f>
        <v>0</v>
      </c>
      <c r="N156">
        <f>N22</f>
        <v>0</v>
      </c>
      <c r="O156" s="41">
        <f>O22+O23</f>
        <v>0</v>
      </c>
      <c r="P156">
        <f>P22</f>
        <v>0</v>
      </c>
      <c r="Q156" s="41">
        <f>Q22+Q23</f>
        <v>0</v>
      </c>
      <c r="R156">
        <f>R22</f>
        <v>0</v>
      </c>
    </row>
    <row r="157" spans="1:107">
      <c r="A157" t="s">
        <v>484</v>
      </c>
      <c r="C157" t="str">
        <f>C22</f>
        <v>Existing Single Family Home HVAC Upgrade - Central Heat Pump Upgrade to Variable Capacity Central Heat Pump</v>
      </c>
      <c r="D157" t="str">
        <f>D22</f>
        <v>Heating Savings</v>
      </c>
      <c r="E157" s="180">
        <f>E24+E27</f>
        <v>704.02683056775959</v>
      </c>
      <c r="F157">
        <f t="shared" ref="F157:F158" si="12">F22</f>
        <v>15</v>
      </c>
      <c r="G157" s="43">
        <f>G24+G27</f>
        <v>5356.8461304836164</v>
      </c>
      <c r="H157" s="43">
        <f>H24+H27</f>
        <v>0</v>
      </c>
      <c r="I157" t="str">
        <f t="shared" ref="I157:I158" si="13">I22</f>
        <v>ResSpHtHPZ1</v>
      </c>
      <c r="J157" s="43">
        <f>J24+J27</f>
        <v>8.3976953633326694</v>
      </c>
      <c r="K157" s="43">
        <f>K24+K27</f>
        <v>0</v>
      </c>
      <c r="L157">
        <f t="shared" ref="L157:L158" si="14">L22</f>
        <v>0</v>
      </c>
      <c r="M157" s="43">
        <f>M24+M27</f>
        <v>0</v>
      </c>
      <c r="N157">
        <f t="shared" ref="N157:N158" si="15">N22</f>
        <v>0</v>
      </c>
      <c r="O157" s="43">
        <f>O24+O27</f>
        <v>0</v>
      </c>
      <c r="P157">
        <f t="shared" ref="P157:P158" si="16">P22</f>
        <v>0</v>
      </c>
      <c r="Q157" s="43">
        <f>Q24+Q27</f>
        <v>0</v>
      </c>
      <c r="R157">
        <f t="shared" ref="R157:R158" si="17">R22</f>
        <v>0</v>
      </c>
    </row>
    <row r="158" spans="1:107">
      <c r="A158" t="s">
        <v>485</v>
      </c>
      <c r="C158" t="str">
        <f>C25</f>
        <v>Existing Single Family Home HVAC Upgrade - Central Heat Pump Upgrade to Variable Capacity Central Heat Pump</v>
      </c>
      <c r="D158" t="str">
        <f>D25</f>
        <v>Heating Savings</v>
      </c>
      <c r="E158" s="180">
        <f>E25+E26+E28+E29</f>
        <v>623.81631472703566</v>
      </c>
      <c r="F158">
        <f t="shared" si="12"/>
        <v>15</v>
      </c>
      <c r="G158" s="43">
        <f>G25+G26+G28+G29</f>
        <v>5356.8461304836164</v>
      </c>
      <c r="H158" s="43">
        <f>H25+H26+H28+H29</f>
        <v>0</v>
      </c>
      <c r="I158" t="str">
        <f t="shared" si="13"/>
        <v>ResSpHtHPZ1</v>
      </c>
      <c r="J158" s="43">
        <f>J25+J26+J28+J29</f>
        <v>7.4132136923368712</v>
      </c>
      <c r="K158" s="43">
        <f>K25+K26+K28+K29</f>
        <v>0</v>
      </c>
      <c r="L158">
        <f t="shared" si="14"/>
        <v>0</v>
      </c>
      <c r="M158" s="43">
        <f>M25+M26+M28+M29</f>
        <v>0</v>
      </c>
      <c r="N158">
        <f t="shared" si="15"/>
        <v>0</v>
      </c>
      <c r="O158" s="43">
        <f>O25+O26+O28+O29</f>
        <v>0</v>
      </c>
      <c r="P158">
        <f t="shared" si="16"/>
        <v>0</v>
      </c>
      <c r="Q158" s="43">
        <f>Q25+Q26+Q28+Q29</f>
        <v>0</v>
      </c>
      <c r="R158">
        <f t="shared" si="17"/>
        <v>0</v>
      </c>
    </row>
    <row r="159" spans="1:107">
      <c r="A159" t="s">
        <v>472</v>
      </c>
      <c r="C159" t="str">
        <f>C30</f>
        <v>Zonal to DHP No Screen</v>
      </c>
      <c r="D159" t="str">
        <f t="shared" ref="D159:R159" si="18">D30</f>
        <v>Heating Savings</v>
      </c>
      <c r="E159" s="41">
        <f t="shared" si="18"/>
        <v>2240.0588630952484</v>
      </c>
      <c r="F159">
        <f t="shared" si="18"/>
        <v>15</v>
      </c>
      <c r="G159">
        <f t="shared" si="18"/>
        <v>3914.8924998607772</v>
      </c>
      <c r="H159">
        <f t="shared" si="18"/>
        <v>0</v>
      </c>
      <c r="I159" t="str">
        <f t="shared" si="18"/>
        <v>R-All-HVAC-ERconvertDHP-HZ1-All-N</v>
      </c>
      <c r="J159">
        <f t="shared" si="18"/>
        <v>26.167052040603416</v>
      </c>
      <c r="K159">
        <f t="shared" si="18"/>
        <v>0</v>
      </c>
      <c r="L159">
        <f t="shared" si="18"/>
        <v>0</v>
      </c>
      <c r="M159">
        <f t="shared" si="18"/>
        <v>0</v>
      </c>
      <c r="N159">
        <f t="shared" si="18"/>
        <v>0</v>
      </c>
      <c r="O159">
        <f t="shared" si="18"/>
        <v>0</v>
      </c>
      <c r="P159">
        <f t="shared" si="18"/>
        <v>0</v>
      </c>
      <c r="Q159">
        <f t="shared" si="18"/>
        <v>0</v>
      </c>
      <c r="R159">
        <f t="shared" si="18"/>
        <v>0</v>
      </c>
    </row>
    <row r="160" spans="1:107">
      <c r="A160" t="s">
        <v>483</v>
      </c>
      <c r="C160" t="str">
        <f>C33</f>
        <v>Zonal to DHP No Screen</v>
      </c>
      <c r="D160" t="str">
        <f>D33</f>
        <v>Heating Savings</v>
      </c>
      <c r="E160" s="43">
        <f>E33+E36</f>
        <v>2240.0588630952479</v>
      </c>
      <c r="F160">
        <f>F33</f>
        <v>15</v>
      </c>
      <c r="G160" s="43">
        <f>G33+G36</f>
        <v>3612.3135270070575</v>
      </c>
      <c r="H160" s="43">
        <f>H33+H36</f>
        <v>0</v>
      </c>
      <c r="I160" t="str">
        <f>I33</f>
        <v>R-All-HVAC-ERconvertDHP-HZ1-All-N</v>
      </c>
      <c r="J160" s="43">
        <f>J33+J36</f>
        <v>26.167052040603416</v>
      </c>
      <c r="K160" s="43">
        <f>K33+K36</f>
        <v>0</v>
      </c>
      <c r="L160">
        <f>L33</f>
        <v>0</v>
      </c>
      <c r="M160" s="43">
        <f>M33+M36</f>
        <v>0</v>
      </c>
      <c r="N160">
        <f>N33</f>
        <v>0</v>
      </c>
      <c r="O160" s="43">
        <f>O33+O36</f>
        <v>0</v>
      </c>
      <c r="P160">
        <f>P33</f>
        <v>0</v>
      </c>
      <c r="Q160" s="43">
        <f>Q33+Q36</f>
        <v>0</v>
      </c>
      <c r="R160">
        <f>R33</f>
        <v>0</v>
      </c>
    </row>
    <row r="161" spans="1:18">
      <c r="A161" t="s">
        <v>484</v>
      </c>
      <c r="C161" t="str">
        <f>C31</f>
        <v>Zonal to DHP No Screen</v>
      </c>
      <c r="D161" t="str">
        <f>D31</f>
        <v>Heating Savings</v>
      </c>
      <c r="E161" s="43">
        <f>E31+E32</f>
        <v>1976.963340841548</v>
      </c>
      <c r="F161">
        <f>F31</f>
        <v>15</v>
      </c>
      <c r="G161" s="43">
        <f>G31+G32</f>
        <v>3618.3551360186466</v>
      </c>
      <c r="H161" s="43">
        <f>H31+H32</f>
        <v>0</v>
      </c>
      <c r="I161" t="str">
        <f>I31</f>
        <v>R-All-HVAC-ERconvertDHP-HZ2-All-N</v>
      </c>
      <c r="J161" s="43">
        <f>J31+J32</f>
        <v>39.970296481082457</v>
      </c>
      <c r="K161" s="43">
        <f>K31+K32</f>
        <v>0</v>
      </c>
      <c r="L161">
        <f>L31</f>
        <v>0</v>
      </c>
      <c r="M161" s="43">
        <f>M31+M32</f>
        <v>0</v>
      </c>
      <c r="N161">
        <f>N31</f>
        <v>0</v>
      </c>
      <c r="O161" s="43">
        <f>O31+O32</f>
        <v>0</v>
      </c>
      <c r="P161">
        <f>P31</f>
        <v>0</v>
      </c>
      <c r="Q161" s="43">
        <f>Q31+Q32</f>
        <v>0</v>
      </c>
      <c r="R161">
        <f>R31</f>
        <v>0</v>
      </c>
    </row>
    <row r="162" spans="1:18">
      <c r="A162" t="s">
        <v>485</v>
      </c>
      <c r="C162" t="str">
        <f>C34</f>
        <v>Zonal to DHP No Screen</v>
      </c>
      <c r="D162" t="str">
        <f>D34</f>
        <v>Heating Savings</v>
      </c>
      <c r="E162" s="43">
        <f>E34+E35+E37+E38</f>
        <v>2295.8353510102552</v>
      </c>
      <c r="F162">
        <f>F34</f>
        <v>15</v>
      </c>
      <c r="G162" s="43">
        <f>G34+G35+G37+G38</f>
        <v>3479.0632416243566</v>
      </c>
      <c r="H162" s="43">
        <f>H34+H35+H37+H38</f>
        <v>0</v>
      </c>
      <c r="I162" t="str">
        <f>I34</f>
        <v>R-All-HVAC-ERconvertDHP-HZ2-All-N</v>
      </c>
      <c r="J162" s="43">
        <f>J34+J35+J37+J38</f>
        <v>23.114326469845214</v>
      </c>
      <c r="K162" s="43">
        <f>K34+K35+K37+K38</f>
        <v>0</v>
      </c>
      <c r="L162">
        <f>L34</f>
        <v>0</v>
      </c>
      <c r="M162" s="43">
        <f>M34+M35+M37+M38</f>
        <v>0</v>
      </c>
      <c r="N162">
        <f>N34</f>
        <v>0</v>
      </c>
      <c r="O162" s="43">
        <f>O34+O35+O37+O38</f>
        <v>0</v>
      </c>
      <c r="P162">
        <f>P34</f>
        <v>0</v>
      </c>
      <c r="Q162" s="43">
        <f>Q34+Q35+Q37+Q38</f>
        <v>0</v>
      </c>
      <c r="R162">
        <f>R34</f>
        <v>0</v>
      </c>
    </row>
    <row r="163" spans="1:18">
      <c r="A163" t="s">
        <v>481</v>
      </c>
      <c r="C163" t="str">
        <f>C39</f>
        <v>Existing Single Family Home HVAC Conversion - Convert FAF w/CAC to Heat Pump - House with "Good Insulation"</v>
      </c>
      <c r="D163" t="str">
        <f>D39</f>
        <v>Cooling Savings</v>
      </c>
      <c r="E163" s="180">
        <f>E39</f>
        <v>0</v>
      </c>
      <c r="F163">
        <f t="shared" ref="F163" si="19">F39</f>
        <v>15</v>
      </c>
      <c r="G163" s="43">
        <f>G39</f>
        <v>0</v>
      </c>
      <c r="H163" s="43">
        <f>H39</f>
        <v>0</v>
      </c>
      <c r="I163" t="str">
        <f t="shared" ref="I163" si="20">I39</f>
        <v>ResCACZ1</v>
      </c>
      <c r="J163" s="43">
        <f>J39</f>
        <v>0</v>
      </c>
      <c r="K163" s="43">
        <f>K39</f>
        <v>0</v>
      </c>
      <c r="L163">
        <f t="shared" ref="L163" si="21">L39</f>
        <v>0</v>
      </c>
      <c r="M163" s="43">
        <f>M39</f>
        <v>0</v>
      </c>
      <c r="N163">
        <f t="shared" ref="N163" si="22">N39</f>
        <v>0</v>
      </c>
      <c r="O163" s="43">
        <f>O39</f>
        <v>0</v>
      </c>
      <c r="P163">
        <f t="shared" ref="P163" si="23">P39</f>
        <v>0</v>
      </c>
      <c r="Q163" s="43">
        <f>Q39</f>
        <v>0</v>
      </c>
      <c r="R163">
        <f t="shared" ref="R163" si="24">R39</f>
        <v>0</v>
      </c>
    </row>
    <row r="164" spans="1:18">
      <c r="A164" t="s">
        <v>482</v>
      </c>
      <c r="C164" t="str">
        <f t="shared" ref="C164:D164" si="25">C40</f>
        <v>Existing Single Family Home HVAC Conversion - Convert FAF w/CAC to Heat Pump - House with "Good Insulation"</v>
      </c>
      <c r="D164" t="str">
        <f t="shared" si="25"/>
        <v>Cooling Savings</v>
      </c>
      <c r="E164" s="180">
        <f>E40+E41</f>
        <v>0</v>
      </c>
      <c r="F164">
        <f t="shared" ref="F164" si="26">F40</f>
        <v>15</v>
      </c>
      <c r="G164" s="43">
        <f>G40+G41</f>
        <v>0</v>
      </c>
      <c r="H164" s="43">
        <f>H40+H41</f>
        <v>0</v>
      </c>
      <c r="I164" t="str">
        <f t="shared" ref="I164" si="27">I40</f>
        <v>ResCACZ2</v>
      </c>
      <c r="J164" s="43">
        <f>J40+J41</f>
        <v>0</v>
      </c>
      <c r="K164" s="43">
        <f>K40+K41</f>
        <v>0</v>
      </c>
      <c r="L164">
        <f t="shared" ref="L164" si="28">L40</f>
        <v>0</v>
      </c>
      <c r="M164" s="43">
        <f>M40+M41</f>
        <v>0</v>
      </c>
      <c r="N164">
        <f t="shared" ref="N164" si="29">N40</f>
        <v>0</v>
      </c>
      <c r="O164" s="43">
        <f>O40+O41</f>
        <v>0</v>
      </c>
      <c r="P164">
        <f t="shared" ref="P164" si="30">P40</f>
        <v>0</v>
      </c>
      <c r="Q164" s="43">
        <f>Q40+Q41</f>
        <v>0</v>
      </c>
      <c r="R164">
        <f t="shared" ref="R164" si="31">R40</f>
        <v>0</v>
      </c>
    </row>
    <row r="165" spans="1:18">
      <c r="A165" t="s">
        <v>472</v>
      </c>
      <c r="C165" t="str">
        <f t="shared" ref="C165:R165" si="32">C42</f>
        <v>Existing Single Family Home HVAC Conversion - Convert FAF w/o CAC to Heat Pump - House with "Good Insulation"</v>
      </c>
      <c r="D165" t="str">
        <f t="shared" si="32"/>
        <v>Cooling Savings</v>
      </c>
      <c r="E165" s="180">
        <f t="shared" si="32"/>
        <v>-137.82461431953399</v>
      </c>
      <c r="F165">
        <f t="shared" si="32"/>
        <v>15</v>
      </c>
      <c r="G165">
        <f t="shared" si="32"/>
        <v>0</v>
      </c>
      <c r="H165" s="43">
        <f t="shared" si="32"/>
        <v>0</v>
      </c>
      <c r="I165" t="str">
        <f t="shared" si="32"/>
        <v>ResCACZ1</v>
      </c>
      <c r="J165">
        <f t="shared" si="32"/>
        <v>11.217675837393347</v>
      </c>
      <c r="K165">
        <f t="shared" si="32"/>
        <v>0</v>
      </c>
      <c r="L165">
        <f t="shared" si="32"/>
        <v>0</v>
      </c>
      <c r="M165">
        <f t="shared" si="32"/>
        <v>0</v>
      </c>
      <c r="N165">
        <f t="shared" si="32"/>
        <v>0</v>
      </c>
      <c r="O165" s="43">
        <f t="shared" si="32"/>
        <v>0</v>
      </c>
      <c r="P165">
        <f t="shared" si="32"/>
        <v>0</v>
      </c>
      <c r="Q165">
        <f t="shared" si="32"/>
        <v>0</v>
      </c>
      <c r="R165">
        <f t="shared" si="32"/>
        <v>0</v>
      </c>
    </row>
    <row r="166" spans="1:18">
      <c r="A166" t="s">
        <v>483</v>
      </c>
      <c r="C166" t="str">
        <f>C43</f>
        <v>Existing Single Family Home HVAC Conversion - Convert FAF w/o CAC to Heat Pump - House with "Good Insulation"</v>
      </c>
      <c r="D166" t="str">
        <f>D43</f>
        <v>Cooling Savings</v>
      </c>
      <c r="E166" s="180">
        <f>E43+E44</f>
        <v>-63.271546719710798</v>
      </c>
      <c r="F166">
        <f>F43</f>
        <v>15</v>
      </c>
      <c r="G166" s="43">
        <f>G43+G44</f>
        <v>0</v>
      </c>
      <c r="H166" s="43">
        <f>H43+H44</f>
        <v>0</v>
      </c>
      <c r="I166" t="str">
        <f>I43</f>
        <v>ResCACZ2</v>
      </c>
      <c r="J166" s="43">
        <f>J43+J44</f>
        <v>5.1497310863986172</v>
      </c>
      <c r="K166" s="43">
        <f>K43+K44</f>
        <v>0</v>
      </c>
      <c r="L166">
        <f>L43</f>
        <v>0</v>
      </c>
      <c r="M166" s="43">
        <f>M43+M44</f>
        <v>0</v>
      </c>
      <c r="N166">
        <f>N43</f>
        <v>0</v>
      </c>
      <c r="O166" s="43">
        <f>O43+O44</f>
        <v>0</v>
      </c>
      <c r="P166">
        <f>P43</f>
        <v>0</v>
      </c>
      <c r="Q166" s="43">
        <f>Q43+Q44</f>
        <v>0</v>
      </c>
      <c r="R166">
        <f>R43</f>
        <v>0</v>
      </c>
    </row>
    <row r="167" spans="1:18">
      <c r="A167" t="s">
        <v>484</v>
      </c>
      <c r="C167" t="str">
        <f t="shared" ref="C167:D167" si="33">C43</f>
        <v>Existing Single Family Home HVAC Conversion - Convert FAF w/o CAC to Heat Pump - House with "Good Insulation"</v>
      </c>
      <c r="D167" t="str">
        <f t="shared" si="33"/>
        <v>Cooling Savings</v>
      </c>
      <c r="E167" s="180">
        <f>E45+E48</f>
        <v>-137.82461431953396</v>
      </c>
      <c r="F167">
        <f t="shared" ref="F167:F168" si="34">F43</f>
        <v>15</v>
      </c>
      <c r="G167" s="43">
        <f>G45+G48</f>
        <v>0</v>
      </c>
      <c r="H167" s="43">
        <f>H45+H48</f>
        <v>0</v>
      </c>
      <c r="I167" t="str">
        <f t="shared" ref="I167" si="35">I43</f>
        <v>ResCACZ2</v>
      </c>
      <c r="J167" s="43">
        <f>J45+J48</f>
        <v>11.217675837393347</v>
      </c>
      <c r="K167" s="43">
        <f>K45+K48</f>
        <v>0</v>
      </c>
      <c r="L167">
        <f t="shared" ref="L167" si="36">L43</f>
        <v>0</v>
      </c>
      <c r="M167" s="43">
        <f>M45+M48</f>
        <v>0</v>
      </c>
      <c r="N167">
        <f t="shared" ref="N167" si="37">N43</f>
        <v>0</v>
      </c>
      <c r="O167" s="43">
        <f>O45+O48</f>
        <v>0</v>
      </c>
      <c r="P167">
        <f t="shared" ref="P167" si="38">P43</f>
        <v>0</v>
      </c>
      <c r="Q167" s="43">
        <f>Q45+Q48</f>
        <v>0</v>
      </c>
      <c r="R167">
        <f t="shared" ref="R167" si="39">R43</f>
        <v>0</v>
      </c>
    </row>
    <row r="168" spans="1:18">
      <c r="A168" t="s">
        <v>485</v>
      </c>
      <c r="C168" t="str">
        <f t="shared" ref="C168:D168" si="40">C44</f>
        <v>Existing Single Family Home HVAC Conversion - Convert FAF w/o CAC to Heat Pump - House with "Good Insulation"</v>
      </c>
      <c r="D168" t="str">
        <f t="shared" si="40"/>
        <v>Cooling Savings</v>
      </c>
      <c r="E168" s="180">
        <f>E46+E47+E49+E50</f>
        <v>-107.11896830061704</v>
      </c>
      <c r="F168">
        <f t="shared" si="34"/>
        <v>15</v>
      </c>
      <c r="G168" s="43">
        <f>G46+G47+G49+G50</f>
        <v>0</v>
      </c>
      <c r="H168" s="43">
        <f>H46+H47+H49+H50</f>
        <v>0</v>
      </c>
      <c r="I168" t="str">
        <f t="shared" ref="I168" si="41">I44</f>
        <v>ResCACZ3</v>
      </c>
      <c r="J168" s="43">
        <f>J46+J47+J49+J50</f>
        <v>8.7185142390202817</v>
      </c>
      <c r="K168" s="43">
        <f>K46+K47+K49+K50</f>
        <v>0</v>
      </c>
      <c r="L168">
        <f t="shared" ref="L168" si="42">L44</f>
        <v>0</v>
      </c>
      <c r="M168" s="43">
        <f>M46+M47+M49+M50</f>
        <v>0</v>
      </c>
      <c r="N168">
        <f t="shared" ref="N168" si="43">N44</f>
        <v>0</v>
      </c>
      <c r="O168" s="43">
        <f>O46+O47+O49+O50</f>
        <v>0</v>
      </c>
      <c r="P168">
        <f t="shared" ref="P168" si="44">P44</f>
        <v>0</v>
      </c>
      <c r="Q168" s="43">
        <f>Q46+Q47+Q49+Q50</f>
        <v>0</v>
      </c>
      <c r="R168">
        <f t="shared" ref="R168" si="45">R44</f>
        <v>0</v>
      </c>
    </row>
    <row r="169" spans="1:18">
      <c r="A169" t="s">
        <v>481</v>
      </c>
      <c r="C169" t="str">
        <f>C51</f>
        <v>Existing Single Family Home HVAC Upgrade</v>
      </c>
      <c r="D169" t="str">
        <f t="shared" ref="D169:R169" si="46">D51</f>
        <v>Cooling Savings</v>
      </c>
      <c r="E169" s="180">
        <f t="shared" si="46"/>
        <v>0</v>
      </c>
      <c r="F169">
        <f t="shared" si="46"/>
        <v>15</v>
      </c>
      <c r="G169">
        <f t="shared" si="46"/>
        <v>0</v>
      </c>
      <c r="H169">
        <f t="shared" si="46"/>
        <v>0</v>
      </c>
      <c r="I169" t="str">
        <f t="shared" si="46"/>
        <v>ResCACZ1</v>
      </c>
      <c r="J169">
        <f t="shared" si="46"/>
        <v>0</v>
      </c>
      <c r="K169">
        <f t="shared" si="46"/>
        <v>0</v>
      </c>
      <c r="L169">
        <f t="shared" si="46"/>
        <v>0</v>
      </c>
      <c r="M169">
        <f t="shared" si="46"/>
        <v>0</v>
      </c>
      <c r="N169">
        <f t="shared" si="46"/>
        <v>0</v>
      </c>
      <c r="O169">
        <f t="shared" si="46"/>
        <v>0</v>
      </c>
      <c r="P169">
        <f t="shared" si="46"/>
        <v>0</v>
      </c>
      <c r="Q169">
        <f t="shared" si="46"/>
        <v>0</v>
      </c>
      <c r="R169">
        <f t="shared" si="46"/>
        <v>0</v>
      </c>
    </row>
    <row r="170" spans="1:18">
      <c r="A170" t="s">
        <v>482</v>
      </c>
      <c r="C170" t="str">
        <f>C52</f>
        <v>Existing Single Family Home HVAC Upgrade</v>
      </c>
      <c r="D170" t="str">
        <f t="shared" ref="D170" si="47">D52</f>
        <v>Cooling Savings</v>
      </c>
      <c r="E170" s="180">
        <f>E52+E53</f>
        <v>0</v>
      </c>
      <c r="F170">
        <f t="shared" ref="F170" si="48">F52</f>
        <v>15</v>
      </c>
      <c r="G170" s="41">
        <f>G52+G53</f>
        <v>0</v>
      </c>
      <c r="H170" s="41">
        <f>H52+H53</f>
        <v>0</v>
      </c>
      <c r="I170" t="str">
        <f t="shared" ref="I170" si="49">I52</f>
        <v>ResCACZ2</v>
      </c>
      <c r="J170" s="41">
        <f>J52+J53</f>
        <v>0</v>
      </c>
      <c r="K170" s="41">
        <f>K52+K53</f>
        <v>0</v>
      </c>
      <c r="L170">
        <f t="shared" ref="L170" si="50">L52</f>
        <v>0</v>
      </c>
      <c r="M170" s="41">
        <f>M52+M53</f>
        <v>0</v>
      </c>
      <c r="N170">
        <f t="shared" ref="N170" si="51">N52</f>
        <v>0</v>
      </c>
      <c r="O170" s="41">
        <f>O52+O53</f>
        <v>0</v>
      </c>
      <c r="P170">
        <f t="shared" ref="P170" si="52">P52</f>
        <v>0</v>
      </c>
      <c r="Q170" s="41">
        <f>Q52+Q53</f>
        <v>0</v>
      </c>
      <c r="R170">
        <f t="shared" ref="R170" si="53">R52</f>
        <v>0</v>
      </c>
    </row>
    <row r="171" spans="1:18">
      <c r="A171" t="s">
        <v>472</v>
      </c>
      <c r="C171" t="str">
        <f>C54</f>
        <v>Existing Single Family Home HVAC Upgrade - Central Heat Pump Upgrade to Variable Capacity Central Heat Pump</v>
      </c>
      <c r="D171" t="str">
        <f t="shared" ref="D171:R171" si="54">D54</f>
        <v>Cooling Savings</v>
      </c>
      <c r="E171" s="180">
        <f t="shared" si="54"/>
        <v>63.646904412715216</v>
      </c>
      <c r="F171">
        <f t="shared" si="54"/>
        <v>15</v>
      </c>
      <c r="G171">
        <f t="shared" si="54"/>
        <v>0</v>
      </c>
      <c r="H171">
        <f t="shared" si="54"/>
        <v>0</v>
      </c>
      <c r="I171" t="str">
        <f t="shared" si="54"/>
        <v>ResCACZ1</v>
      </c>
      <c r="J171">
        <f t="shared" si="54"/>
        <v>0</v>
      </c>
      <c r="K171">
        <f t="shared" si="54"/>
        <v>0</v>
      </c>
      <c r="L171">
        <f t="shared" si="54"/>
        <v>0</v>
      </c>
      <c r="M171">
        <f t="shared" si="54"/>
        <v>0</v>
      </c>
      <c r="N171">
        <f t="shared" si="54"/>
        <v>0</v>
      </c>
      <c r="O171">
        <f t="shared" si="54"/>
        <v>0</v>
      </c>
      <c r="P171">
        <f t="shared" si="54"/>
        <v>0</v>
      </c>
      <c r="Q171">
        <f t="shared" si="54"/>
        <v>0</v>
      </c>
      <c r="R171">
        <f t="shared" si="54"/>
        <v>0</v>
      </c>
    </row>
    <row r="172" spans="1:18">
      <c r="A172" t="s">
        <v>483</v>
      </c>
      <c r="C172" t="str">
        <f>C55</f>
        <v>Existing Single Family Home HVAC Upgrade - Central Heat Pump Upgrade to Variable Capacity Central Heat Pump</v>
      </c>
      <c r="D172" t="str">
        <f>D55</f>
        <v>Cooling Savings</v>
      </c>
      <c r="E172" s="180">
        <f>E55+E56</f>
        <v>192.36292571840198</v>
      </c>
      <c r="F172">
        <f>F55</f>
        <v>15</v>
      </c>
      <c r="G172" s="41">
        <f>G55+G56</f>
        <v>0</v>
      </c>
      <c r="H172" s="41">
        <f>H55+H56</f>
        <v>0</v>
      </c>
      <c r="I172" t="str">
        <f>I55</f>
        <v>ResCACZ2</v>
      </c>
      <c r="J172" s="41">
        <f>J55+J56</f>
        <v>0</v>
      </c>
      <c r="K172" s="41">
        <f>K55+K56</f>
        <v>0</v>
      </c>
      <c r="L172">
        <f>L55</f>
        <v>0</v>
      </c>
      <c r="M172" s="41">
        <f>M55+M56</f>
        <v>0</v>
      </c>
      <c r="N172">
        <f>N55</f>
        <v>0</v>
      </c>
      <c r="O172" s="41">
        <f>O55+O56</f>
        <v>0</v>
      </c>
      <c r="P172">
        <f>P55</f>
        <v>0</v>
      </c>
      <c r="Q172" s="41">
        <f>Q55+Q56</f>
        <v>0</v>
      </c>
      <c r="R172">
        <f>R55</f>
        <v>0</v>
      </c>
    </row>
    <row r="173" spans="1:18">
      <c r="A173" t="s">
        <v>484</v>
      </c>
      <c r="C173" t="str">
        <f>C55</f>
        <v>Existing Single Family Home HVAC Upgrade - Central Heat Pump Upgrade to Variable Capacity Central Heat Pump</v>
      </c>
      <c r="D173" t="str">
        <f>D55</f>
        <v>Cooling Savings</v>
      </c>
      <c r="E173" s="180">
        <f>E57+E60</f>
        <v>63.646904412715216</v>
      </c>
      <c r="F173">
        <f t="shared" ref="F173:F174" si="55">F55</f>
        <v>15</v>
      </c>
      <c r="G173" s="43">
        <f>G57+G60</f>
        <v>0</v>
      </c>
      <c r="H173" s="43">
        <f>H57+H60</f>
        <v>0</v>
      </c>
      <c r="I173" t="str">
        <f t="shared" ref="I173:I174" si="56">I55</f>
        <v>ResCACZ2</v>
      </c>
      <c r="J173" s="43">
        <f>J57+J60</f>
        <v>0</v>
      </c>
      <c r="K173" s="43">
        <f>K57+K60</f>
        <v>0</v>
      </c>
      <c r="L173">
        <f t="shared" ref="L173:L174" si="57">L55</f>
        <v>0</v>
      </c>
      <c r="M173" s="43">
        <f>M57+M60</f>
        <v>0</v>
      </c>
      <c r="N173">
        <f t="shared" ref="N173:N174" si="58">N55</f>
        <v>0</v>
      </c>
      <c r="O173" s="43">
        <f>O57+O60</f>
        <v>0</v>
      </c>
      <c r="P173">
        <f t="shared" ref="P173:P174" si="59">P55</f>
        <v>0</v>
      </c>
      <c r="Q173" s="43">
        <f>Q57+Q60</f>
        <v>0</v>
      </c>
      <c r="R173">
        <f t="shared" ref="R173:R174" si="60">R55</f>
        <v>0</v>
      </c>
    </row>
    <row r="174" spans="1:18">
      <c r="A174" t="s">
        <v>485</v>
      </c>
      <c r="C174" t="str">
        <f>C58</f>
        <v>Existing Single Family Home HVAC Upgrade - Central Heat Pump Upgrade to Variable Capacity Central Heat Pump</v>
      </c>
      <c r="D174" t="str">
        <f>D58</f>
        <v>Cooling Savings</v>
      </c>
      <c r="E174" s="180">
        <f>E58+E59+E61+E62</f>
        <v>153.60902856595595</v>
      </c>
      <c r="F174">
        <f t="shared" si="55"/>
        <v>15</v>
      </c>
      <c r="G174" s="43">
        <f>G58+G59+G61+G62</f>
        <v>0</v>
      </c>
      <c r="H174" s="43">
        <f>H58+H59+H61+H62</f>
        <v>0</v>
      </c>
      <c r="I174" t="str">
        <f t="shared" si="56"/>
        <v>ResCACZ3</v>
      </c>
      <c r="J174" s="43">
        <f>J58+J59+J61+J62</f>
        <v>0</v>
      </c>
      <c r="K174" s="43">
        <f>K58+K59+K61+K62</f>
        <v>0</v>
      </c>
      <c r="L174">
        <f t="shared" si="57"/>
        <v>0</v>
      </c>
      <c r="M174" s="43">
        <f>M58+M59+M61+M62</f>
        <v>0</v>
      </c>
      <c r="N174">
        <f t="shared" si="58"/>
        <v>0</v>
      </c>
      <c r="O174" s="43">
        <f>O58+O59+O61+O62</f>
        <v>0</v>
      </c>
      <c r="P174">
        <f t="shared" si="59"/>
        <v>0</v>
      </c>
      <c r="Q174" s="43">
        <f>Q58+Q59+Q61+Q62</f>
        <v>0</v>
      </c>
      <c r="R174">
        <f t="shared" si="60"/>
        <v>0</v>
      </c>
    </row>
    <row r="175" spans="1:18">
      <c r="A175" t="s">
        <v>472</v>
      </c>
      <c r="C175" t="str">
        <f>C63</f>
        <v>Zonal to DHP No Screen</v>
      </c>
      <c r="D175" t="str">
        <f t="shared" ref="D175:R175" si="61">D63</f>
        <v>Cooling Savings</v>
      </c>
      <c r="E175" s="179">
        <f t="shared" si="61"/>
        <v>-32.124417637256897</v>
      </c>
      <c r="F175">
        <f t="shared" si="61"/>
        <v>15</v>
      </c>
      <c r="G175">
        <f t="shared" si="61"/>
        <v>0</v>
      </c>
      <c r="H175">
        <f t="shared" si="61"/>
        <v>0</v>
      </c>
      <c r="I175" t="str">
        <f t="shared" si="61"/>
        <v>R-All-HVAC-DHP_cool-All-All-N</v>
      </c>
      <c r="J175">
        <f t="shared" si="61"/>
        <v>4.2672027323999426</v>
      </c>
      <c r="K175">
        <f t="shared" si="61"/>
        <v>0</v>
      </c>
      <c r="L175">
        <f t="shared" si="61"/>
        <v>0</v>
      </c>
      <c r="M175">
        <f t="shared" si="61"/>
        <v>0</v>
      </c>
      <c r="N175">
        <f t="shared" si="61"/>
        <v>0</v>
      </c>
      <c r="O175">
        <f t="shared" si="61"/>
        <v>0</v>
      </c>
      <c r="P175">
        <f t="shared" si="61"/>
        <v>0</v>
      </c>
      <c r="Q175">
        <f t="shared" si="61"/>
        <v>0</v>
      </c>
      <c r="R175">
        <f t="shared" si="61"/>
        <v>0</v>
      </c>
    </row>
    <row r="176" spans="1:18">
      <c r="A176" t="s">
        <v>483</v>
      </c>
      <c r="C176" t="str">
        <f>C66</f>
        <v>Zonal to DHP No Screen</v>
      </c>
      <c r="D176" t="str">
        <f>D66</f>
        <v>Cooling Savings</v>
      </c>
      <c r="E176" s="43">
        <f>E66+E69</f>
        <v>285.15888429262986</v>
      </c>
      <c r="F176">
        <f>F66</f>
        <v>15</v>
      </c>
      <c r="G176" s="43">
        <f>G66+G69</f>
        <v>0</v>
      </c>
      <c r="H176" s="43">
        <f>H66+H69</f>
        <v>0</v>
      </c>
      <c r="I176" t="str">
        <f>I66</f>
        <v>R-All-HVAC-DHP_cool-All-All-N</v>
      </c>
      <c r="J176" s="43">
        <f>J66+J69</f>
        <v>2.5016228192855006</v>
      </c>
      <c r="K176" s="43">
        <f>K66+K69</f>
        <v>0</v>
      </c>
      <c r="L176">
        <f>L66</f>
        <v>0</v>
      </c>
      <c r="M176" s="43">
        <f>M66+M69</f>
        <v>0</v>
      </c>
      <c r="N176">
        <f>N66</f>
        <v>0</v>
      </c>
      <c r="O176" s="43">
        <f>O66+O69</f>
        <v>0</v>
      </c>
      <c r="P176">
        <f>P66</f>
        <v>0</v>
      </c>
      <c r="Q176" s="43">
        <f>Q66+Q69</f>
        <v>0</v>
      </c>
      <c r="R176">
        <f>R66</f>
        <v>0</v>
      </c>
    </row>
    <row r="177" spans="1:18">
      <c r="A177" t="s">
        <v>484</v>
      </c>
      <c r="C177" t="str">
        <f>C64</f>
        <v>Zonal to DHP No Screen</v>
      </c>
      <c r="D177" t="str">
        <f>D64</f>
        <v>Cooling Savings</v>
      </c>
      <c r="E177" s="43">
        <f>E64+E65</f>
        <v>-32.124417637256897</v>
      </c>
      <c r="F177">
        <f>F64</f>
        <v>15</v>
      </c>
      <c r="G177" s="43">
        <f>G64+G65</f>
        <v>0</v>
      </c>
      <c r="H177" s="43">
        <f>H64+H65</f>
        <v>0</v>
      </c>
      <c r="I177" t="str">
        <f>I64</f>
        <v>R-All-HVAC-DHP_cool-All-All-N</v>
      </c>
      <c r="J177" s="43">
        <f>J64+J65</f>
        <v>4.2672027323999426</v>
      </c>
      <c r="K177" s="43">
        <f>K64+K65</f>
        <v>0</v>
      </c>
      <c r="L177">
        <f>L64</f>
        <v>0</v>
      </c>
      <c r="M177" s="43">
        <f>M64+M65</f>
        <v>0</v>
      </c>
      <c r="N177">
        <f>N64</f>
        <v>0</v>
      </c>
      <c r="O177" s="43">
        <f>O64+O65</f>
        <v>0</v>
      </c>
      <c r="P177">
        <f>P64</f>
        <v>0</v>
      </c>
      <c r="Q177" s="43">
        <f>Q64+Q65</f>
        <v>0</v>
      </c>
      <c r="R177">
        <f>R64</f>
        <v>0</v>
      </c>
    </row>
    <row r="178" spans="1:18">
      <c r="A178" t="s">
        <v>485</v>
      </c>
      <c r="C178" t="str">
        <f>C67</f>
        <v>Zonal to DHP No Screen</v>
      </c>
      <c r="D178" t="str">
        <f>D67</f>
        <v>Cooling Savings</v>
      </c>
      <c r="E178" s="43">
        <f>E67+E68+E70+E71</f>
        <v>161.35182423512475</v>
      </c>
      <c r="F178">
        <f>F67</f>
        <v>15</v>
      </c>
      <c r="G178" s="43">
        <f>G67+G68+G70+G71</f>
        <v>0</v>
      </c>
      <c r="H178" s="43">
        <f>H67+H68+H70+H71</f>
        <v>0</v>
      </c>
      <c r="I178" t="str">
        <f>I67</f>
        <v>R-All-HVAC-DHP_cool-All-All-N</v>
      </c>
      <c r="J178" s="43">
        <f>J67+J68+J70+J71</f>
        <v>4.9434065019759288</v>
      </c>
      <c r="K178" s="43">
        <f>K67+K68+K70+K71</f>
        <v>0</v>
      </c>
      <c r="L178">
        <f>L67</f>
        <v>0</v>
      </c>
      <c r="M178" s="43">
        <f>M67+M68+M70+M71</f>
        <v>0</v>
      </c>
      <c r="N178">
        <f>N67</f>
        <v>0</v>
      </c>
      <c r="O178" s="43">
        <f>O67+O68+O70+O71</f>
        <v>0</v>
      </c>
      <c r="P178">
        <f>P67</f>
        <v>0</v>
      </c>
      <c r="Q178" s="43">
        <f>Q67+Q68+Q70+Q71</f>
        <v>0</v>
      </c>
      <c r="R178">
        <f>R67</f>
        <v>0</v>
      </c>
    </row>
    <row r="179" spans="1:18" ht="14.25" customHeight="1">
      <c r="C179" t="str">
        <f>C72</f>
        <v>New SF HVAC Upgrade - Heat Pump Upgrade to 9.0 HSPF/14 SEER</v>
      </c>
      <c r="D179" t="str">
        <f>D72</f>
        <v>Heating Savings</v>
      </c>
      <c r="E179" s="180">
        <f>E72*VLOOKUP($A72,weighting!$B$38:$C$46,2,FALSE)+E73*VLOOKUP($A73,weighting!$B$38:$C$46,2,FALSE)+E74*VLOOKUP($A74,weighting!$B$38:$C$46,2,FALSE)+E75*VLOOKUP($A75,weighting!$B$38:$C$46,2,FALSE)+E76*VLOOKUP($A76,weighting!$B$38:$C$46,2,FALSE)+E77*VLOOKUP($A77,weighting!$B$38:$C$46,2,FALSE)+E78*VLOOKUP($A78,weighting!$B$38:$C$46,2,FALSE)+E79*VLOOKUP($A79,weighting!$B$38:$C$46,2,FALSE)+E80*VLOOKUP($A80,weighting!$B$38:$C$46,2,FALSE)</f>
        <v>130.34737827858635</v>
      </c>
      <c r="F179">
        <f>F72</f>
        <v>15</v>
      </c>
      <c r="G179" s="180">
        <f>G72*VLOOKUP($A72,weighting!$B$38:$C$46,2,FALSE)+G73*VLOOKUP($A73,weighting!$B$38:$C$46,2,FALSE)+G74*VLOOKUP($A74,weighting!$B$38:$C$46,2,FALSE)+G75*VLOOKUP($A75,weighting!$B$38:$C$46,2,FALSE)+G76*VLOOKUP($A76,weighting!$B$38:$C$46,2,FALSE)+G77*VLOOKUP($A77,weighting!$B$38:$C$46,2,FALSE)+G78*VLOOKUP($A78,weighting!$B$38:$C$46,2,FALSE)+G79*VLOOKUP($A79,weighting!$B$38:$C$46,2,FALSE)+G80*VLOOKUP($A80,weighting!$B$38:$C$46,2,FALSE)</f>
        <v>80.823411921055211</v>
      </c>
      <c r="H179" s="180">
        <f>H72*VLOOKUP($A72,weighting!$B$38:$C$46,2,FALSE)+H73*VLOOKUP($A73,weighting!$B$38:$C$46,2,FALSE)+H74*VLOOKUP($A74,weighting!$B$38:$C$46,2,FALSE)+H75*VLOOKUP($A75,weighting!$B$38:$C$46,2,FALSE)+H76*VLOOKUP($A76,weighting!$B$38:$C$46,2,FALSE)+H77*VLOOKUP($A77,weighting!$B$38:$C$46,2,FALSE)+H78*VLOOKUP($A78,weighting!$B$38:$C$46,2,FALSE)+H79*VLOOKUP($A79,weighting!$B$38:$C$46,2,FALSE)+H80*VLOOKUP($A80,weighting!$B$38:$C$46,2,FALSE)</f>
        <v>0</v>
      </c>
      <c r="I179" t="str">
        <f>I72</f>
        <v>ResSpHtHPZ1</v>
      </c>
      <c r="J179" s="180">
        <f>J72*VLOOKUP($A72,weighting!$B$38:$C$46,2,FALSE)+J73*VLOOKUP($A73,weighting!$B$38:$C$46,2,FALSE)+J74*VLOOKUP($A74,weighting!$B$38:$C$46,2,FALSE)+J75*VLOOKUP($A75,weighting!$B$38:$C$46,2,FALSE)+J76*VLOOKUP($A76,weighting!$B$38:$C$46,2,FALSE)+J77*VLOOKUP($A77,weighting!$B$38:$C$46,2,FALSE)+J78*VLOOKUP($A78,weighting!$B$38:$C$46,2,FALSE)+J79*VLOOKUP($A79,weighting!$B$38:$C$46,2,FALSE)+J80*VLOOKUP($A80,weighting!$B$38:$C$46,2,FALSE)</f>
        <v>2.0001067608681535</v>
      </c>
      <c r="K179" s="180">
        <f>K72*VLOOKUP($A72,weighting!$B$38:$C$46,2,FALSE)+K73*VLOOKUP($A73,weighting!$B$38:$C$46,2,FALSE)+K74*VLOOKUP($A74,weighting!$B$38:$C$46,2,FALSE)+K75*VLOOKUP($A75,weighting!$B$38:$C$46,2,FALSE)+K76*VLOOKUP($A76,weighting!$B$38:$C$46,2,FALSE)+K77*VLOOKUP($A77,weighting!$B$38:$C$46,2,FALSE)+K78*VLOOKUP($A78,weighting!$B$38:$C$46,2,FALSE)+K79*VLOOKUP($A79,weighting!$B$38:$C$46,2,FALSE)+K80*VLOOKUP($A80,weighting!$B$38:$C$46,2,FALSE)</f>
        <v>0</v>
      </c>
      <c r="L179">
        <f>L72</f>
        <v>0</v>
      </c>
      <c r="M179" s="180">
        <f>M72*VLOOKUP($A72,weighting!$B$38:$C$46,2,FALSE)+M73*VLOOKUP($A73,weighting!$B$38:$C$46,2,FALSE)+M74*VLOOKUP($A74,weighting!$B$38:$C$46,2,FALSE)+M75*VLOOKUP($A75,weighting!$B$38:$C$46,2,FALSE)+M76*VLOOKUP($A76,weighting!$B$38:$C$46,2,FALSE)+M77*VLOOKUP($A77,weighting!$B$38:$C$46,2,FALSE)+M78*VLOOKUP($A78,weighting!$B$38:$C$46,2,FALSE)+M79*VLOOKUP($A79,weighting!$B$38:$C$46,2,FALSE)+M80*VLOOKUP($A80,weighting!$B$38:$C$46,2,FALSE)</f>
        <v>0</v>
      </c>
      <c r="N179">
        <f>N72</f>
        <v>0</v>
      </c>
      <c r="O179" s="180">
        <f>O72*VLOOKUP($A72,weighting!$B$38:$C$46,2,FALSE)+O73*VLOOKUP($A73,weighting!$B$38:$C$46,2,FALSE)+O74*VLOOKUP($A74,weighting!$B$38:$C$46,2,FALSE)+O75*VLOOKUP($A75,weighting!$B$38:$C$46,2,FALSE)+O76*VLOOKUP($A76,weighting!$B$38:$C$46,2,FALSE)+O77*VLOOKUP($A77,weighting!$B$38:$C$46,2,FALSE)+O78*VLOOKUP($A78,weighting!$B$38:$C$46,2,FALSE)+O79*VLOOKUP($A79,weighting!$B$38:$C$46,2,FALSE)+O80*VLOOKUP($A80,weighting!$B$38:$C$46,2,FALSE)</f>
        <v>0</v>
      </c>
      <c r="P179">
        <f>P72</f>
        <v>0</v>
      </c>
      <c r="Q179" s="180">
        <f>Q72*VLOOKUP($A72,weighting!$B$38:$C$46,2,FALSE)+Q73*VLOOKUP($A73,weighting!$B$38:$C$46,2,FALSE)+Q74*VLOOKUP($A74,weighting!$B$38:$C$46,2,FALSE)+Q75*VLOOKUP($A75,weighting!$B$38:$C$46,2,FALSE)+Q76*VLOOKUP($A76,weighting!$B$38:$C$46,2,FALSE)+Q77*VLOOKUP($A77,weighting!$B$38:$C$46,2,FALSE)+Q78*VLOOKUP($A78,weighting!$B$38:$C$46,2,FALSE)+Q79*VLOOKUP($A79,weighting!$B$38:$C$46,2,FALSE)+Q80*VLOOKUP($A80,weighting!$B$38:$C$46,2,FALSE)</f>
        <v>0</v>
      </c>
    </row>
    <row r="180" spans="1:18" ht="14.25" customHeight="1">
      <c r="C180" t="str">
        <f>C81</f>
        <v>New SF HVAC Upgrade - Central Heat Pump Upgrade to Variable Capacity Central Heat Pump</v>
      </c>
      <c r="D180" t="str">
        <f>D81</f>
        <v>Heating Savings</v>
      </c>
      <c r="E180" s="180">
        <f>E81*VLOOKUP($A81,weighting!$B$38:$C$46,2,FALSE)+E82*VLOOKUP($A82,weighting!$B$38:$C$46,2,FALSE)+E83*VLOOKUP($A83,weighting!$B$38:$C$46,2,FALSE)+E84*VLOOKUP($A84,weighting!$B$38:$C$46,2,FALSE)+E85*VLOOKUP($A85,weighting!$B$38:$C$46,2,FALSE)+E86*VLOOKUP($A86,weighting!$B$38:$C$46,2,FALSE)+E87*VLOOKUP($A87,weighting!$B$38:$C$46,2,FALSE)+E88*VLOOKUP($A88,weighting!$B$38:$C$46,2,FALSE)+E89*VLOOKUP($A89,weighting!$B$38:$C$46,2,FALSE)</f>
        <v>439.7271685801071</v>
      </c>
      <c r="F180">
        <f>F81</f>
        <v>15</v>
      </c>
      <c r="G180" s="180">
        <f>G81*VLOOKUP($A81,weighting!$B$38:$C$46,2,FALSE)+G82*VLOOKUP($A82,weighting!$B$38:$C$46,2,FALSE)+G83*VLOOKUP($A83,weighting!$B$38:$C$46,2,FALSE)+G84*VLOOKUP($A84,weighting!$B$38:$C$46,2,FALSE)+G85*VLOOKUP($A85,weighting!$B$38:$C$46,2,FALSE)+G86*VLOOKUP($A86,weighting!$B$38:$C$46,2,FALSE)+G87*VLOOKUP($A87,weighting!$B$38:$C$46,2,FALSE)+G88*VLOOKUP($A88,weighting!$B$38:$C$46,2,FALSE)+G89*VLOOKUP($A89,weighting!$B$38:$C$46,2,FALSE)</f>
        <v>5447.8150000000014</v>
      </c>
      <c r="H180" s="180">
        <f>H81*VLOOKUP($A81,weighting!$B$38:$C$46,2,FALSE)+H82*VLOOKUP($A82,weighting!$B$38:$C$46,2,FALSE)+H83*VLOOKUP($A83,weighting!$B$38:$C$46,2,FALSE)+H84*VLOOKUP($A84,weighting!$B$38:$C$46,2,FALSE)+H85*VLOOKUP($A85,weighting!$B$38:$C$46,2,FALSE)+H86*VLOOKUP($A86,weighting!$B$38:$C$46,2,FALSE)+H87*VLOOKUP($A87,weighting!$B$38:$C$46,2,FALSE)+H88*VLOOKUP($A88,weighting!$B$38:$C$46,2,FALSE)+H89*VLOOKUP($A89,weighting!$B$38:$C$46,2,FALSE)</f>
        <v>0</v>
      </c>
      <c r="I180" t="str">
        <f>I81</f>
        <v>ResSpHtHPZ3</v>
      </c>
      <c r="J180" s="180">
        <f>J81*VLOOKUP($A81,weighting!$B$38:$C$46,2,FALSE)+J82*VLOOKUP($A82,weighting!$B$38:$C$46,2,FALSE)+J83*VLOOKUP($A83,weighting!$B$38:$C$46,2,FALSE)+J84*VLOOKUP($A84,weighting!$B$38:$C$46,2,FALSE)+J85*VLOOKUP($A85,weighting!$B$38:$C$46,2,FALSE)+J86*VLOOKUP($A86,weighting!$B$38:$C$46,2,FALSE)+J87*VLOOKUP($A87,weighting!$B$38:$C$46,2,FALSE)+J88*VLOOKUP($A88,weighting!$B$38:$C$46,2,FALSE)+J89*VLOOKUP($A89,weighting!$B$38:$C$46,2,FALSE)</f>
        <v>6.5817199786322611</v>
      </c>
      <c r="K180" s="180">
        <f>K81*VLOOKUP($A81,weighting!$B$38:$C$46,2,FALSE)+K82*VLOOKUP($A82,weighting!$B$38:$C$46,2,FALSE)+K83*VLOOKUP($A83,weighting!$B$38:$C$46,2,FALSE)+K84*VLOOKUP($A84,weighting!$B$38:$C$46,2,FALSE)+K85*VLOOKUP($A85,weighting!$B$38:$C$46,2,FALSE)+K86*VLOOKUP($A86,weighting!$B$38:$C$46,2,FALSE)+K87*VLOOKUP($A87,weighting!$B$38:$C$46,2,FALSE)+K88*VLOOKUP($A88,weighting!$B$38:$C$46,2,FALSE)+K89*VLOOKUP($A89,weighting!$B$38:$C$46,2,FALSE)</f>
        <v>0</v>
      </c>
      <c r="L180">
        <f>L81</f>
        <v>0</v>
      </c>
      <c r="M180" s="180">
        <f>M81*VLOOKUP($A81,weighting!$B$38:$C$46,2,FALSE)+M82*VLOOKUP($A82,weighting!$B$38:$C$46,2,FALSE)+M83*VLOOKUP($A83,weighting!$B$38:$C$46,2,FALSE)+M84*VLOOKUP($A84,weighting!$B$38:$C$46,2,FALSE)+M85*VLOOKUP($A85,weighting!$B$38:$C$46,2,FALSE)+M86*VLOOKUP($A86,weighting!$B$38:$C$46,2,FALSE)+M87*VLOOKUP($A87,weighting!$B$38:$C$46,2,FALSE)+M88*VLOOKUP($A88,weighting!$B$38:$C$46,2,FALSE)+M89*VLOOKUP($A89,weighting!$B$38:$C$46,2,FALSE)</f>
        <v>0</v>
      </c>
      <c r="N180">
        <f>N81</f>
        <v>0</v>
      </c>
      <c r="O180" s="180">
        <f>O81*VLOOKUP($A81,weighting!$B$38:$C$46,2,FALSE)+O82*VLOOKUP($A82,weighting!$B$38:$C$46,2,FALSE)+O83*VLOOKUP($A83,weighting!$B$38:$C$46,2,FALSE)+O84*VLOOKUP($A84,weighting!$B$38:$C$46,2,FALSE)+O85*VLOOKUP($A85,weighting!$B$38:$C$46,2,FALSE)+O86*VLOOKUP($A86,weighting!$B$38:$C$46,2,FALSE)+O87*VLOOKUP($A87,weighting!$B$38:$C$46,2,FALSE)+O88*VLOOKUP($A88,weighting!$B$38:$C$46,2,FALSE)+O89*VLOOKUP($A89,weighting!$B$38:$C$46,2,FALSE)</f>
        <v>0</v>
      </c>
      <c r="P180">
        <f>P81</f>
        <v>0</v>
      </c>
      <c r="Q180" s="180">
        <f>Q81*VLOOKUP($A81,weighting!$B$38:$C$46,2,FALSE)+Q82*VLOOKUP($A82,weighting!$B$38:$C$46,2,FALSE)+Q83*VLOOKUP($A83,weighting!$B$38:$C$46,2,FALSE)+Q84*VLOOKUP($A84,weighting!$B$38:$C$46,2,FALSE)+Q85*VLOOKUP($A85,weighting!$B$38:$C$46,2,FALSE)+Q86*VLOOKUP($A86,weighting!$B$38:$C$46,2,FALSE)+Q87*VLOOKUP($A87,weighting!$B$38:$C$46,2,FALSE)+Q88*VLOOKUP($A88,weighting!$B$38:$C$46,2,FALSE)+Q89*VLOOKUP($A89,weighting!$B$38:$C$46,2,FALSE)</f>
        <v>0</v>
      </c>
    </row>
    <row r="181" spans="1:18" ht="14.25" customHeight="1">
      <c r="C181" t="str">
        <f>C90</f>
        <v>New SF Zonal to DHP</v>
      </c>
      <c r="D181" t="str">
        <f>D90</f>
        <v>Heating Savings</v>
      </c>
      <c r="E181" s="180">
        <f>E90*VLOOKUP($A90,weighting!$B$38:$C$46,2,FALSE)+E91*VLOOKUP($A91,weighting!$B$38:$C$46,2,FALSE)+E92*VLOOKUP($A92,weighting!$B$38:$C$46,2,FALSE)+E93*VLOOKUP($A93,weighting!$B$38:$C$46,2,FALSE)+E94*VLOOKUP($A94,weighting!$B$38:$C$46,2,FALSE)+E95*VLOOKUP($A95,weighting!$B$38:$C$46,2,FALSE)+E96*VLOOKUP($A96,weighting!$B$38:$C$46,2,FALSE)+E97*VLOOKUP($A97,weighting!$B$38:$C$46,2,FALSE)+$E98*VLOOKUP($A98,weighting!$B$38:$C$46,2,FALSE)</f>
        <v>2718.146476067137</v>
      </c>
      <c r="F181">
        <f>F90</f>
        <v>15</v>
      </c>
      <c r="G181" s="180">
        <f>G90*VLOOKUP($A90,weighting!$B$38:$C$46,2,FALSE)+G91*VLOOKUP($A91,weighting!$B$38:$C$46,2,FALSE)+G92*VLOOKUP($A92,weighting!$B$38:$C$46,2,FALSE)+G93*VLOOKUP($A93,weighting!$B$38:$C$46,2,FALSE)+G94*VLOOKUP($A94,weighting!$B$38:$C$46,2,FALSE)+G95*VLOOKUP($A95,weighting!$B$38:$C$46,2,FALSE)+G96*VLOOKUP($A96,weighting!$B$38:$C$46,2,FALSE)+G97*VLOOKUP($A97,weighting!$B$38:$C$46,2,FALSE)+$E98*VLOOKUP($A98,weighting!$B$38:$C$46,2,FALSE)</f>
        <v>3764.9764753308682</v>
      </c>
      <c r="H181" s="180">
        <f>H90*VLOOKUP($A90,weighting!$B$38:$C$46,2,FALSE)+H91*VLOOKUP($A91,weighting!$B$38:$C$46,2,FALSE)+H92*VLOOKUP($A92,weighting!$B$38:$C$46,2,FALSE)+H93*VLOOKUP($A93,weighting!$B$38:$C$46,2,FALSE)+H94*VLOOKUP($A94,weighting!$B$38:$C$46,2,FALSE)+H95*VLOOKUP($A95,weighting!$B$38:$C$46,2,FALSE)+H96*VLOOKUP($A96,weighting!$B$38:$C$46,2,FALSE)+H97*VLOOKUP($A97,weighting!$B$38:$C$46,2,FALSE)+$E98*VLOOKUP($A98,weighting!$B$38:$C$46,2,FALSE)</f>
        <v>0</v>
      </c>
      <c r="I181" t="str">
        <f>I90</f>
        <v>R-All-HVAC-ERconvertDHP-HZ1-All-N</v>
      </c>
      <c r="J181" s="180">
        <f>J90*VLOOKUP($A90,weighting!$B$38:$C$46,2,FALSE)+J91*VLOOKUP($A91,weighting!$B$38:$C$46,2,FALSE)+J92*VLOOKUP($A92,weighting!$B$38:$C$46,2,FALSE)+J93*VLOOKUP($A93,weighting!$B$38:$C$46,2,FALSE)+J94*VLOOKUP($A94,weighting!$B$38:$C$46,2,FALSE)+J95*VLOOKUP($A95,weighting!$B$38:$C$46,2,FALSE)+J96*VLOOKUP($A96,weighting!$B$38:$C$46,2,FALSE)+J97*VLOOKUP($A97,weighting!$B$38:$C$46,2,FALSE)+$E98*VLOOKUP($A98,weighting!$B$38:$C$46,2,FALSE)</f>
        <v>56.902330570845969</v>
      </c>
      <c r="K181" s="180">
        <f>K90*VLOOKUP($A90,weighting!$B$38:$C$46,2,FALSE)+K91*VLOOKUP($A91,weighting!$B$38:$C$46,2,FALSE)+K92*VLOOKUP($A92,weighting!$B$38:$C$46,2,FALSE)+K93*VLOOKUP($A93,weighting!$B$38:$C$46,2,FALSE)+K94*VLOOKUP($A94,weighting!$B$38:$C$46,2,FALSE)+K95*VLOOKUP($A95,weighting!$B$38:$C$46,2,FALSE)+K96*VLOOKUP($A96,weighting!$B$38:$C$46,2,FALSE)+K97*VLOOKUP($A97,weighting!$B$38:$C$46,2,FALSE)+$E98*VLOOKUP($A98,weighting!$B$38:$C$46,2,FALSE)</f>
        <v>0</v>
      </c>
      <c r="L181">
        <f>L90</f>
        <v>0</v>
      </c>
      <c r="M181" s="180">
        <f>M90*VLOOKUP($A90,weighting!$B$38:$C$46,2,FALSE)+M91*VLOOKUP($A91,weighting!$B$38:$C$46,2,FALSE)+M92*VLOOKUP($A92,weighting!$B$38:$C$46,2,FALSE)+M93*VLOOKUP($A93,weighting!$B$38:$C$46,2,FALSE)+M94*VLOOKUP($A94,weighting!$B$38:$C$46,2,FALSE)+M95*VLOOKUP($A95,weighting!$B$38:$C$46,2,FALSE)+M96*VLOOKUP($A96,weighting!$B$38:$C$46,2,FALSE)+M97*VLOOKUP($A97,weighting!$B$38:$C$46,2,FALSE)+$E98*VLOOKUP($A98,weighting!$B$38:$C$46,2,FALSE)</f>
        <v>0</v>
      </c>
      <c r="N181">
        <f>N90</f>
        <v>0</v>
      </c>
      <c r="O181" s="180">
        <f>O90*VLOOKUP($A90,weighting!$B$38:$C$46,2,FALSE)+O91*VLOOKUP($A91,weighting!$B$38:$C$46,2,FALSE)+O92*VLOOKUP($A92,weighting!$B$38:$C$46,2,FALSE)+O93*VLOOKUP($A93,weighting!$B$38:$C$46,2,FALSE)+O94*VLOOKUP($A94,weighting!$B$38:$C$46,2,FALSE)+O95*VLOOKUP($A95,weighting!$B$38:$C$46,2,FALSE)+O96*VLOOKUP($A96,weighting!$B$38:$C$46,2,FALSE)+O97*VLOOKUP($A97,weighting!$B$38:$C$46,2,FALSE)+$E98*VLOOKUP($A98,weighting!$B$38:$C$46,2,FALSE)</f>
        <v>0</v>
      </c>
      <c r="P181">
        <f>P90</f>
        <v>0</v>
      </c>
      <c r="Q181" s="180">
        <f>Q90*VLOOKUP($A90,weighting!$B$38:$C$46,2,FALSE)+Q91*VLOOKUP($A91,weighting!$B$38:$C$46,2,FALSE)+Q92*VLOOKUP($A92,weighting!$B$38:$C$46,2,FALSE)+Q93*VLOOKUP($A93,weighting!$B$38:$C$46,2,FALSE)+Q94*VLOOKUP($A94,weighting!$B$38:$C$46,2,FALSE)+Q95*VLOOKUP($A95,weighting!$B$38:$C$46,2,FALSE)+Q96*VLOOKUP($A96,weighting!$B$38:$C$46,2,FALSE)+Q97*VLOOKUP($A97,weighting!$B$38:$C$46,2,FALSE)+$E98*VLOOKUP($A98,weighting!$B$38:$C$46,2,FALSE)</f>
        <v>0</v>
      </c>
    </row>
    <row r="182" spans="1:18" ht="14.25" customHeight="1">
      <c r="C182" t="str">
        <f>C99</f>
        <v>New SF HVAC Upgrade - Heat Pump Upgrade to 9.0 HSPF/14 SEER</v>
      </c>
      <c r="D182" t="str">
        <f>D99</f>
        <v>Cooling Savings</v>
      </c>
      <c r="E182" s="180">
        <f>E99*VLOOKUP($A99,weighting!$B$38:$C$46,2,FALSE)+E100*VLOOKUP($A100,weighting!$B$38:$C$46,2,FALSE)+E101*VLOOKUP($A101,weighting!$B$38:$C$46,2,FALSE)+E102*VLOOKUP($A102,weighting!$B$38:$C$46,2,FALSE)+E103*VLOOKUP($A103,weighting!$B$38:$C$46,2,FALSE)+E104*VLOOKUP($A104,weighting!$B$38:$C$46,2,FALSE)+E105*VLOOKUP($A105,weighting!$B$38:$C$46,2,FALSE)+E106*VLOOKUP($A106,weighting!$B$38:$C$46,2,FALSE)+$E107*VLOOKUP($A107,weighting!$B$38:$C$46,2,FALSE)</f>
        <v>26.709265500390853</v>
      </c>
      <c r="F182">
        <f>F99</f>
        <v>15</v>
      </c>
      <c r="G182" s="180">
        <f>G99*VLOOKUP($A99,weighting!$B$38:$C$46,2,FALSE)+G100*VLOOKUP($A100,weighting!$B$38:$C$46,2,FALSE)+G101*VLOOKUP($A101,weighting!$B$38:$C$46,2,FALSE)+G102*VLOOKUP($A102,weighting!$B$38:$C$46,2,FALSE)+G103*VLOOKUP($A103,weighting!$B$38:$C$46,2,FALSE)+G104*VLOOKUP($A104,weighting!$B$38:$C$46,2,FALSE)+G105*VLOOKUP($A105,weighting!$B$38:$C$46,2,FALSE)+G106*VLOOKUP($A106,weighting!$B$38:$C$46,2,FALSE)+$E107*VLOOKUP($A107,weighting!$B$38:$C$46,2,FALSE)</f>
        <v>0</v>
      </c>
      <c r="H182" s="180">
        <f>H99*VLOOKUP($A99,weighting!$B$38:$C$46,2,FALSE)+H100*VLOOKUP($A100,weighting!$B$38:$C$46,2,FALSE)+H101*VLOOKUP($A101,weighting!$B$38:$C$46,2,FALSE)+H102*VLOOKUP($A102,weighting!$B$38:$C$46,2,FALSE)+H103*VLOOKUP($A103,weighting!$B$38:$C$46,2,FALSE)+H104*VLOOKUP($A104,weighting!$B$38:$C$46,2,FALSE)+H105*VLOOKUP($A105,weighting!$B$38:$C$46,2,FALSE)+H106*VLOOKUP($A106,weighting!$B$38:$C$46,2,FALSE)+$E107*VLOOKUP($A107,weighting!$B$38:$C$46,2,FALSE)</f>
        <v>0</v>
      </c>
      <c r="I182" t="str">
        <f>I99</f>
        <v>ResCACZ1</v>
      </c>
      <c r="J182" s="180">
        <f>J99*VLOOKUP($A99,weighting!$B$38:$C$46,2,FALSE)+J100*VLOOKUP($A100,weighting!$B$38:$C$46,2,FALSE)+J101*VLOOKUP($A101,weighting!$B$38:$C$46,2,FALSE)+J102*VLOOKUP($A102,weighting!$B$38:$C$46,2,FALSE)+J103*VLOOKUP($A103,weighting!$B$38:$C$46,2,FALSE)+J104*VLOOKUP($A104,weighting!$B$38:$C$46,2,FALSE)+J105*VLOOKUP($A105,weighting!$B$38:$C$46,2,FALSE)+J106*VLOOKUP($A106,weighting!$B$38:$C$46,2,FALSE)+$E107*VLOOKUP($A107,weighting!$B$38:$C$46,2,FALSE)</f>
        <v>0</v>
      </c>
      <c r="K182" s="180">
        <f>K99*VLOOKUP($A99,weighting!$B$38:$C$46,2,FALSE)+K100*VLOOKUP($A100,weighting!$B$38:$C$46,2,FALSE)+K101*VLOOKUP($A101,weighting!$B$38:$C$46,2,FALSE)+K102*VLOOKUP($A102,weighting!$B$38:$C$46,2,FALSE)+K103*VLOOKUP($A103,weighting!$B$38:$C$46,2,FALSE)+K104*VLOOKUP($A104,weighting!$B$38:$C$46,2,FALSE)+K105*VLOOKUP($A105,weighting!$B$38:$C$46,2,FALSE)+K106*VLOOKUP($A106,weighting!$B$38:$C$46,2,FALSE)+$E107*VLOOKUP($A107,weighting!$B$38:$C$46,2,FALSE)</f>
        <v>0</v>
      </c>
      <c r="L182">
        <f>L99</f>
        <v>0</v>
      </c>
      <c r="M182" s="180">
        <f>M99*VLOOKUP($A99,weighting!$B$38:$C$46,2,FALSE)+M100*VLOOKUP($A100,weighting!$B$38:$C$46,2,FALSE)+M101*VLOOKUP($A101,weighting!$B$38:$C$46,2,FALSE)+M102*VLOOKUP($A102,weighting!$B$38:$C$46,2,FALSE)+M103*VLOOKUP($A103,weighting!$B$38:$C$46,2,FALSE)+M104*VLOOKUP($A104,weighting!$B$38:$C$46,2,FALSE)+M105*VLOOKUP($A105,weighting!$B$38:$C$46,2,FALSE)+M106*VLOOKUP($A106,weighting!$B$38:$C$46,2,FALSE)+$E107*VLOOKUP($A107,weighting!$B$38:$C$46,2,FALSE)</f>
        <v>0</v>
      </c>
      <c r="N182">
        <f>N99</f>
        <v>0</v>
      </c>
      <c r="O182" s="180">
        <f>O99*VLOOKUP($A99,weighting!$B$38:$C$46,2,FALSE)+O100*VLOOKUP($A100,weighting!$B$38:$C$46,2,FALSE)+O101*VLOOKUP($A101,weighting!$B$38:$C$46,2,FALSE)+O102*VLOOKUP($A102,weighting!$B$38:$C$46,2,FALSE)+O103*VLOOKUP($A103,weighting!$B$38:$C$46,2,FALSE)+O104*VLOOKUP($A104,weighting!$B$38:$C$46,2,FALSE)+O105*VLOOKUP($A105,weighting!$B$38:$C$46,2,FALSE)+O106*VLOOKUP($A106,weighting!$B$38:$C$46,2,FALSE)+$E107*VLOOKUP($A107,weighting!$B$38:$C$46,2,FALSE)</f>
        <v>0</v>
      </c>
      <c r="P182">
        <f>P99</f>
        <v>0</v>
      </c>
      <c r="Q182" s="180">
        <f>Q99*VLOOKUP($A99,weighting!$B$38:$C$46,2,FALSE)+Q100*VLOOKUP($A100,weighting!$B$38:$C$46,2,FALSE)+Q101*VLOOKUP($A101,weighting!$B$38:$C$46,2,FALSE)+Q102*VLOOKUP($A102,weighting!$B$38:$C$46,2,FALSE)+Q103*VLOOKUP($A103,weighting!$B$38:$C$46,2,FALSE)+Q104*VLOOKUP($A104,weighting!$B$38:$C$46,2,FALSE)+Q105*VLOOKUP($A105,weighting!$B$38:$C$46,2,FALSE)+Q106*VLOOKUP($A106,weighting!$B$38:$C$46,2,FALSE)+$E107*VLOOKUP($A107,weighting!$B$38:$C$46,2,FALSE)</f>
        <v>0</v>
      </c>
    </row>
    <row r="183" spans="1:18" ht="14.25" customHeight="1">
      <c r="C183" t="str">
        <f>C108</f>
        <v>New SF HVAC Upgrade - Central Heat Pump Upgrade to Variable Capacity Central Heat Pump</v>
      </c>
      <c r="D183" t="str">
        <f>D108</f>
        <v>Cooling Savings</v>
      </c>
      <c r="E183" s="180">
        <f>E108*VLOOKUP($A108,weighting!$B$38:$C$46,2,FALSE)+E109*VLOOKUP($A109,weighting!$B$38:$C$46,2,FALSE)+E110*VLOOKUP($A110,weighting!$B$38:$C$46,2,FALSE)+E111*VLOOKUP($A111,weighting!$B$38:$C$46,2,FALSE)+E112*VLOOKUP($A112,weighting!$B$38:$C$46,2,FALSE)+E113*VLOOKUP($A113,weighting!$B$38:$C$46,2,FALSE)+E114*VLOOKUP($A114,weighting!$B$38:$C$46,2,FALSE)+E115*VLOOKUP($A115,weighting!$B$38:$C$46,2,FALSE)+$E116*VLOOKUP($A116,weighting!$B$38:$C$46,2,FALSE)</f>
        <v>121.69574768633242</v>
      </c>
      <c r="F183">
        <f>F108</f>
        <v>15</v>
      </c>
      <c r="G183" s="180">
        <f>G108*VLOOKUP($A108,weighting!$B$38:$C$46,2,FALSE)+G109*VLOOKUP($A109,weighting!$B$38:$C$46,2,FALSE)+G110*VLOOKUP($A110,weighting!$B$38:$C$46,2,FALSE)+G111*VLOOKUP($A111,weighting!$B$38:$C$46,2,FALSE)+G112*VLOOKUP($A112,weighting!$B$38:$C$46,2,FALSE)+G113*VLOOKUP($A113,weighting!$B$38:$C$46,2,FALSE)+G114*VLOOKUP($A114,weighting!$B$38:$C$46,2,FALSE)+G115*VLOOKUP($A115,weighting!$B$38:$C$46,2,FALSE)+$E116*VLOOKUP($A116,weighting!$B$38:$C$46,2,FALSE)</f>
        <v>0</v>
      </c>
      <c r="H183" s="180">
        <f>H108*VLOOKUP($A108,weighting!$B$38:$C$46,2,FALSE)+H109*VLOOKUP($A109,weighting!$B$38:$C$46,2,FALSE)+H110*VLOOKUP($A110,weighting!$B$38:$C$46,2,FALSE)+H111*VLOOKUP($A111,weighting!$B$38:$C$46,2,FALSE)+H112*VLOOKUP($A112,weighting!$B$38:$C$46,2,FALSE)+H113*VLOOKUP($A113,weighting!$B$38:$C$46,2,FALSE)+H114*VLOOKUP($A114,weighting!$B$38:$C$46,2,FALSE)+H115*VLOOKUP($A115,weighting!$B$38:$C$46,2,FALSE)+$E116*VLOOKUP($A116,weighting!$B$38:$C$46,2,FALSE)</f>
        <v>0</v>
      </c>
      <c r="I183" t="str">
        <f>I108</f>
        <v>ResCACZ1</v>
      </c>
      <c r="J183" s="180">
        <f>J108*VLOOKUP($A108,weighting!$B$38:$C$46,2,FALSE)+J109*VLOOKUP($A109,weighting!$B$38:$C$46,2,FALSE)+J110*VLOOKUP($A110,weighting!$B$38:$C$46,2,FALSE)+J111*VLOOKUP($A111,weighting!$B$38:$C$46,2,FALSE)+J112*VLOOKUP($A112,weighting!$B$38:$C$46,2,FALSE)+J113*VLOOKUP($A113,weighting!$B$38:$C$46,2,FALSE)+J114*VLOOKUP($A114,weighting!$B$38:$C$46,2,FALSE)+J115*VLOOKUP($A115,weighting!$B$38:$C$46,2,FALSE)+$E116*VLOOKUP($A116,weighting!$B$38:$C$46,2,FALSE)</f>
        <v>0</v>
      </c>
      <c r="K183" s="180">
        <f>K108*VLOOKUP($A108,weighting!$B$38:$C$46,2,FALSE)+K109*VLOOKUP($A109,weighting!$B$38:$C$46,2,FALSE)+K110*VLOOKUP($A110,weighting!$B$38:$C$46,2,FALSE)+K111*VLOOKUP($A111,weighting!$B$38:$C$46,2,FALSE)+K112*VLOOKUP($A112,weighting!$B$38:$C$46,2,FALSE)+K113*VLOOKUP($A113,weighting!$B$38:$C$46,2,FALSE)+K114*VLOOKUP($A114,weighting!$B$38:$C$46,2,FALSE)+K115*VLOOKUP($A115,weighting!$B$38:$C$46,2,FALSE)+$E116*VLOOKUP($A116,weighting!$B$38:$C$46,2,FALSE)</f>
        <v>0</v>
      </c>
      <c r="L183">
        <f>L108</f>
        <v>0</v>
      </c>
      <c r="M183" s="180">
        <f>M108*VLOOKUP($A108,weighting!$B$38:$C$46,2,FALSE)+M109*VLOOKUP($A109,weighting!$B$38:$C$46,2,FALSE)+M110*VLOOKUP($A110,weighting!$B$38:$C$46,2,FALSE)+M111*VLOOKUP($A111,weighting!$B$38:$C$46,2,FALSE)+M112*VLOOKUP($A112,weighting!$B$38:$C$46,2,FALSE)+M113*VLOOKUP($A113,weighting!$B$38:$C$46,2,FALSE)+M114*VLOOKUP($A114,weighting!$B$38:$C$46,2,FALSE)+M115*VLOOKUP($A115,weighting!$B$38:$C$46,2,FALSE)+$E116*VLOOKUP($A116,weighting!$B$38:$C$46,2,FALSE)</f>
        <v>0</v>
      </c>
      <c r="N183">
        <f>N108</f>
        <v>0</v>
      </c>
      <c r="O183" s="180">
        <f>O108*VLOOKUP($A108,weighting!$B$38:$C$46,2,FALSE)+O109*VLOOKUP($A109,weighting!$B$38:$C$46,2,FALSE)+O110*VLOOKUP($A110,weighting!$B$38:$C$46,2,FALSE)+O111*VLOOKUP($A111,weighting!$B$38:$C$46,2,FALSE)+O112*VLOOKUP($A112,weighting!$B$38:$C$46,2,FALSE)+O113*VLOOKUP($A113,weighting!$B$38:$C$46,2,FALSE)+O114*VLOOKUP($A114,weighting!$B$38:$C$46,2,FALSE)+O115*VLOOKUP($A115,weighting!$B$38:$C$46,2,FALSE)+$E116*VLOOKUP($A116,weighting!$B$38:$C$46,2,FALSE)</f>
        <v>0</v>
      </c>
      <c r="P183">
        <f>P108</f>
        <v>0</v>
      </c>
      <c r="Q183" s="180">
        <f>Q108*VLOOKUP($A108,weighting!$B$38:$C$46,2,FALSE)+Q109*VLOOKUP($A109,weighting!$B$38:$C$46,2,FALSE)+Q110*VLOOKUP($A110,weighting!$B$38:$C$46,2,FALSE)+Q111*VLOOKUP($A111,weighting!$B$38:$C$46,2,FALSE)+Q112*VLOOKUP($A112,weighting!$B$38:$C$46,2,FALSE)+Q113*VLOOKUP($A113,weighting!$B$38:$C$46,2,FALSE)+Q114*VLOOKUP($A114,weighting!$B$38:$C$46,2,FALSE)+Q115*VLOOKUP($A115,weighting!$B$38:$C$46,2,FALSE)+$E116*VLOOKUP($A116,weighting!$B$38:$C$46,2,FALSE)</f>
        <v>0</v>
      </c>
    </row>
    <row r="184" spans="1:18">
      <c r="C184" t="str">
        <f>C117</f>
        <v>New SF Zonal to DHP</v>
      </c>
      <c r="D184" t="str">
        <f>D117</f>
        <v>Cooling Savings</v>
      </c>
      <c r="E184" s="180">
        <f>E117*VLOOKUP($A117,weighting!$B$38:$C$46,2,FALSE)+E118*VLOOKUP($A118,weighting!$B$38:$C$46,2,FALSE)+E119*VLOOKUP($A119,weighting!$B$38:$C$46,2,FALSE)+E120*VLOOKUP($A120,weighting!$B$38:$C$46,2,FALSE)+E121*VLOOKUP($A121,weighting!$B$38:$C$46,2,FALSE)+E122*VLOOKUP($A122,weighting!$B$38:$C$46,2,FALSE)+E123*VLOOKUP($A123,weighting!$B$38:$C$46,2,FALSE)+E124*VLOOKUP($A124,weighting!$B$38:$C$46,2,FALSE)+E125*VLOOKUP($A125,weighting!$B$38:$C$46,2,FALSE)</f>
        <v>11.354406504777598</v>
      </c>
      <c r="F184">
        <f>F117</f>
        <v>15</v>
      </c>
      <c r="G184" s="180">
        <f>G117*VLOOKUP($A117,weighting!$B$38:$C$46,2,FALSE)+G118*VLOOKUP($A118,weighting!$B$38:$C$46,2,FALSE)+G119*VLOOKUP($A119,weighting!$B$38:$C$46,2,FALSE)+G120*VLOOKUP($A120,weighting!$B$38:$C$46,2,FALSE)+G121*VLOOKUP($A121,weighting!$B$38:$C$46,2,FALSE)+G122*VLOOKUP($A122,weighting!$B$38:$C$46,2,FALSE)+G123*VLOOKUP($A123,weighting!$B$38:$C$46,2,FALSE)+G124*VLOOKUP($A124,weighting!$B$38:$C$46,2,FALSE)+G125*VLOOKUP($A125,weighting!$B$38:$C$46,2,FALSE)</f>
        <v>0</v>
      </c>
      <c r="H184" s="180">
        <f>H117*VLOOKUP($A117,weighting!$B$38:$C$46,2,FALSE)+H118*VLOOKUP($A118,weighting!$B$38:$C$46,2,FALSE)+H119*VLOOKUP($A119,weighting!$B$38:$C$46,2,FALSE)+H120*VLOOKUP($A120,weighting!$B$38:$C$46,2,FALSE)+H121*VLOOKUP($A121,weighting!$B$38:$C$46,2,FALSE)+H122*VLOOKUP($A122,weighting!$B$38:$C$46,2,FALSE)+H123*VLOOKUP($A123,weighting!$B$38:$C$46,2,FALSE)+H124*VLOOKUP($A124,weighting!$B$38:$C$46,2,FALSE)+H125*VLOOKUP($A125,weighting!$B$38:$C$46,2,FALSE)</f>
        <v>0</v>
      </c>
      <c r="I184" t="str">
        <f>I117</f>
        <v>R-All-HVAC-DHP_cool-All-All-N</v>
      </c>
      <c r="J184" s="180">
        <f>J117*VLOOKUP($A117,weighting!$B$38:$C$46,2,FALSE)+J118*VLOOKUP($A118,weighting!$B$38:$C$46,2,FALSE)+J119*VLOOKUP($A119,weighting!$B$38:$C$46,2,FALSE)+J120*VLOOKUP($A120,weighting!$B$38:$C$46,2,FALSE)+J121*VLOOKUP($A121,weighting!$B$38:$C$46,2,FALSE)+J122*VLOOKUP($A122,weighting!$B$38:$C$46,2,FALSE)+J123*VLOOKUP($A123,weighting!$B$38:$C$46,2,FALSE)+J124*VLOOKUP($A124,weighting!$B$38:$C$46,2,FALSE)+J125*VLOOKUP($A125,weighting!$B$38:$C$46,2,FALSE)</f>
        <v>4.277030863838716</v>
      </c>
      <c r="K184" s="180">
        <f>K117*VLOOKUP($A117,weighting!$B$38:$C$46,2,FALSE)+K118*VLOOKUP($A118,weighting!$B$38:$C$46,2,FALSE)+K119*VLOOKUP($A119,weighting!$B$38:$C$46,2,FALSE)+K120*VLOOKUP($A120,weighting!$B$38:$C$46,2,FALSE)+K121*VLOOKUP($A121,weighting!$B$38:$C$46,2,FALSE)+K122*VLOOKUP($A122,weighting!$B$38:$C$46,2,FALSE)+K123*VLOOKUP($A123,weighting!$B$38:$C$46,2,FALSE)+K124*VLOOKUP($A124,weighting!$B$38:$C$46,2,FALSE)+K125*VLOOKUP($A125,weighting!$B$38:$C$46,2,FALSE)</f>
        <v>0</v>
      </c>
      <c r="L184">
        <f>L117</f>
        <v>0</v>
      </c>
      <c r="M184" s="180">
        <f>M117*VLOOKUP($A117,weighting!$B$38:$C$46,2,FALSE)+M118*VLOOKUP($A118,weighting!$B$38:$C$46,2,FALSE)+M119*VLOOKUP($A119,weighting!$B$38:$C$46,2,FALSE)+M120*VLOOKUP($A120,weighting!$B$38:$C$46,2,FALSE)+M121*VLOOKUP($A121,weighting!$B$38:$C$46,2,FALSE)+M122*VLOOKUP($A122,weighting!$B$38:$C$46,2,FALSE)+M123*VLOOKUP($A123,weighting!$B$38:$C$46,2,FALSE)+M124*VLOOKUP($A124,weighting!$B$38:$C$46,2,FALSE)+M125*VLOOKUP($A125,weighting!$B$38:$C$46,2,FALSE)</f>
        <v>0</v>
      </c>
      <c r="N184">
        <f>N117</f>
        <v>0</v>
      </c>
      <c r="O184" s="180">
        <f>O117*VLOOKUP($A117,weighting!$B$38:$C$46,2,FALSE)+O118*VLOOKUP($A118,weighting!$B$38:$C$46,2,FALSE)+O119*VLOOKUP($A119,weighting!$B$38:$C$46,2,FALSE)+O120*VLOOKUP($A120,weighting!$B$38:$C$46,2,FALSE)+O121*VLOOKUP($A121,weighting!$B$38:$C$46,2,FALSE)+O122*VLOOKUP($A122,weighting!$B$38:$C$46,2,FALSE)+O123*VLOOKUP($A123,weighting!$B$38:$C$46,2,FALSE)+O124*VLOOKUP($A124,weighting!$B$38:$C$46,2,FALSE)+O125*VLOOKUP($A125,weighting!$B$38:$C$46,2,FALSE)</f>
        <v>0</v>
      </c>
      <c r="P184">
        <f>P117</f>
        <v>0</v>
      </c>
      <c r="Q184" s="180">
        <f>Q117*VLOOKUP($A117,weighting!$B$38:$C$46,2,FALSE)+Q118*VLOOKUP($A118,weighting!$B$38:$C$46,2,FALSE)+Q119*VLOOKUP($A119,weighting!$B$38:$C$46,2,FALSE)+Q120*VLOOKUP($A120,weighting!$B$38:$C$46,2,FALSE)+Q121*VLOOKUP($A121,weighting!$B$38:$C$46,2,FALSE)+Q122*VLOOKUP($A122,weighting!$B$38:$C$46,2,FALSE)+Q123*VLOOKUP($A123,weighting!$B$38:$C$46,2,FALSE)+Q124*VLOOKUP($A124,weighting!$B$38:$C$46,2,FALSE)+Q125*VLOOKUP($A125,weighting!$B$38:$C$46,2,FALSE)</f>
        <v>0</v>
      </c>
    </row>
    <row r="185" spans="1:18">
      <c r="E185" s="43"/>
      <c r="G185" s="43"/>
      <c r="H185" s="43"/>
      <c r="J185" s="43"/>
      <c r="K185" s="43"/>
      <c r="M185" s="43"/>
      <c r="O185" s="43"/>
      <c r="Q185" s="43"/>
    </row>
    <row r="186" spans="1:18">
      <c r="E186" s="43"/>
      <c r="G186" s="43"/>
      <c r="H186" s="43"/>
      <c r="J186" s="43"/>
      <c r="K186" s="43"/>
      <c r="M186" s="43"/>
      <c r="O186" s="43"/>
      <c r="Q186" s="43"/>
    </row>
    <row r="187" spans="1:18">
      <c r="E187" s="43"/>
      <c r="G187" s="43"/>
      <c r="H187" s="43"/>
      <c r="J187" s="43"/>
      <c r="K187" s="43"/>
      <c r="M187" s="43"/>
      <c r="O187" s="43"/>
      <c r="Q187" s="43"/>
    </row>
    <row r="188" spans="1:18">
      <c r="E188" s="43"/>
      <c r="G188" s="43"/>
      <c r="H188" s="43"/>
      <c r="J188" s="43"/>
      <c r="K188" s="43"/>
      <c r="M188" s="43"/>
      <c r="O188" s="43"/>
      <c r="Q188" s="43"/>
    </row>
    <row r="189" spans="1:18">
      <c r="E189" s="43"/>
      <c r="G189" s="43"/>
      <c r="H189" s="43"/>
      <c r="J189" s="43"/>
      <c r="K189" s="43"/>
      <c r="M189" s="43"/>
      <c r="O189" s="43"/>
      <c r="Q189" s="43"/>
    </row>
    <row r="190" spans="1:18">
      <c r="E190" s="43"/>
      <c r="G190" s="43"/>
      <c r="H190" s="43"/>
      <c r="J190" s="43"/>
      <c r="K190" s="43"/>
      <c r="M190" s="43"/>
      <c r="O190" s="43"/>
      <c r="Q190" s="43"/>
    </row>
    <row r="191" spans="1:18">
      <c r="E191" s="43"/>
      <c r="G191" s="43"/>
      <c r="H191" s="43"/>
      <c r="J191" s="43"/>
      <c r="K191" s="43"/>
      <c r="M191" s="43"/>
      <c r="O191" s="43"/>
      <c r="Q191" s="43"/>
    </row>
    <row r="192" spans="1:18">
      <c r="E192" s="43"/>
      <c r="G192" s="43"/>
      <c r="H192" s="43"/>
      <c r="J192" s="43"/>
      <c r="K192" s="43"/>
      <c r="M192" s="43"/>
      <c r="O192" s="43"/>
      <c r="Q192" s="43"/>
    </row>
    <row r="193" spans="5:17">
      <c r="E193" s="43"/>
      <c r="G193" s="43"/>
      <c r="H193" s="43"/>
      <c r="J193" s="43"/>
      <c r="K193" s="43"/>
      <c r="M193" s="43"/>
      <c r="O193" s="43"/>
      <c r="Q193" s="43"/>
    </row>
    <row r="194" spans="5:17">
      <c r="E194" s="43"/>
      <c r="G194" s="43"/>
      <c r="H194" s="43"/>
      <c r="J194" s="43"/>
      <c r="K194" s="43"/>
      <c r="M194" s="43"/>
      <c r="O194" s="43"/>
      <c r="Q194" s="43"/>
    </row>
    <row r="195" spans="5:17">
      <c r="E195" s="43"/>
      <c r="G195" s="43"/>
      <c r="H195" s="43"/>
      <c r="J195" s="43"/>
      <c r="K195" s="43"/>
      <c r="M195" s="43"/>
      <c r="O195" s="43"/>
      <c r="Q195" s="43"/>
    </row>
    <row r="196" spans="5:17">
      <c r="E196" s="43"/>
      <c r="G196" s="43"/>
      <c r="H196" s="43"/>
      <c r="J196" s="43"/>
      <c r="K196" s="43"/>
      <c r="M196" s="43"/>
      <c r="O196" s="43"/>
      <c r="Q196" s="43"/>
    </row>
    <row r="197" spans="5:17">
      <c r="E197" s="43"/>
      <c r="G197" s="43"/>
      <c r="H197" s="43"/>
      <c r="J197" s="43"/>
      <c r="K197" s="43"/>
      <c r="M197" s="43"/>
      <c r="O197" s="43"/>
      <c r="Q197" s="43"/>
    </row>
    <row r="198" spans="5:17">
      <c r="E198" s="43"/>
      <c r="G198" s="43"/>
      <c r="H198" s="43"/>
      <c r="J198" s="43"/>
      <c r="K198" s="43"/>
      <c r="M198" s="43"/>
      <c r="O198" s="43"/>
      <c r="Q198" s="43"/>
    </row>
    <row r="199" spans="5:17">
      <c r="E199" s="43"/>
      <c r="G199" s="43"/>
      <c r="H199" s="43"/>
      <c r="J199" s="43"/>
      <c r="K199" s="43"/>
      <c r="M199" s="43"/>
      <c r="O199" s="43"/>
      <c r="Q199" s="43"/>
    </row>
    <row r="200" spans="5:17">
      <c r="E200" s="43"/>
      <c r="G200" s="43"/>
      <c r="H200" s="43"/>
      <c r="J200" s="43"/>
      <c r="K200" s="43"/>
      <c r="M200" s="43"/>
      <c r="O200" s="43"/>
      <c r="Q200" s="43"/>
    </row>
    <row r="201" spans="5:17">
      <c r="E201" s="43"/>
      <c r="G201" s="43"/>
      <c r="H201" s="43"/>
      <c r="J201" s="43"/>
      <c r="K201" s="43"/>
      <c r="M201" s="43"/>
      <c r="O201" s="43"/>
      <c r="Q201" s="43"/>
    </row>
    <row r="202" spans="5:17">
      <c r="E202" s="43"/>
      <c r="G202" s="43"/>
      <c r="H202" s="43"/>
      <c r="J202" s="43"/>
      <c r="K202" s="43"/>
      <c r="M202" s="43"/>
      <c r="O202" s="43"/>
      <c r="Q202" s="43"/>
    </row>
    <row r="203" spans="5:17">
      <c r="E203" s="43"/>
      <c r="G203" s="43"/>
      <c r="H203" s="43"/>
      <c r="J203" s="43"/>
      <c r="K203" s="43"/>
      <c r="M203" s="43"/>
      <c r="O203" s="43"/>
      <c r="Q203" s="43"/>
    </row>
    <row r="204" spans="5:17">
      <c r="E204" s="43"/>
      <c r="G204" s="43"/>
      <c r="H204" s="43"/>
      <c r="J204" s="43"/>
      <c r="K204" s="43"/>
      <c r="M204" s="43"/>
      <c r="O204" s="43"/>
      <c r="Q204" s="43"/>
    </row>
    <row r="205" spans="5:17">
      <c r="E205" s="43"/>
      <c r="G205" s="43"/>
      <c r="H205" s="43"/>
      <c r="J205" s="43"/>
      <c r="K205" s="43"/>
      <c r="M205" s="43"/>
      <c r="O205" s="43"/>
      <c r="Q205" s="43"/>
    </row>
    <row r="206" spans="5:17">
      <c r="E206" s="43"/>
      <c r="G206" s="43"/>
      <c r="H206" s="43"/>
      <c r="J206" s="43"/>
      <c r="K206" s="43"/>
      <c r="M206" s="43"/>
      <c r="O206" s="43"/>
      <c r="Q206" s="43"/>
    </row>
    <row r="207" spans="5:17">
      <c r="E207" s="43"/>
      <c r="G207" s="43"/>
      <c r="H207" s="43"/>
      <c r="J207" s="43"/>
      <c r="K207" s="43"/>
      <c r="M207" s="43"/>
      <c r="O207" s="43"/>
      <c r="Q207" s="43"/>
    </row>
    <row r="208" spans="5:17">
      <c r="E208" s="43"/>
      <c r="G208" s="43"/>
      <c r="H208" s="43"/>
      <c r="J208" s="43"/>
      <c r="K208" s="43"/>
      <c r="M208" s="43"/>
      <c r="O208" s="43"/>
      <c r="Q208" s="43"/>
    </row>
    <row r="210" spans="5:17">
      <c r="E210" s="43"/>
      <c r="J210" s="43"/>
      <c r="Q210" s="43"/>
    </row>
    <row r="211" spans="5:17">
      <c r="E211" s="43"/>
      <c r="J211" s="43"/>
      <c r="Q211" s="43"/>
    </row>
    <row r="212" spans="5:17">
      <c r="E212" s="43"/>
      <c r="J212" s="43"/>
      <c r="Q212" s="43"/>
    </row>
    <row r="213" spans="5:17">
      <c r="E213" s="43"/>
      <c r="J213" s="43"/>
      <c r="Q213" s="43"/>
    </row>
    <row r="214" spans="5:17">
      <c r="E214" s="43"/>
      <c r="J214" s="43"/>
      <c r="Q214" s="43"/>
    </row>
    <row r="215" spans="5:17">
      <c r="E215" s="43"/>
      <c r="J215" s="43"/>
      <c r="Q215" s="43"/>
    </row>
    <row r="216" spans="5:17">
      <c r="E216" s="43"/>
      <c r="J216" s="43"/>
      <c r="Q216" s="43"/>
    </row>
    <row r="217" spans="5:17">
      <c r="E217" s="43"/>
      <c r="J217" s="43"/>
      <c r="Q217" s="43"/>
    </row>
    <row r="218" spans="5:17">
      <c r="E218" s="43"/>
      <c r="J218" s="43"/>
      <c r="Q218" s="43"/>
    </row>
    <row r="219" spans="5:17">
      <c r="E219" s="43"/>
      <c r="J219" s="43"/>
      <c r="Q219" s="43"/>
    </row>
    <row r="220" spans="5:17">
      <c r="E220" s="43"/>
      <c r="J220" s="43"/>
      <c r="Q220" s="43"/>
    </row>
    <row r="221" spans="5:17">
      <c r="E221" s="43"/>
      <c r="J221" s="43"/>
      <c r="Q221" s="43"/>
    </row>
    <row r="222" spans="5:17">
      <c r="E222" s="43"/>
      <c r="J222" s="43"/>
      <c r="Q222" s="43"/>
    </row>
    <row r="223" spans="5:17">
      <c r="E223" s="43"/>
      <c r="J223" s="43"/>
      <c r="Q223" s="43"/>
    </row>
    <row r="224" spans="5:17">
      <c r="E224" s="43"/>
      <c r="G224" s="43"/>
      <c r="H224" s="43"/>
      <c r="J224" s="43"/>
      <c r="K224" s="43"/>
      <c r="M224" s="43"/>
      <c r="O224" s="43"/>
      <c r="Q224" s="43"/>
    </row>
    <row r="225" spans="5:17">
      <c r="E225" s="43"/>
      <c r="G225" s="43"/>
      <c r="H225" s="43"/>
      <c r="J225" s="43"/>
      <c r="K225" s="43"/>
      <c r="M225" s="43"/>
      <c r="O225" s="43"/>
      <c r="Q225" s="43"/>
    </row>
    <row r="226" spans="5:17">
      <c r="E226" s="43"/>
      <c r="G226" s="43"/>
      <c r="H226" s="43"/>
      <c r="J226" s="43"/>
      <c r="K226" s="43"/>
      <c r="M226" s="43"/>
      <c r="O226" s="43"/>
      <c r="Q226" s="43"/>
    </row>
    <row r="227" spans="5:17">
      <c r="E227" s="43"/>
      <c r="G227" s="43"/>
      <c r="H227" s="43"/>
      <c r="J227" s="43"/>
      <c r="K227" s="43"/>
      <c r="M227" s="43"/>
      <c r="O227" s="43"/>
      <c r="Q227" s="43"/>
    </row>
    <row r="229" spans="5:17">
      <c r="E229" s="43"/>
      <c r="J229" s="43"/>
      <c r="Q229" s="43"/>
    </row>
    <row r="230" spans="5:17">
      <c r="E230" s="43"/>
      <c r="J230" s="43"/>
      <c r="Q230" s="43"/>
    </row>
    <row r="231" spans="5:17">
      <c r="E231" s="43"/>
      <c r="J231" s="43"/>
      <c r="Q231" s="43"/>
    </row>
    <row r="232" spans="5:17">
      <c r="E232" s="43"/>
      <c r="J232" s="43"/>
      <c r="Q232" s="43"/>
    </row>
    <row r="233" spans="5:17">
      <c r="E233" s="43"/>
      <c r="J233" s="43"/>
      <c r="Q233" s="43"/>
    </row>
    <row r="234" spans="5:17">
      <c r="E234" s="43"/>
      <c r="J234" s="43"/>
      <c r="Q234" s="43"/>
    </row>
    <row r="235" spans="5:17">
      <c r="E235" s="43"/>
      <c r="J235" s="43"/>
      <c r="Q235" s="43"/>
    </row>
    <row r="236" spans="5:17">
      <c r="E236" s="43"/>
      <c r="J236" s="43"/>
      <c r="Q236" s="43"/>
    </row>
    <row r="237" spans="5:17">
      <c r="E237" s="43"/>
      <c r="J237" s="43"/>
      <c r="Q237" s="43"/>
    </row>
    <row r="238" spans="5:17">
      <c r="E238" s="43"/>
      <c r="J238" s="43"/>
      <c r="Q238" s="43"/>
    </row>
    <row r="239" spans="5:17">
      <c r="E239" s="43"/>
      <c r="J239" s="43"/>
      <c r="Q239" s="43"/>
    </row>
    <row r="240" spans="5:17">
      <c r="E240" s="43"/>
      <c r="J240" s="43"/>
      <c r="Q240" s="43"/>
    </row>
    <row r="241" spans="1:107">
      <c r="E241" s="43"/>
      <c r="J241" s="43"/>
      <c r="Q241" s="43"/>
    </row>
    <row r="242" spans="1:107">
      <c r="E242" s="43"/>
      <c r="J242" s="43"/>
      <c r="Q242" s="43"/>
    </row>
    <row r="243" spans="1:107">
      <c r="E243" s="43"/>
      <c r="J243" s="43"/>
      <c r="Q243" s="43"/>
    </row>
    <row r="244" spans="1:107">
      <c r="E244" s="43"/>
      <c r="J244" s="43"/>
      <c r="Q244" s="43"/>
    </row>
    <row r="245" spans="1:107">
      <c r="E245" s="43"/>
      <c r="J245" s="43"/>
      <c r="Q245" s="43"/>
    </row>
    <row r="246" spans="1:107">
      <c r="E246" s="43"/>
      <c r="J246" s="43"/>
      <c r="Q246" s="43"/>
    </row>
    <row r="248" spans="1:107">
      <c r="A248" s="42"/>
      <c r="B248" s="42"/>
      <c r="C248" s="42"/>
    </row>
    <row r="249" spans="1:107" s="7" customFormat="1">
      <c r="C249" s="451"/>
      <c r="D249" s="452"/>
      <c r="E249" s="452"/>
      <c r="F249" s="452"/>
      <c r="G249" s="452"/>
      <c r="H249" s="452"/>
      <c r="I249" s="452"/>
      <c r="J249" s="453"/>
      <c r="K249" s="454"/>
      <c r="L249" s="455"/>
      <c r="M249" s="455"/>
      <c r="N249" s="455"/>
      <c r="O249" s="455"/>
      <c r="P249" s="456"/>
      <c r="Q249" s="457"/>
      <c r="R249" s="458"/>
      <c r="S249" s="16"/>
      <c r="T249" s="17"/>
      <c r="U249" s="17"/>
      <c r="V249" s="17"/>
      <c r="W249" s="17"/>
      <c r="X249" s="17"/>
      <c r="Y249" s="17"/>
      <c r="Z249" s="18"/>
      <c r="AA249" s="19"/>
      <c r="AB249" s="17"/>
      <c r="AC249" s="17"/>
      <c r="AD249" s="17"/>
      <c r="AE249" s="17"/>
      <c r="AF249" s="17"/>
      <c r="AG249" s="20"/>
      <c r="AH249" s="20"/>
      <c r="AI249" s="20"/>
      <c r="AJ249" s="20"/>
      <c r="AK249" s="20"/>
      <c r="AL249" s="20"/>
      <c r="AM249" s="20"/>
      <c r="AN249" s="20"/>
      <c r="AO249" s="20"/>
      <c r="AP249" s="20"/>
      <c r="AQ249" s="20"/>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row>
    <row r="250" spans="1:107">
      <c r="A250" s="7"/>
      <c r="B250" s="7"/>
      <c r="C250" s="21"/>
      <c r="D250" s="21"/>
      <c r="E250" s="21"/>
      <c r="F250" s="21"/>
      <c r="G250" s="21"/>
      <c r="H250" s="21"/>
      <c r="I250" s="21"/>
      <c r="J250" s="21"/>
      <c r="K250" s="21"/>
      <c r="L250" s="21"/>
      <c r="M250" s="21"/>
      <c r="N250" s="21"/>
      <c r="O250" s="21"/>
      <c r="P250" s="21"/>
      <c r="Q250" s="22"/>
      <c r="R250" s="21"/>
    </row>
    <row r="251" spans="1:107">
      <c r="E251" s="41"/>
      <c r="G251" s="43"/>
      <c r="H251" s="43"/>
      <c r="J251" s="43"/>
      <c r="K251" s="43"/>
      <c r="M251" s="43"/>
      <c r="O251" s="43"/>
      <c r="Q251" s="43"/>
    </row>
    <row r="252" spans="1:107">
      <c r="E252" s="41"/>
      <c r="G252" s="43"/>
      <c r="H252" s="43"/>
      <c r="J252" s="43"/>
      <c r="K252" s="43"/>
      <c r="M252" s="43"/>
      <c r="O252" s="43"/>
      <c r="Q252" s="43"/>
    </row>
    <row r="253" spans="1:107">
      <c r="E253" s="41"/>
      <c r="G253" s="43"/>
      <c r="H253" s="43"/>
      <c r="J253" s="43"/>
      <c r="K253" s="43"/>
      <c r="M253" s="43"/>
      <c r="O253" s="43"/>
      <c r="Q253" s="43"/>
    </row>
    <row r="254" spans="1:107">
      <c r="E254" s="41"/>
    </row>
    <row r="255" spans="1:107">
      <c r="E255" s="41"/>
    </row>
    <row r="256" spans="1:107">
      <c r="E256" s="41"/>
    </row>
    <row r="257" spans="5:17">
      <c r="E257" s="41"/>
    </row>
    <row r="258" spans="5:17">
      <c r="E258" s="41"/>
    </row>
    <row r="259" spans="5:17">
      <c r="E259" s="41"/>
    </row>
    <row r="260" spans="5:17">
      <c r="E260" s="41"/>
    </row>
    <row r="261" spans="5:17">
      <c r="E261" s="41"/>
    </row>
    <row r="262" spans="5:17">
      <c r="E262" s="41"/>
    </row>
    <row r="263" spans="5:17">
      <c r="E263" s="41"/>
    </row>
    <row r="264" spans="5:17">
      <c r="E264" s="41"/>
    </row>
    <row r="265" spans="5:17">
      <c r="E265" s="41"/>
    </row>
    <row r="266" spans="5:17">
      <c r="E266" s="41"/>
    </row>
    <row r="267" spans="5:17">
      <c r="E267" s="41"/>
    </row>
    <row r="268" spans="5:17">
      <c r="E268" s="41"/>
    </row>
    <row r="269" spans="5:17">
      <c r="E269" s="41"/>
      <c r="G269" s="43"/>
      <c r="H269" s="43"/>
      <c r="J269" s="43"/>
      <c r="K269" s="43"/>
      <c r="M269" s="43"/>
      <c r="O269" s="43"/>
      <c r="Q269" s="43"/>
    </row>
    <row r="270" spans="5:17">
      <c r="E270" s="41"/>
      <c r="G270" s="43"/>
      <c r="H270" s="43"/>
      <c r="J270" s="43"/>
      <c r="K270" s="43"/>
      <c r="M270" s="43"/>
      <c r="O270" s="43"/>
      <c r="Q270" s="43"/>
    </row>
    <row r="271" spans="5:17">
      <c r="E271" s="41"/>
      <c r="G271" s="43"/>
      <c r="H271" s="43"/>
      <c r="J271" s="43"/>
      <c r="K271" s="43"/>
      <c r="M271" s="43"/>
      <c r="O271" s="43"/>
      <c r="Q271" s="43"/>
    </row>
    <row r="272" spans="5:17">
      <c r="E272" s="41"/>
    </row>
    <row r="273" spans="5:5">
      <c r="E273" s="41"/>
    </row>
    <row r="274" spans="5:5">
      <c r="E274" s="41"/>
    </row>
    <row r="275" spans="5:5">
      <c r="E275" s="41"/>
    </row>
    <row r="276" spans="5:5">
      <c r="E276" s="41"/>
    </row>
    <row r="277" spans="5:5">
      <c r="E277" s="41"/>
    </row>
    <row r="278" spans="5:5">
      <c r="E278" s="41"/>
    </row>
    <row r="279" spans="5:5">
      <c r="E279" s="41"/>
    </row>
    <row r="280" spans="5:5">
      <c r="E280" s="41"/>
    </row>
    <row r="281" spans="5:5">
      <c r="E281" s="41"/>
    </row>
    <row r="282" spans="5:5">
      <c r="E282" s="41"/>
    </row>
    <row r="283" spans="5:5">
      <c r="E283" s="41"/>
    </row>
    <row r="284" spans="5:5">
      <c r="E284" s="41"/>
    </row>
    <row r="285" spans="5:5">
      <c r="E285" s="41"/>
    </row>
    <row r="286" spans="5:5">
      <c r="E286" s="41"/>
    </row>
    <row r="287" spans="5:5">
      <c r="E287" s="41"/>
    </row>
    <row r="288" spans="5:5">
      <c r="E288" s="41"/>
    </row>
    <row r="289" spans="5:5">
      <c r="E289" s="41"/>
    </row>
    <row r="290" spans="5:5">
      <c r="E290" s="41"/>
    </row>
    <row r="291" spans="5:5">
      <c r="E291" s="41"/>
    </row>
    <row r="292" spans="5:5">
      <c r="E292" s="41"/>
    </row>
    <row r="293" spans="5:5">
      <c r="E293" s="41"/>
    </row>
    <row r="294" spans="5:5">
      <c r="E294" s="41"/>
    </row>
    <row r="295" spans="5:5">
      <c r="E295" s="41"/>
    </row>
    <row r="296" spans="5:5">
      <c r="E296" s="41"/>
    </row>
    <row r="297" spans="5:5">
      <c r="E297" s="41"/>
    </row>
    <row r="298" spans="5:5">
      <c r="E298" s="41"/>
    </row>
    <row r="299" spans="5:5">
      <c r="E299" s="41"/>
    </row>
    <row r="300" spans="5:5">
      <c r="E300" s="41"/>
    </row>
    <row r="301" spans="5:5">
      <c r="E301" s="41"/>
    </row>
    <row r="302" spans="5:5">
      <c r="E302" s="41"/>
    </row>
    <row r="303" spans="5:5">
      <c r="E303" s="41"/>
    </row>
    <row r="304" spans="5:5">
      <c r="E304" s="41"/>
    </row>
    <row r="305" spans="5:5">
      <c r="E305" s="41"/>
    </row>
    <row r="306" spans="5:5">
      <c r="E306" s="41"/>
    </row>
    <row r="307" spans="5:5">
      <c r="E307" s="41"/>
    </row>
    <row r="308" spans="5:5">
      <c r="E308" s="41"/>
    </row>
    <row r="309" spans="5:5">
      <c r="E309" s="41"/>
    </row>
    <row r="310" spans="5:5">
      <c r="E310" s="41"/>
    </row>
    <row r="311" spans="5:5">
      <c r="E311" s="41"/>
    </row>
    <row r="312" spans="5:5">
      <c r="E312" s="41"/>
    </row>
    <row r="313" spans="5:5">
      <c r="E313" s="41"/>
    </row>
    <row r="314" spans="5:5">
      <c r="E314" s="41"/>
    </row>
    <row r="315" spans="5:5">
      <c r="E315" s="41"/>
    </row>
    <row r="316" spans="5:5">
      <c r="E316" s="41"/>
    </row>
    <row r="317" spans="5:5">
      <c r="E317" s="41"/>
    </row>
    <row r="318" spans="5:5">
      <c r="E318" s="41"/>
    </row>
    <row r="319" spans="5:5">
      <c r="E319" s="41"/>
    </row>
    <row r="320" spans="5:5">
      <c r="E320" s="41"/>
    </row>
    <row r="321" spans="5:5">
      <c r="E321" s="41"/>
    </row>
    <row r="322" spans="5:5">
      <c r="E322" s="41"/>
    </row>
  </sheetData>
  <mergeCells count="9">
    <mergeCell ref="C249:J249"/>
    <mergeCell ref="K249:P249"/>
    <mergeCell ref="Q249:R249"/>
    <mergeCell ref="K4:P4"/>
    <mergeCell ref="Q4:R4"/>
    <mergeCell ref="C4:J4"/>
    <mergeCell ref="C145:J145"/>
    <mergeCell ref="K145:P145"/>
    <mergeCell ref="Q145:R145"/>
  </mergeCells>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sheetPr codeName="Sheet8"/>
  <dimension ref="A4:C46"/>
  <sheetViews>
    <sheetView topLeftCell="A4" workbookViewId="0">
      <selection activeCell="A38" sqref="A38"/>
    </sheetView>
  </sheetViews>
  <sheetFormatPr defaultRowHeight="12.75"/>
  <cols>
    <col min="1" max="1" width="30.140625" customWidth="1"/>
    <col min="3" max="3" width="20.5703125" bestFit="1" customWidth="1"/>
  </cols>
  <sheetData>
    <row r="4" spans="1:3">
      <c r="A4" t="s">
        <v>466</v>
      </c>
    </row>
    <row r="6" spans="1:3">
      <c r="A6" t="s">
        <v>455</v>
      </c>
      <c r="B6" t="s">
        <v>456</v>
      </c>
      <c r="C6" t="s">
        <v>468</v>
      </c>
    </row>
    <row r="7" spans="1:3">
      <c r="A7" s="42" t="s">
        <v>457</v>
      </c>
      <c r="B7" s="168">
        <v>0.53138882303610202</v>
      </c>
      <c r="C7" s="169">
        <v>1</v>
      </c>
    </row>
    <row r="8" spans="1:3">
      <c r="A8" s="170" t="s">
        <v>458</v>
      </c>
      <c r="B8" s="171">
        <v>0.1225894385795244</v>
      </c>
      <c r="C8" s="172">
        <f>B8/SUM($B$8:$B$9)</f>
        <v>0.55839724577677274</v>
      </c>
    </row>
    <row r="9" spans="1:3">
      <c r="A9" s="170" t="s">
        <v>459</v>
      </c>
      <c r="B9" s="171">
        <v>9.6948604465428731E-2</v>
      </c>
      <c r="C9" s="172">
        <f>B9/SUM($B$8:$B$9)</f>
        <v>0.44160275422322731</v>
      </c>
    </row>
    <row r="10" spans="1:3">
      <c r="A10" s="173" t="s">
        <v>460</v>
      </c>
      <c r="B10" s="174">
        <v>4.7896381658964593E-2</v>
      </c>
      <c r="C10" s="175">
        <f>B10/($B$10+$B$13)</f>
        <v>0.43031856816866126</v>
      </c>
    </row>
    <row r="11" spans="1:3">
      <c r="A11" s="176" t="s">
        <v>461</v>
      </c>
      <c r="B11" s="177">
        <v>0.10962424713984266</v>
      </c>
      <c r="C11" s="178">
        <f>B11/SUM($B$11:$B$12,$B$14:$B$15)</f>
        <v>0.79571251394245524</v>
      </c>
    </row>
    <row r="12" spans="1:3">
      <c r="A12" s="176" t="s">
        <v>462</v>
      </c>
      <c r="B12" s="177">
        <v>7.5264875510161556E-3</v>
      </c>
      <c r="C12" s="178">
        <f>B12/SUM($B$11:$B$12,$B$14:$B$15)</f>
        <v>5.4631347412911903E-2</v>
      </c>
    </row>
    <row r="13" spans="1:3">
      <c r="A13" s="173" t="s">
        <v>463</v>
      </c>
      <c r="B13" s="174">
        <v>6.3408091821695989E-2</v>
      </c>
      <c r="C13" s="175">
        <f>B13/($B$10+$B$13)</f>
        <v>0.56968143183133868</v>
      </c>
    </row>
    <row r="14" spans="1:3">
      <c r="A14" s="176" t="s">
        <v>464</v>
      </c>
      <c r="B14" s="177">
        <v>2.0617925747439272E-2</v>
      </c>
      <c r="C14" s="178">
        <f>B14/SUM($B$11:$B$12,$B$14:$B$15)</f>
        <v>0.14965613864463276</v>
      </c>
    </row>
    <row r="15" spans="1:3" ht="13.5" thickBot="1">
      <c r="A15" s="176" t="s">
        <v>465</v>
      </c>
      <c r="B15" s="177">
        <v>0</v>
      </c>
      <c r="C15" s="178">
        <f>B15/SUM($B$11:$B$12,$B$14:$B$15)</f>
        <v>0</v>
      </c>
    </row>
    <row r="16" spans="1:3" ht="13.5" thickTop="1">
      <c r="A16" s="165" t="s">
        <v>469</v>
      </c>
      <c r="B16" s="121">
        <v>0.75092686608104631</v>
      </c>
      <c r="C16" s="120">
        <v>1</v>
      </c>
    </row>
    <row r="17" spans="1:3">
      <c r="A17" s="166" t="s">
        <v>470</v>
      </c>
      <c r="B17" s="121">
        <v>0.16504711634982333</v>
      </c>
      <c r="C17" s="120">
        <f>B17/SUM($B$17:$B$18)</f>
        <v>0.66264519883354822</v>
      </c>
    </row>
    <row r="18" spans="1:3">
      <c r="A18" s="167" t="s">
        <v>471</v>
      </c>
      <c r="B18" s="121">
        <v>8.4026017569135317E-2</v>
      </c>
      <c r="C18" s="120">
        <f>B18/SUM($B$17:$B$18)</f>
        <v>0.33735480116645183</v>
      </c>
    </row>
    <row r="19" spans="1:3">
      <c r="A19" t="s">
        <v>472</v>
      </c>
      <c r="C19" s="120">
        <f>C7</f>
        <v>1</v>
      </c>
    </row>
    <row r="20" spans="1:3">
      <c r="A20" t="s">
        <v>473</v>
      </c>
      <c r="C20" s="120">
        <f t="shared" ref="C20:C26" si="0">C8</f>
        <v>0.55839724577677274</v>
      </c>
    </row>
    <row r="21" spans="1:3">
      <c r="A21" t="s">
        <v>474</v>
      </c>
      <c r="B21" s="121"/>
      <c r="C21" s="120">
        <f t="shared" si="0"/>
        <v>0.44160275422322731</v>
      </c>
    </row>
    <row r="22" spans="1:3">
      <c r="A22" t="s">
        <v>475</v>
      </c>
      <c r="B22" s="121"/>
      <c r="C22" s="120">
        <f t="shared" si="0"/>
        <v>0.43031856816866126</v>
      </c>
    </row>
    <row r="23" spans="1:3">
      <c r="A23" t="s">
        <v>476</v>
      </c>
      <c r="B23" s="121"/>
      <c r="C23" s="120">
        <f t="shared" si="0"/>
        <v>0.79571251394245524</v>
      </c>
    </row>
    <row r="24" spans="1:3">
      <c r="A24" t="s">
        <v>477</v>
      </c>
      <c r="C24" s="120">
        <f t="shared" si="0"/>
        <v>5.4631347412911903E-2</v>
      </c>
    </row>
    <row r="25" spans="1:3">
      <c r="A25" t="s">
        <v>478</v>
      </c>
      <c r="C25" s="120">
        <f t="shared" si="0"/>
        <v>0.56968143183133868</v>
      </c>
    </row>
    <row r="26" spans="1:3">
      <c r="A26" t="s">
        <v>479</v>
      </c>
      <c r="C26" s="120">
        <f t="shared" si="0"/>
        <v>0.14965613864463276</v>
      </c>
    </row>
    <row r="27" spans="1:3">
      <c r="A27" t="s">
        <v>480</v>
      </c>
      <c r="C27" s="120">
        <f>C15</f>
        <v>0</v>
      </c>
    </row>
    <row r="35" spans="1:3">
      <c r="A35" t="s">
        <v>774</v>
      </c>
    </row>
    <row r="36" spans="1:3">
      <c r="A36" t="s">
        <v>773</v>
      </c>
    </row>
    <row r="38" spans="1:3">
      <c r="A38" s="401" t="s">
        <v>457</v>
      </c>
      <c r="B38" t="s">
        <v>472</v>
      </c>
      <c r="C38" s="402">
        <v>0.49270284799997022</v>
      </c>
    </row>
    <row r="39" spans="1:3">
      <c r="A39" s="401" t="s">
        <v>458</v>
      </c>
      <c r="B39" t="s">
        <v>475</v>
      </c>
      <c r="C39" s="402">
        <v>0.17165811767641073</v>
      </c>
    </row>
    <row r="40" spans="1:3">
      <c r="A40" s="401" t="s">
        <v>459</v>
      </c>
      <c r="B40" t="s">
        <v>478</v>
      </c>
      <c r="C40" s="402">
        <v>0.14255540395549005</v>
      </c>
    </row>
    <row r="41" spans="1:3">
      <c r="A41" s="401" t="s">
        <v>460</v>
      </c>
      <c r="B41" t="s">
        <v>473</v>
      </c>
      <c r="C41" s="402">
        <v>2.7529701594224347E-2</v>
      </c>
    </row>
    <row r="42" spans="1:3">
      <c r="A42" s="401" t="s">
        <v>461</v>
      </c>
      <c r="B42" t="s">
        <v>476</v>
      </c>
      <c r="C42" s="402">
        <v>6.6831678340669193E-2</v>
      </c>
    </row>
    <row r="43" spans="1:3">
      <c r="A43" s="401" t="s">
        <v>462</v>
      </c>
      <c r="B43" t="s">
        <v>479</v>
      </c>
      <c r="C43" s="402">
        <v>4.9057647699737944E-2</v>
      </c>
    </row>
    <row r="44" spans="1:3">
      <c r="A44" s="401" t="s">
        <v>463</v>
      </c>
      <c r="B44" t="s">
        <v>474</v>
      </c>
      <c r="C44" s="402">
        <v>1.9843372835079944E-2</v>
      </c>
    </row>
    <row r="45" spans="1:3">
      <c r="A45" s="401" t="s">
        <v>464</v>
      </c>
      <c r="B45" t="s">
        <v>477</v>
      </c>
      <c r="C45" s="402">
        <v>2.982122989841773E-2</v>
      </c>
    </row>
    <row r="46" spans="1:3">
      <c r="A46" s="401" t="s">
        <v>465</v>
      </c>
      <c r="B46" t="s">
        <v>480</v>
      </c>
      <c r="C46" s="403">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sheetPr codeName="Sheet9"/>
  <dimension ref="A4:DB212"/>
  <sheetViews>
    <sheetView workbookViewId="0">
      <selection activeCell="F7" sqref="F7"/>
    </sheetView>
  </sheetViews>
  <sheetFormatPr defaultRowHeight="12.75"/>
  <cols>
    <col min="1" max="1" width="19.140625" customWidth="1"/>
    <col min="2" max="2" width="77.5703125" customWidth="1"/>
    <col min="3" max="3" width="35.5703125" customWidth="1"/>
    <col min="4" max="4" width="11.5703125" bestFit="1" customWidth="1"/>
    <col min="6" max="6" width="11.5703125" bestFit="1" customWidth="1"/>
    <col min="7" max="7" width="12.42578125" bestFit="1" customWidth="1"/>
    <col min="8" max="8" width="15.42578125" customWidth="1"/>
    <col min="16" max="16" width="11.140625" customWidth="1"/>
  </cols>
  <sheetData>
    <row r="4" spans="1:106">
      <c r="A4" s="42" t="s">
        <v>452</v>
      </c>
      <c r="B4">
        <v>1.107</v>
      </c>
      <c r="C4" t="s">
        <v>341</v>
      </c>
    </row>
    <row r="5" spans="1:106" s="7" customFormat="1">
      <c r="B5" s="12" t="s">
        <v>3</v>
      </c>
      <c r="C5" s="13"/>
      <c r="D5" s="13"/>
      <c r="E5" s="13"/>
      <c r="F5" s="13"/>
      <c r="G5" s="13"/>
      <c r="H5" s="14"/>
      <c r="I5" s="15"/>
      <c r="J5" s="445" t="s">
        <v>4</v>
      </c>
      <c r="K5" s="446"/>
      <c r="L5" s="446"/>
      <c r="M5" s="446"/>
      <c r="N5" s="446"/>
      <c r="O5" s="447"/>
      <c r="P5" s="448" t="s">
        <v>5</v>
      </c>
      <c r="Q5" s="449"/>
      <c r="R5" s="16"/>
      <c r="S5" s="17"/>
      <c r="T5" s="17"/>
      <c r="U5" s="17"/>
      <c r="V5" s="17"/>
      <c r="W5" s="17"/>
      <c r="X5" s="17"/>
      <c r="Y5" s="18"/>
      <c r="Z5" s="19"/>
      <c r="AA5" s="17"/>
      <c r="AB5" s="17"/>
      <c r="AC5" s="17"/>
      <c r="AD5" s="17"/>
      <c r="AE5" s="17"/>
      <c r="AF5" s="20"/>
      <c r="AG5" s="20"/>
      <c r="AH5" s="20"/>
      <c r="AI5" s="20"/>
      <c r="AJ5" s="20"/>
      <c r="AK5" s="20"/>
      <c r="AL5" s="20"/>
      <c r="AM5" s="20"/>
      <c r="AN5" s="20"/>
      <c r="AO5" s="20"/>
      <c r="AP5" s="20"/>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row>
    <row r="6" spans="1:106" s="7" customFormat="1" ht="25.5">
      <c r="A6" s="7" t="s">
        <v>47</v>
      </c>
      <c r="B6" s="21" t="s">
        <v>6</v>
      </c>
      <c r="C6" s="21" t="s">
        <v>7</v>
      </c>
      <c r="D6" s="21" t="s">
        <v>8</v>
      </c>
      <c r="E6" s="21" t="s">
        <v>9</v>
      </c>
      <c r="F6" s="21" t="s">
        <v>10</v>
      </c>
      <c r="G6" s="21" t="s">
        <v>11</v>
      </c>
      <c r="H6" s="21" t="s">
        <v>12</v>
      </c>
      <c r="I6" s="21" t="s">
        <v>13</v>
      </c>
      <c r="J6" s="21" t="s">
        <v>14</v>
      </c>
      <c r="K6" s="21" t="s">
        <v>15</v>
      </c>
      <c r="L6" s="21" t="s">
        <v>16</v>
      </c>
      <c r="M6" s="21" t="s">
        <v>17</v>
      </c>
      <c r="N6" s="21" t="s">
        <v>18</v>
      </c>
      <c r="O6" s="21" t="s">
        <v>19</v>
      </c>
      <c r="P6" s="22" t="s">
        <v>20</v>
      </c>
      <c r="Q6" s="21" t="s">
        <v>12</v>
      </c>
      <c r="R6" s="23"/>
      <c r="S6" s="23"/>
      <c r="T6" s="23"/>
      <c r="U6" s="23"/>
      <c r="V6" s="23"/>
      <c r="W6" s="23"/>
      <c r="X6" s="23"/>
      <c r="Y6" s="23"/>
      <c r="Z6" s="23"/>
      <c r="AA6" s="23"/>
      <c r="AB6" s="23"/>
      <c r="AC6" s="23"/>
      <c r="AD6" s="23"/>
      <c r="AE6" s="23"/>
      <c r="AF6" s="20"/>
      <c r="AG6" s="20"/>
      <c r="AH6" s="20"/>
      <c r="AI6" s="20"/>
      <c r="AJ6" s="20"/>
      <c r="AK6" s="20"/>
      <c r="AL6" s="20"/>
      <c r="AM6" s="20"/>
      <c r="AN6" s="20"/>
      <c r="AO6" s="20"/>
      <c r="AP6" s="20"/>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ht="25.5">
      <c r="A7" t="str">
        <f t="shared" ref="A7:A42" si="0">B7&amp;C7</f>
        <v>Existing Single Family Home HVAC Conversion - Convert FAF w/CAC to Heat Pump - House with "Good Insulation" - Heating Zone 1Heating Savings</v>
      </c>
      <c r="B7" s="24" t="str">
        <f>Raw!A8</f>
        <v>Existing Single Family Home HVAC Conversion - Convert FAF w/CAC to Heat Pump - House with "Good Insulation" - Heating Zone 1</v>
      </c>
      <c r="C7" s="24" t="str">
        <f>Raw!B8</f>
        <v>Heating Savings</v>
      </c>
      <c r="D7" s="24">
        <f>Raw!C8</f>
        <v>2610.3529019871903</v>
      </c>
      <c r="E7" s="24">
        <f>Raw!D8</f>
        <v>15</v>
      </c>
      <c r="F7" s="44">
        <f>Raw!E8*$B$4</f>
        <v>2878.5049609349367</v>
      </c>
      <c r="G7" s="24">
        <f>Raw!F8</f>
        <v>0</v>
      </c>
      <c r="H7" s="24" t="str">
        <f>Raw!G8</f>
        <v>ResSpHtHPZ1</v>
      </c>
      <c r="I7" s="24">
        <f>Raw!H8</f>
        <v>41.534869287695713</v>
      </c>
      <c r="J7" s="24">
        <f>Raw!I8</f>
        <v>0</v>
      </c>
      <c r="K7" s="24">
        <f>Raw!J8</f>
        <v>0</v>
      </c>
      <c r="L7" s="24">
        <f>Raw!K8</f>
        <v>0</v>
      </c>
      <c r="M7" s="24">
        <f>Raw!L8</f>
        <v>0</v>
      </c>
      <c r="N7" s="24">
        <f>Raw!M8</f>
        <v>0</v>
      </c>
      <c r="O7" s="24">
        <f>Raw!N8</f>
        <v>0</v>
      </c>
      <c r="P7" s="24">
        <f>Raw!O8</f>
        <v>0</v>
      </c>
      <c r="Q7" s="24">
        <f>Raw!P8</f>
        <v>0</v>
      </c>
      <c r="R7" s="41"/>
      <c r="S7" s="41"/>
      <c r="T7" s="41"/>
      <c r="U7" s="41"/>
      <c r="V7" s="41"/>
      <c r="W7" s="41"/>
      <c r="X7" s="41"/>
      <c r="Y7" s="41"/>
      <c r="Z7" s="41"/>
      <c r="AA7" s="41"/>
      <c r="AB7" s="41"/>
      <c r="AC7" s="41"/>
      <c r="AD7" s="41"/>
      <c r="AE7" s="41"/>
      <c r="AF7" s="41"/>
      <c r="AG7" s="41"/>
      <c r="AH7" s="41"/>
      <c r="AI7" s="41"/>
      <c r="AJ7" s="41"/>
      <c r="AK7" s="41"/>
      <c r="AL7" s="41"/>
      <c r="AM7" s="41"/>
    </row>
    <row r="8" spans="1:106" ht="25.5">
      <c r="A8" t="str">
        <f t="shared" si="0"/>
        <v>Existing Single Family Home HVAC Conversion - Convert FAF w/CAC to Heat Pump - House with "Good Insulation" - Heating Zone 2Heating Savings</v>
      </c>
      <c r="B8" s="24" t="str">
        <f>Raw!A9</f>
        <v>Existing Single Family Home HVAC Conversion - Convert FAF w/CAC to Heat Pump - House with "Good Insulation" - Heating Zone 2</v>
      </c>
      <c r="C8" s="24" t="str">
        <f>Raw!B9</f>
        <v>Heating Savings</v>
      </c>
      <c r="D8" s="24">
        <f>Raw!C9</f>
        <v>2688.7510694825951</v>
      </c>
      <c r="E8" s="24">
        <f>Raw!D9</f>
        <v>15</v>
      </c>
      <c r="F8" s="44">
        <f>Raw!E9*$B$4</f>
        <v>2901.7926051213844</v>
      </c>
      <c r="G8" s="24">
        <f>Raw!F9</f>
        <v>0</v>
      </c>
      <c r="H8" s="24" t="str">
        <f>Raw!G9</f>
        <v>ResSpHtHPZ2</v>
      </c>
      <c r="I8" s="24">
        <f>Raw!H9</f>
        <v>31.283284032448492</v>
      </c>
      <c r="J8" s="24">
        <f>Raw!I9</f>
        <v>0</v>
      </c>
      <c r="K8" s="24">
        <f>Raw!J9</f>
        <v>0</v>
      </c>
      <c r="L8" s="24">
        <f>Raw!K9</f>
        <v>0</v>
      </c>
      <c r="M8" s="24">
        <f>Raw!L9</f>
        <v>0</v>
      </c>
      <c r="N8" s="24">
        <f>Raw!M9</f>
        <v>0</v>
      </c>
      <c r="O8" s="24">
        <f>Raw!N9</f>
        <v>0</v>
      </c>
      <c r="P8" s="24">
        <f>Raw!O9</f>
        <v>0</v>
      </c>
      <c r="Q8" s="24">
        <f>Raw!P9</f>
        <v>0</v>
      </c>
      <c r="R8" s="41"/>
      <c r="S8" s="41"/>
      <c r="T8" s="41"/>
      <c r="U8" s="41"/>
      <c r="V8" s="41"/>
      <c r="W8" s="41"/>
      <c r="X8" s="41"/>
      <c r="Y8" s="41"/>
      <c r="Z8" s="41"/>
      <c r="AA8" s="41"/>
      <c r="AB8" s="41"/>
      <c r="AC8" s="41"/>
      <c r="AD8" s="41"/>
      <c r="AE8" s="41"/>
      <c r="AF8" s="41"/>
      <c r="AG8" s="41"/>
      <c r="AH8" s="41"/>
      <c r="AI8" s="41"/>
      <c r="AJ8" s="41"/>
      <c r="AK8" s="41"/>
      <c r="AL8" s="41"/>
      <c r="AM8" s="41"/>
    </row>
    <row r="9" spans="1:106" ht="25.5">
      <c r="A9" t="str">
        <f t="shared" si="0"/>
        <v>Existing Single Family Home HVAC Conversion - Convert FAF w/CAC to Heat Pump - House with "Good Insulation" - Heating Zone 3Heating Savings</v>
      </c>
      <c r="B9" s="24" t="str">
        <f>Raw!A10</f>
        <v>Existing Single Family Home HVAC Conversion - Convert FAF w/CAC to Heat Pump - House with "Good Insulation" - Heating Zone 3</v>
      </c>
      <c r="C9" s="24" t="str">
        <f>Raw!B10</f>
        <v>Heating Savings</v>
      </c>
      <c r="D9" s="24">
        <f>Raw!C10</f>
        <v>2318.9213380538454</v>
      </c>
      <c r="E9" s="24">
        <f>Raw!D10</f>
        <v>15</v>
      </c>
      <c r="F9" s="44">
        <f>Raw!E10*$B$4</f>
        <v>2930.6651938924329</v>
      </c>
      <c r="G9" s="24">
        <f>Raw!F10</f>
        <v>0</v>
      </c>
      <c r="H9" s="24" t="str">
        <f>Raw!G10</f>
        <v>ResSpHtHPZ3</v>
      </c>
      <c r="I9" s="24">
        <f>Raw!H10</f>
        <v>27.443333338878478</v>
      </c>
      <c r="J9" s="24">
        <f>Raw!I10</f>
        <v>0</v>
      </c>
      <c r="K9" s="24">
        <f>Raw!J10</f>
        <v>0</v>
      </c>
      <c r="L9" s="24">
        <f>Raw!K10</f>
        <v>0</v>
      </c>
      <c r="M9" s="24">
        <f>Raw!L10</f>
        <v>0</v>
      </c>
      <c r="N9" s="24">
        <f>Raw!M10</f>
        <v>0</v>
      </c>
      <c r="O9" s="24">
        <f>Raw!N10</f>
        <v>0</v>
      </c>
      <c r="P9" s="24">
        <f>Raw!O10</f>
        <v>0</v>
      </c>
      <c r="Q9" s="24">
        <f>Raw!P10</f>
        <v>0</v>
      </c>
      <c r="R9" s="41"/>
      <c r="S9" s="41"/>
      <c r="T9" s="41"/>
      <c r="U9" s="41"/>
      <c r="V9" s="41"/>
      <c r="W9" s="41"/>
      <c r="X9" s="41"/>
      <c r="Y9" s="41"/>
      <c r="Z9" s="41"/>
      <c r="AA9" s="41"/>
      <c r="AB9" s="41"/>
      <c r="AC9" s="41"/>
      <c r="AD9" s="41"/>
      <c r="AE9" s="41"/>
      <c r="AF9" s="41"/>
      <c r="AG9" s="41"/>
      <c r="AH9" s="41"/>
      <c r="AI9" s="41"/>
      <c r="AJ9" s="41"/>
      <c r="AK9" s="41"/>
      <c r="AL9" s="41"/>
      <c r="AM9" s="41"/>
    </row>
    <row r="10" spans="1:106" ht="25.5">
      <c r="A10" t="str">
        <f t="shared" si="0"/>
        <v>Existing Single Family Home HVAC Conversion - Convert FAF w/o CAC to Heat Pump - House with "Good Insulation" - Heating Zone 1 - Cooling Zone 1Heating Savings</v>
      </c>
      <c r="B10" s="24" t="str">
        <f>Raw!A17</f>
        <v>Existing Single Family Home HVAC Conversion - Convert FAF w/o CAC to Heat Pump - House with "Good Insulation" - Heating Zone 1 - Cooling Zone 1</v>
      </c>
      <c r="C10" s="24" t="str">
        <f>Raw!B17</f>
        <v>Heating Savings</v>
      </c>
      <c r="D10" s="24">
        <f>Raw!C17</f>
        <v>2610.3529019871903</v>
      </c>
      <c r="E10" s="24">
        <f>Raw!D17</f>
        <v>15</v>
      </c>
      <c r="F10" s="44">
        <f>Raw!E17*$B$4</f>
        <v>4405.939111130092</v>
      </c>
      <c r="G10" s="24">
        <f>Raw!F17</f>
        <v>0</v>
      </c>
      <c r="H10" s="24" t="str">
        <f>Raw!G17</f>
        <v>ResSpHtHPZ1</v>
      </c>
      <c r="I10" s="24">
        <f>Raw!H17</f>
        <v>41.534869287695713</v>
      </c>
      <c r="J10" s="24">
        <f>Raw!I17</f>
        <v>0</v>
      </c>
      <c r="K10" s="24">
        <f>Raw!J17</f>
        <v>0</v>
      </c>
      <c r="L10" s="24">
        <f>Raw!K17</f>
        <v>0</v>
      </c>
      <c r="M10" s="24">
        <f>Raw!L17</f>
        <v>0</v>
      </c>
      <c r="N10" s="24">
        <f>Raw!M17</f>
        <v>0</v>
      </c>
      <c r="O10" s="24">
        <f>Raw!N17</f>
        <v>0</v>
      </c>
      <c r="P10" s="24">
        <f>Raw!O17</f>
        <v>0</v>
      </c>
      <c r="Q10" s="24">
        <f>Raw!P17</f>
        <v>0</v>
      </c>
      <c r="R10" s="41"/>
      <c r="S10" s="41"/>
      <c r="T10" s="41"/>
      <c r="U10" s="41"/>
      <c r="V10" s="41"/>
      <c r="W10" s="41"/>
      <c r="X10" s="41"/>
      <c r="Y10" s="41"/>
      <c r="Z10" s="41"/>
      <c r="AA10" s="41"/>
      <c r="AB10" s="41"/>
      <c r="AC10" s="41"/>
      <c r="AD10" s="41"/>
      <c r="AE10" s="41"/>
      <c r="AF10" s="41"/>
      <c r="AG10" s="41"/>
      <c r="AH10" s="41"/>
      <c r="AI10" s="41"/>
      <c r="AJ10" s="41"/>
      <c r="AK10" s="41"/>
      <c r="AL10" s="41"/>
      <c r="AM10" s="41"/>
    </row>
    <row r="11" spans="1:106" ht="25.5">
      <c r="A11" t="str">
        <f t="shared" si="0"/>
        <v>Existing Single Family Home HVAC Conversion - Convert FAF w/o CAC to Heat Pump - House with "Good Insulation" - Heating Zone 1 - Cooling Zone 2Heating Savings</v>
      </c>
      <c r="B11" s="24" t="str">
        <f>Raw!A18</f>
        <v>Existing Single Family Home HVAC Conversion - Convert FAF w/o CAC to Heat Pump - House with "Good Insulation" - Heating Zone 1 - Cooling Zone 2</v>
      </c>
      <c r="C11" s="24" t="str">
        <f>Raw!B18</f>
        <v>Heating Savings</v>
      </c>
      <c r="D11" s="24">
        <f>Raw!C18</f>
        <v>2610.3529019871903</v>
      </c>
      <c r="E11" s="24">
        <f>Raw!D18</f>
        <v>15</v>
      </c>
      <c r="F11" s="44">
        <f>Raw!E18*$B$4</f>
        <v>3509.8890108759192</v>
      </c>
      <c r="G11" s="24">
        <f>Raw!F18</f>
        <v>0</v>
      </c>
      <c r="H11" s="24" t="str">
        <f>Raw!G18</f>
        <v>ResSpHtHPZ1</v>
      </c>
      <c r="I11" s="24">
        <f>Raw!H18</f>
        <v>41.534869287695713</v>
      </c>
      <c r="J11" s="24">
        <f>Raw!I18</f>
        <v>0</v>
      </c>
      <c r="K11" s="24">
        <f>Raw!J18</f>
        <v>0</v>
      </c>
      <c r="L11" s="24">
        <f>Raw!K18</f>
        <v>0</v>
      </c>
      <c r="M11" s="24">
        <f>Raw!L18</f>
        <v>0</v>
      </c>
      <c r="N11" s="24">
        <f>Raw!M18</f>
        <v>0</v>
      </c>
      <c r="O11" s="24">
        <f>Raw!N18</f>
        <v>0</v>
      </c>
      <c r="P11" s="24">
        <f>Raw!O18</f>
        <v>0</v>
      </c>
      <c r="Q11" s="24">
        <f>Raw!P18</f>
        <v>0</v>
      </c>
      <c r="R11" s="41"/>
      <c r="S11" s="41"/>
      <c r="T11" s="41"/>
      <c r="U11" s="41"/>
      <c r="V11" s="41"/>
      <c r="W11" s="41"/>
      <c r="X11" s="41"/>
      <c r="Y11" s="41"/>
      <c r="Z11" s="41"/>
      <c r="AA11" s="41"/>
      <c r="AB11" s="41"/>
      <c r="AC11" s="41"/>
      <c r="AD11" s="41"/>
      <c r="AE11" s="41"/>
      <c r="AF11" s="41"/>
      <c r="AG11" s="41"/>
      <c r="AH11" s="41"/>
      <c r="AI11" s="41"/>
      <c r="AJ11" s="41"/>
      <c r="AK11" s="41"/>
      <c r="AL11" s="41"/>
      <c r="AM11" s="41"/>
    </row>
    <row r="12" spans="1:106" ht="25.5">
      <c r="A12" t="str">
        <f t="shared" si="0"/>
        <v>Existing Single Family Home HVAC Conversion - Convert FAF w/o CAC to Heat Pump - House with "Good Insulation" - Heating Zone 1 - Cooling Zone 3Heating Savings</v>
      </c>
      <c r="B12" s="24" t="str">
        <f>Raw!A19</f>
        <v>Existing Single Family Home HVAC Conversion - Convert FAF w/o CAC to Heat Pump - House with "Good Insulation" - Heating Zone 1 - Cooling Zone 3</v>
      </c>
      <c r="C12" s="24" t="str">
        <f>Raw!B19</f>
        <v>Heating Savings</v>
      </c>
      <c r="D12" s="24">
        <f>Raw!C19</f>
        <v>2610.3529019871903</v>
      </c>
      <c r="E12" s="24">
        <f>Raw!D19</f>
        <v>15</v>
      </c>
      <c r="F12" s="44">
        <f>Raw!E19*$B$4</f>
        <v>2878.5049609349367</v>
      </c>
      <c r="G12" s="24">
        <f>Raw!F19</f>
        <v>0</v>
      </c>
      <c r="H12" s="24" t="str">
        <f>Raw!G19</f>
        <v>ResSpHtHPZ1</v>
      </c>
      <c r="I12" s="24">
        <f>Raw!H19</f>
        <v>41.534869287695713</v>
      </c>
      <c r="J12" s="24">
        <f>Raw!I19</f>
        <v>0</v>
      </c>
      <c r="K12" s="24">
        <f>Raw!J19</f>
        <v>0</v>
      </c>
      <c r="L12" s="24">
        <f>Raw!K19</f>
        <v>0</v>
      </c>
      <c r="M12" s="24">
        <f>Raw!L19</f>
        <v>0</v>
      </c>
      <c r="N12" s="24">
        <f>Raw!M19</f>
        <v>0</v>
      </c>
      <c r="O12" s="24">
        <f>Raw!N19</f>
        <v>0</v>
      </c>
      <c r="P12" s="24">
        <f>Raw!O19</f>
        <v>0</v>
      </c>
      <c r="Q12" s="24">
        <f>Raw!P19</f>
        <v>0</v>
      </c>
    </row>
    <row r="13" spans="1:106" ht="62.25" customHeight="1">
      <c r="A13" t="str">
        <f t="shared" si="0"/>
        <v>Existing Single Family Home HVAC Conversion - Convert FAF w/o CAC to Heat Pump - House with "Good Insulation" - Heating Zone 2 - Cooling Zone 1Heating Savings</v>
      </c>
      <c r="B13" s="24" t="str">
        <f>Raw!A20</f>
        <v>Existing Single Family Home HVAC Conversion - Convert FAF w/o CAC to Heat Pump - House with "Good Insulation" - Heating Zone 2 - Cooling Zone 1</v>
      </c>
      <c r="C13" s="24" t="str">
        <f>Raw!B20</f>
        <v>Heating Savings</v>
      </c>
      <c r="D13" s="24">
        <f>Raw!C20</f>
        <v>2688.7510694825951</v>
      </c>
      <c r="E13" s="24">
        <f>Raw!D20</f>
        <v>15</v>
      </c>
      <c r="F13" s="44">
        <f>Raw!E20*$B$4</f>
        <v>4447.1207777664877</v>
      </c>
      <c r="G13" s="24">
        <f>Raw!F20</f>
        <v>0</v>
      </c>
      <c r="H13" s="24" t="str">
        <f>Raw!G20</f>
        <v>ResSpHtHPZ2</v>
      </c>
      <c r="I13" s="24">
        <f>Raw!H20</f>
        <v>31.283284032448492</v>
      </c>
      <c r="J13" s="24">
        <f>Raw!I20</f>
        <v>0</v>
      </c>
      <c r="K13" s="24">
        <f>Raw!J20</f>
        <v>0</v>
      </c>
      <c r="L13" s="24">
        <f>Raw!K20</f>
        <v>0</v>
      </c>
      <c r="M13" s="24">
        <f>Raw!L20</f>
        <v>0</v>
      </c>
      <c r="N13" s="24">
        <f>Raw!M20</f>
        <v>0</v>
      </c>
      <c r="O13" s="24">
        <f>Raw!N20</f>
        <v>0</v>
      </c>
      <c r="P13" s="24">
        <f>Raw!O20</f>
        <v>0</v>
      </c>
      <c r="Q13" s="24">
        <f>Raw!P20</f>
        <v>0</v>
      </c>
    </row>
    <row r="14" spans="1:106" ht="25.5">
      <c r="A14" t="str">
        <f t="shared" si="0"/>
        <v>Existing Single Family Home HVAC Conversion - Convert FAF w/o CAC to Heat Pump - House with "Good Insulation" - Heating Zone 2 - Cooling Zone 2Heating Savings</v>
      </c>
      <c r="B14" s="24" t="str">
        <f>Raw!A21</f>
        <v>Existing Single Family Home HVAC Conversion - Convert FAF w/o CAC to Heat Pump - House with "Good Insulation" - Heating Zone 2 - Cooling Zone 2</v>
      </c>
      <c r="C14" s="24" t="str">
        <f>Raw!B21</f>
        <v>Heating Savings</v>
      </c>
      <c r="D14" s="24">
        <f>Raw!C21</f>
        <v>2688.7510694825951</v>
      </c>
      <c r="E14" s="24">
        <f>Raw!D21</f>
        <v>15</v>
      </c>
      <c r="F14" s="44">
        <f>Raw!E21*$B$4</f>
        <v>3543.0573998273053</v>
      </c>
      <c r="G14" s="24">
        <f>Raw!F21</f>
        <v>0</v>
      </c>
      <c r="H14" s="24" t="str">
        <f>Raw!G21</f>
        <v>ResSpHtHPZ2</v>
      </c>
      <c r="I14" s="24">
        <f>Raw!H21</f>
        <v>31.283284032448492</v>
      </c>
      <c r="J14" s="24">
        <f>Raw!I21</f>
        <v>0</v>
      </c>
      <c r="K14" s="24">
        <f>Raw!J21</f>
        <v>0</v>
      </c>
      <c r="L14" s="24">
        <f>Raw!K21</f>
        <v>0</v>
      </c>
      <c r="M14" s="24">
        <f>Raw!L21</f>
        <v>0</v>
      </c>
      <c r="N14" s="24">
        <f>Raw!M21</f>
        <v>0</v>
      </c>
      <c r="O14" s="24">
        <f>Raw!N21</f>
        <v>0</v>
      </c>
      <c r="P14" s="24">
        <f>Raw!O21</f>
        <v>0</v>
      </c>
      <c r="Q14" s="24">
        <f>Raw!P21</f>
        <v>0</v>
      </c>
    </row>
    <row r="15" spans="1:106" ht="25.5">
      <c r="A15" t="str">
        <f t="shared" si="0"/>
        <v>Existing Single Family Home HVAC Conversion - Convert FAF w/o CAC to Heat Pump - House with "Good Insulation" - Heating Zone 2 - Cooling Zone 3Heating Savings</v>
      </c>
      <c r="B15" s="24" t="str">
        <f>Raw!A22</f>
        <v>Existing Single Family Home HVAC Conversion - Convert FAF w/o CAC to Heat Pump - House with "Good Insulation" - Heating Zone 2 - Cooling Zone 3</v>
      </c>
      <c r="C15" s="24" t="str">
        <f>Raw!B22</f>
        <v>Heating Savings</v>
      </c>
      <c r="D15" s="24">
        <f>Raw!C22</f>
        <v>2688.7510694825951</v>
      </c>
      <c r="E15" s="24">
        <f>Raw!D22</f>
        <v>15</v>
      </c>
      <c r="F15" s="44">
        <f>Raw!E22*$B$4</f>
        <v>2901.7926051213844</v>
      </c>
      <c r="G15" s="24">
        <f>Raw!F22</f>
        <v>0</v>
      </c>
      <c r="H15" s="24" t="str">
        <f>Raw!G22</f>
        <v>ResSpHtHPZ2</v>
      </c>
      <c r="I15" s="24">
        <f>Raw!H22</f>
        <v>31.283284032448492</v>
      </c>
      <c r="J15" s="24">
        <f>Raw!I22</f>
        <v>0</v>
      </c>
      <c r="K15" s="24">
        <f>Raw!J22</f>
        <v>0</v>
      </c>
      <c r="L15" s="24">
        <f>Raw!K22</f>
        <v>0</v>
      </c>
      <c r="M15" s="24">
        <f>Raw!L22</f>
        <v>0</v>
      </c>
      <c r="N15" s="24">
        <f>Raw!M22</f>
        <v>0</v>
      </c>
      <c r="O15" s="24">
        <f>Raw!N22</f>
        <v>0</v>
      </c>
      <c r="P15" s="24">
        <f>Raw!O22</f>
        <v>0</v>
      </c>
      <c r="Q15" s="24">
        <f>Raw!P22</f>
        <v>0</v>
      </c>
    </row>
    <row r="16" spans="1:106" ht="25.5">
      <c r="A16" t="str">
        <f t="shared" si="0"/>
        <v>Existing Single Family Home HVAC Conversion - Convert FAF w/o CAC to Heat Pump - House with "Good Insulation" - Heating Zone 3 - Cooling Zone 1Heating Savings</v>
      </c>
      <c r="B16" s="24" t="str">
        <f>Raw!A23</f>
        <v>Existing Single Family Home HVAC Conversion - Convert FAF w/o CAC to Heat Pump - House with "Good Insulation" - Heating Zone 3 - Cooling Zone 1</v>
      </c>
      <c r="C16" s="24" t="str">
        <f>Raw!B23</f>
        <v>Heating Savings</v>
      </c>
      <c r="D16" s="24">
        <f>Raw!C23</f>
        <v>2318.9213380538454</v>
      </c>
      <c r="E16" s="24">
        <f>Raw!D23</f>
        <v>15</v>
      </c>
      <c r="F16" s="44">
        <f>Raw!E23*$B$4</f>
        <v>4498.178811639702</v>
      </c>
      <c r="G16" s="24">
        <f>Raw!F23</f>
        <v>0</v>
      </c>
      <c r="H16" s="24" t="str">
        <f>Raw!G23</f>
        <v>ResSpHtHPZ3</v>
      </c>
      <c r="I16" s="24">
        <f>Raw!H23</f>
        <v>27.443333338878478</v>
      </c>
      <c r="J16" s="24">
        <f>Raw!I23</f>
        <v>0</v>
      </c>
      <c r="K16" s="24">
        <f>Raw!J23</f>
        <v>0</v>
      </c>
      <c r="L16" s="24">
        <f>Raw!K23</f>
        <v>0</v>
      </c>
      <c r="M16" s="24">
        <f>Raw!L23</f>
        <v>0</v>
      </c>
      <c r="N16" s="24">
        <f>Raw!M23</f>
        <v>0</v>
      </c>
      <c r="O16" s="24">
        <f>Raw!N23</f>
        <v>0</v>
      </c>
      <c r="P16" s="24">
        <f>Raw!O23</f>
        <v>0</v>
      </c>
      <c r="Q16" s="24">
        <f>Raw!P23</f>
        <v>0</v>
      </c>
    </row>
    <row r="17" spans="1:17" ht="25.5">
      <c r="A17" t="str">
        <f t="shared" si="0"/>
        <v>Existing Single Family Home HVAC Conversion - Convert FAF w/o CAC to Heat Pump - House with "Good Insulation" - Heating Zone 3 - Cooling Zone 2Heating Savings</v>
      </c>
      <c r="B17" s="24" t="str">
        <f>Raw!A24</f>
        <v>Existing Single Family Home HVAC Conversion - Convert FAF w/o CAC to Heat Pump - House with "Good Insulation" - Heating Zone 3 - Cooling Zone 2</v>
      </c>
      <c r="C17" s="24" t="str">
        <f>Raw!B24</f>
        <v>Heating Savings</v>
      </c>
      <c r="D17" s="24">
        <f>Raw!C24</f>
        <v>2318.9213380538454</v>
      </c>
      <c r="E17" s="24">
        <f>Raw!D24</f>
        <v>15</v>
      </c>
      <c r="F17" s="44">
        <f>Raw!E24*$B$4</f>
        <v>3584.1803767469223</v>
      </c>
      <c r="G17" s="24">
        <f>Raw!F24</f>
        <v>0</v>
      </c>
      <c r="H17" s="24" t="str">
        <f>Raw!G24</f>
        <v>ResSpHtHPZ3</v>
      </c>
      <c r="I17" s="24">
        <f>Raw!H24</f>
        <v>27.443333338878478</v>
      </c>
      <c r="J17" s="24">
        <f>Raw!I24</f>
        <v>0</v>
      </c>
      <c r="K17" s="24">
        <f>Raw!J24</f>
        <v>0</v>
      </c>
      <c r="L17" s="24">
        <f>Raw!K24</f>
        <v>0</v>
      </c>
      <c r="M17" s="24">
        <f>Raw!L24</f>
        <v>0</v>
      </c>
      <c r="N17" s="24">
        <f>Raw!M24</f>
        <v>0</v>
      </c>
      <c r="O17" s="24">
        <f>Raw!N24</f>
        <v>0</v>
      </c>
      <c r="P17" s="24">
        <f>Raw!O24</f>
        <v>0</v>
      </c>
      <c r="Q17" s="24">
        <f>Raw!P24</f>
        <v>0</v>
      </c>
    </row>
    <row r="18" spans="1:17" ht="25.5">
      <c r="A18" t="str">
        <f t="shared" si="0"/>
        <v>Existing Single Family Home HVAC Conversion - Convert FAF w/o CAC to Heat Pump - House with "Good Insulation" - Heating Zone 3 - Cooling Zone 3Heating Savings</v>
      </c>
      <c r="B18" s="24" t="str">
        <f>Raw!A25</f>
        <v>Existing Single Family Home HVAC Conversion - Convert FAF w/o CAC to Heat Pump - House with "Good Insulation" - Heating Zone 3 - Cooling Zone 3</v>
      </c>
      <c r="C18" s="24" t="str">
        <f>Raw!B25</f>
        <v>Heating Savings</v>
      </c>
      <c r="D18" s="24">
        <f>Raw!C25</f>
        <v>2318.9213380538454</v>
      </c>
      <c r="E18" s="24">
        <f>Raw!D25</f>
        <v>15</v>
      </c>
      <c r="F18" s="44">
        <f>Raw!E25*$B$4</f>
        <v>2930.6651938924329</v>
      </c>
      <c r="G18" s="24">
        <f>Raw!F25</f>
        <v>0</v>
      </c>
      <c r="H18" s="24" t="str">
        <f>Raw!G25</f>
        <v>ResSpHtHPZ3</v>
      </c>
      <c r="I18" s="24">
        <f>Raw!H25</f>
        <v>27.443333338878478</v>
      </c>
      <c r="J18" s="24">
        <f>Raw!I25</f>
        <v>0</v>
      </c>
      <c r="K18" s="24">
        <f>Raw!J25</f>
        <v>0</v>
      </c>
      <c r="L18" s="24">
        <f>Raw!K25</f>
        <v>0</v>
      </c>
      <c r="M18" s="24">
        <f>Raw!L25</f>
        <v>0</v>
      </c>
      <c r="N18" s="24">
        <f>Raw!M25</f>
        <v>0</v>
      </c>
      <c r="O18" s="24">
        <f>Raw!N25</f>
        <v>0</v>
      </c>
      <c r="P18" s="24">
        <f>Raw!O25</f>
        <v>0</v>
      </c>
      <c r="Q18" s="24">
        <f>Raw!P25</f>
        <v>0</v>
      </c>
    </row>
    <row r="19" spans="1:17" ht="25.5">
      <c r="A19" t="str">
        <f t="shared" si="0"/>
        <v>Existing Single Family Home HVAC Upgrade - Heat Pump Upgrade to 9.0 HSPF/14 SEER - Heating Zone 1Heating Savings</v>
      </c>
      <c r="B19" s="24" t="str">
        <f>Raw!A44</f>
        <v>Existing Single Family Home HVAC Upgrade - Heat Pump Upgrade to 9.0 HSPF/14 SEER - Heating Zone 1</v>
      </c>
      <c r="C19" s="24" t="str">
        <f>Raw!B44</f>
        <v>Heating Savings</v>
      </c>
      <c r="D19" s="24">
        <f>Raw!C44</f>
        <v>115.19308595364367</v>
      </c>
      <c r="E19" s="24">
        <f>Raw!D44</f>
        <v>15</v>
      </c>
      <c r="F19" s="44">
        <f>Raw!E44*$B$4</f>
        <v>89.471516996608102</v>
      </c>
      <c r="G19" s="24">
        <f>Raw!F44</f>
        <v>0</v>
      </c>
      <c r="H19" s="24" t="str">
        <f>Raw!G44</f>
        <v>ResSpHtHPZ1</v>
      </c>
      <c r="I19" s="24">
        <f>Raw!H44</f>
        <v>1.6807132651285106</v>
      </c>
      <c r="J19" s="24">
        <f>Raw!I44</f>
        <v>0</v>
      </c>
      <c r="K19" s="24">
        <f>Raw!J44</f>
        <v>0</v>
      </c>
      <c r="L19" s="24">
        <f>Raw!K44</f>
        <v>0</v>
      </c>
      <c r="M19" s="24">
        <f>Raw!L44</f>
        <v>0</v>
      </c>
      <c r="N19" s="24">
        <f>Raw!M44</f>
        <v>0</v>
      </c>
      <c r="O19" s="24">
        <f>Raw!N44</f>
        <v>0</v>
      </c>
      <c r="P19" s="24">
        <f>Raw!O44</f>
        <v>0</v>
      </c>
      <c r="Q19" s="24">
        <f>Raw!P44</f>
        <v>0</v>
      </c>
    </row>
    <row r="20" spans="1:17" ht="25.5">
      <c r="A20" t="str">
        <f t="shared" si="0"/>
        <v>Existing Single Family Home HVAC Upgrade - Heat Pump Upgrade to 9.0 HSPF/14 SEER - Heating Zone 2Heating Savings</v>
      </c>
      <c r="B20" s="24" t="str">
        <f>Raw!A45</f>
        <v>Existing Single Family Home HVAC Upgrade - Heat Pump Upgrade to 9.0 HSPF/14 SEER - Heating Zone 2</v>
      </c>
      <c r="C20" s="24" t="str">
        <f>Raw!B45</f>
        <v>Heating Savings</v>
      </c>
      <c r="D20" s="24">
        <f>Raw!C45</f>
        <v>86.645648827051815</v>
      </c>
      <c r="E20" s="24">
        <f>Raw!D45</f>
        <v>15</v>
      </c>
      <c r="F20" s="44">
        <f>Raw!E45*$B$4</f>
        <v>89.471516996608102</v>
      </c>
      <c r="G20" s="24">
        <f>Raw!F45</f>
        <v>0</v>
      </c>
      <c r="H20" s="24" t="str">
        <f>Raw!G45</f>
        <v>ResSpHtHPZ2</v>
      </c>
      <c r="I20" s="24">
        <f>Raw!H45</f>
        <v>1.0348229224589816</v>
      </c>
      <c r="J20" s="24">
        <f>Raw!I45</f>
        <v>0</v>
      </c>
      <c r="K20" s="24">
        <f>Raw!J45</f>
        <v>0</v>
      </c>
      <c r="L20" s="24">
        <f>Raw!K45</f>
        <v>0</v>
      </c>
      <c r="M20" s="24">
        <f>Raw!L45</f>
        <v>0</v>
      </c>
      <c r="N20" s="24">
        <f>Raw!M45</f>
        <v>0</v>
      </c>
      <c r="O20" s="24">
        <f>Raw!N45</f>
        <v>0</v>
      </c>
      <c r="P20" s="24">
        <f>Raw!O45</f>
        <v>0</v>
      </c>
      <c r="Q20" s="24">
        <f>Raw!P45</f>
        <v>0</v>
      </c>
    </row>
    <row r="21" spans="1:17" ht="25.5">
      <c r="A21" t="str">
        <f t="shared" si="0"/>
        <v>Existing Single Family Home HVAC Upgrade - Heat Pump Upgrade to 9.0 HSPF/14 SEER - Heating Zone 3Heating Savings</v>
      </c>
      <c r="B21" s="24" t="str">
        <f>Raw!A46</f>
        <v>Existing Single Family Home HVAC Upgrade - Heat Pump Upgrade to 9.0 HSPF/14 SEER - Heating Zone 3</v>
      </c>
      <c r="C21" s="24" t="str">
        <f>Raw!B46</f>
        <v>Heating Savings</v>
      </c>
      <c r="D21" s="24">
        <f>Raw!C46</f>
        <v>68.790667006913637</v>
      </c>
      <c r="E21" s="24">
        <f>Raw!D46</f>
        <v>15</v>
      </c>
      <c r="F21" s="44">
        <f>Raw!E46*$B$4</f>
        <v>89.471516996608102</v>
      </c>
      <c r="G21" s="24">
        <f>Raw!F46</f>
        <v>0</v>
      </c>
      <c r="H21" s="24" t="str">
        <f>Raw!G46</f>
        <v>ResSpHtHPZ3</v>
      </c>
      <c r="I21" s="24">
        <f>Raw!H46</f>
        <v>0.78438556977170426</v>
      </c>
      <c r="J21" s="24">
        <f>Raw!I46</f>
        <v>0</v>
      </c>
      <c r="K21" s="24">
        <f>Raw!J46</f>
        <v>0</v>
      </c>
      <c r="L21" s="24">
        <f>Raw!K46</f>
        <v>0</v>
      </c>
      <c r="M21" s="24">
        <f>Raw!L46</f>
        <v>0</v>
      </c>
      <c r="N21" s="24">
        <f>Raw!M46</f>
        <v>0</v>
      </c>
      <c r="O21" s="24">
        <f>Raw!N46</f>
        <v>0</v>
      </c>
      <c r="P21" s="24">
        <f>Raw!O46</f>
        <v>0</v>
      </c>
      <c r="Q21" s="24">
        <f>Raw!P46</f>
        <v>0</v>
      </c>
    </row>
    <row r="22" spans="1:17" ht="25.5">
      <c r="A22" t="str">
        <f t="shared" si="0"/>
        <v>Existing Single Family Home HVAC Upgrade - Central Heat Pump Upgrade to Variable Capacity Central Heat Pump - Heating Zone 1 - Cooling Zone 1Heating Savings</v>
      </c>
      <c r="B22" s="24" t="str">
        <f>Raw!A47</f>
        <v>Existing Single Family Home HVAC Upgrade - Central Heat Pump Upgrade to Variable Capacity Central Heat Pump - Heating Zone 1 - Cooling Zone 1</v>
      </c>
      <c r="C22" s="24" t="str">
        <f>Raw!B47</f>
        <v>Heating Savings</v>
      </c>
      <c r="D22" s="24">
        <f>Raw!C47</f>
        <v>574.96857481092184</v>
      </c>
      <c r="E22" s="24">
        <f>Raw!D47</f>
        <v>15</v>
      </c>
      <c r="F22" s="44">
        <f>Raw!E47*$B$4</f>
        <v>5446.3176474802258</v>
      </c>
      <c r="G22" s="24">
        <f>Raw!F47</f>
        <v>0</v>
      </c>
      <c r="H22" s="24" t="str">
        <f>Raw!G47</f>
        <v>ResSpHtHPZ1</v>
      </c>
      <c r="I22" s="24">
        <f>Raw!H47</f>
        <v>8.1511106646902238</v>
      </c>
      <c r="J22" s="24">
        <f>Raw!I47</f>
        <v>0</v>
      </c>
      <c r="K22" s="24">
        <f>Raw!J47</f>
        <v>0</v>
      </c>
      <c r="L22" s="24">
        <f>Raw!K47</f>
        <v>0</v>
      </c>
      <c r="M22" s="24">
        <f>Raw!L47</f>
        <v>0</v>
      </c>
      <c r="N22" s="24">
        <f>Raw!M47</f>
        <v>0</v>
      </c>
      <c r="O22" s="24">
        <f>Raw!N47</f>
        <v>0</v>
      </c>
      <c r="P22" s="24">
        <f>Raw!O47</f>
        <v>0</v>
      </c>
      <c r="Q22" s="24">
        <f>Raw!P47</f>
        <v>0</v>
      </c>
    </row>
    <row r="23" spans="1:17" ht="25.5">
      <c r="A23" t="str">
        <f t="shared" si="0"/>
        <v>Existing Single Family Home HVAC Upgrade - Central Heat Pump Upgrade to Variable Capacity Central Heat Pump - Heating Zone 1 - Cooling Zone 2Heating Savings</v>
      </c>
      <c r="B23" s="24" t="str">
        <f>Raw!A48</f>
        <v>Existing Single Family Home HVAC Upgrade - Central Heat Pump Upgrade to Variable Capacity Central Heat Pump - Heating Zone 1 - Cooling Zone 2</v>
      </c>
      <c r="C23" s="24" t="str">
        <f>Raw!B48</f>
        <v>Heating Savings</v>
      </c>
      <c r="D23" s="24">
        <f>Raw!C48</f>
        <v>574.96857481092184</v>
      </c>
      <c r="E23" s="24">
        <f>Raw!D48</f>
        <v>15</v>
      </c>
      <c r="F23" s="44">
        <f>Raw!E48*$B$4</f>
        <v>5446.3176474802258</v>
      </c>
      <c r="G23" s="24">
        <f>Raw!F48</f>
        <v>0</v>
      </c>
      <c r="H23" s="24" t="str">
        <f>Raw!G48</f>
        <v>ResSpHtHPZ1</v>
      </c>
      <c r="I23" s="24">
        <f>Raw!H48</f>
        <v>8.1511106646902238</v>
      </c>
      <c r="J23" s="24">
        <f>Raw!I48</f>
        <v>0</v>
      </c>
      <c r="K23" s="24">
        <f>Raw!J48</f>
        <v>0</v>
      </c>
      <c r="L23" s="24">
        <f>Raw!K48</f>
        <v>0</v>
      </c>
      <c r="M23" s="24">
        <f>Raw!L48</f>
        <v>0</v>
      </c>
      <c r="N23" s="24">
        <f>Raw!M48</f>
        <v>0</v>
      </c>
      <c r="O23" s="24">
        <f>Raw!N48</f>
        <v>0</v>
      </c>
      <c r="P23" s="24">
        <f>Raw!O48</f>
        <v>0</v>
      </c>
      <c r="Q23" s="24">
        <f>Raw!P48</f>
        <v>0</v>
      </c>
    </row>
    <row r="24" spans="1:17" ht="25.5">
      <c r="A24" t="str">
        <f t="shared" si="0"/>
        <v>Existing Single Family Home HVAC Upgrade - Central Heat Pump Upgrade to Variable Capacity Central Heat Pump - Heating Zone 1 - Cooling Zone 3Heating Savings</v>
      </c>
      <c r="B24" s="24" t="str">
        <f>Raw!A49</f>
        <v>Existing Single Family Home HVAC Upgrade - Central Heat Pump Upgrade to Variable Capacity Central Heat Pump - Heating Zone 1 - Cooling Zone 3</v>
      </c>
      <c r="C24" s="24" t="str">
        <f>Raw!B49</f>
        <v>Heating Savings</v>
      </c>
      <c r="D24" s="24">
        <f>Raw!C49</f>
        <v>574.96857481092184</v>
      </c>
      <c r="E24" s="24">
        <f>Raw!D49</f>
        <v>15</v>
      </c>
      <c r="F24" s="44">
        <f>Raw!E49*$B$4</f>
        <v>5446.3176474802258</v>
      </c>
      <c r="G24" s="24">
        <f>Raw!F49</f>
        <v>0</v>
      </c>
      <c r="H24" s="24" t="str">
        <f>Raw!G49</f>
        <v>ResSpHtHPZ1</v>
      </c>
      <c r="I24" s="24">
        <f>Raw!H49</f>
        <v>8.1511106646902238</v>
      </c>
      <c r="J24" s="24">
        <f>Raw!I49</f>
        <v>0</v>
      </c>
      <c r="K24" s="24">
        <f>Raw!J49</f>
        <v>0</v>
      </c>
      <c r="L24" s="24">
        <f>Raw!K49</f>
        <v>0</v>
      </c>
      <c r="M24" s="24">
        <f>Raw!L49</f>
        <v>0</v>
      </c>
      <c r="N24" s="24">
        <f>Raw!M49</f>
        <v>0</v>
      </c>
      <c r="O24" s="24">
        <f>Raw!N49</f>
        <v>0</v>
      </c>
      <c r="P24" s="24">
        <f>Raw!O49</f>
        <v>0</v>
      </c>
      <c r="Q24" s="24">
        <f>Raw!P49</f>
        <v>0</v>
      </c>
    </row>
    <row r="25" spans="1:17" ht="25.5">
      <c r="A25" t="str">
        <f t="shared" si="0"/>
        <v>Existing Single Family Home HVAC Upgrade - Central Heat Pump Upgrade to Variable Capacity Central Heat Pump - Heating Zone 2 - Cooling Zone 1Heating Savings</v>
      </c>
      <c r="B25" s="24" t="str">
        <f>Raw!A50</f>
        <v>Existing Single Family Home HVAC Upgrade - Central Heat Pump Upgrade to Variable Capacity Central Heat Pump - Heating Zone 2 - Cooling Zone 1</v>
      </c>
      <c r="C25" s="24" t="str">
        <f>Raw!B50</f>
        <v>Heating Savings</v>
      </c>
      <c r="D25" s="24">
        <f>Raw!C50</f>
        <v>681.88274160213484</v>
      </c>
      <c r="E25" s="24">
        <f>Raw!D50</f>
        <v>15</v>
      </c>
      <c r="F25" s="44">
        <f>Raw!E50*$B$4</f>
        <v>5446.3176474802258</v>
      </c>
      <c r="G25" s="24">
        <f>Raw!F50</f>
        <v>0</v>
      </c>
      <c r="H25" s="24" t="str">
        <f>Raw!G50</f>
        <v>ResSpHtHPZ2</v>
      </c>
      <c r="I25" s="24">
        <f>Raw!H50</f>
        <v>8.0972631546315021</v>
      </c>
      <c r="J25" s="24">
        <f>Raw!I50</f>
        <v>0</v>
      </c>
      <c r="K25" s="24">
        <f>Raw!J50</f>
        <v>0</v>
      </c>
      <c r="L25" s="24">
        <f>Raw!K50</f>
        <v>0</v>
      </c>
      <c r="M25" s="24">
        <f>Raw!L50</f>
        <v>0</v>
      </c>
      <c r="N25" s="24">
        <f>Raw!M50</f>
        <v>0</v>
      </c>
      <c r="O25" s="24">
        <f>Raw!N50</f>
        <v>0</v>
      </c>
      <c r="P25" s="24">
        <f>Raw!O50</f>
        <v>0</v>
      </c>
      <c r="Q25" s="24">
        <f>Raw!P50</f>
        <v>0</v>
      </c>
    </row>
    <row r="26" spans="1:17" ht="25.5">
      <c r="A26" t="str">
        <f t="shared" si="0"/>
        <v>Existing Single Family Home HVAC Upgrade - Central Heat Pump Upgrade to Variable Capacity Central Heat Pump - Heating Zone 2 - Cooling Zone 2Heating Savings</v>
      </c>
      <c r="B26" s="24" t="str">
        <f>Raw!A51</f>
        <v>Existing Single Family Home HVAC Upgrade - Central Heat Pump Upgrade to Variable Capacity Central Heat Pump - Heating Zone 2 - Cooling Zone 2</v>
      </c>
      <c r="C26" s="24" t="str">
        <f>Raw!B51</f>
        <v>Heating Savings</v>
      </c>
      <c r="D26" s="24">
        <f>Raw!C51</f>
        <v>681.88274160213484</v>
      </c>
      <c r="E26" s="24">
        <f>Raw!D51</f>
        <v>15</v>
      </c>
      <c r="F26" s="44">
        <f>Raw!E51*$B$4</f>
        <v>5446.3176474802258</v>
      </c>
      <c r="G26" s="24">
        <f>Raw!F51</f>
        <v>0</v>
      </c>
      <c r="H26" s="24" t="str">
        <f>Raw!G51</f>
        <v>ResSpHtHPZ2</v>
      </c>
      <c r="I26" s="24">
        <f>Raw!H51</f>
        <v>8.0972631546315021</v>
      </c>
      <c r="J26" s="24">
        <f>Raw!I51</f>
        <v>0</v>
      </c>
      <c r="K26" s="24">
        <f>Raw!J51</f>
        <v>0</v>
      </c>
      <c r="L26" s="24">
        <f>Raw!K51</f>
        <v>0</v>
      </c>
      <c r="M26" s="24">
        <f>Raw!L51</f>
        <v>0</v>
      </c>
      <c r="N26" s="24">
        <f>Raw!M51</f>
        <v>0</v>
      </c>
      <c r="O26" s="24">
        <f>Raw!N51</f>
        <v>0</v>
      </c>
      <c r="P26" s="24">
        <f>Raw!O51</f>
        <v>0</v>
      </c>
      <c r="Q26" s="24">
        <f>Raw!P51</f>
        <v>0</v>
      </c>
    </row>
    <row r="27" spans="1:17" ht="25.5">
      <c r="A27" t="str">
        <f t="shared" si="0"/>
        <v>Existing Single Family Home HVAC Upgrade - Central Heat Pump Upgrade to Variable Capacity Central Heat Pump - Heating Zone 2 - Cooling Zone 3Heating Savings</v>
      </c>
      <c r="B27" s="24" t="str">
        <f>Raw!A52</f>
        <v>Existing Single Family Home HVAC Upgrade - Central Heat Pump Upgrade to Variable Capacity Central Heat Pump - Heating Zone 2 - Cooling Zone 3</v>
      </c>
      <c r="C27" s="24" t="str">
        <f>Raw!B52</f>
        <v>Heating Savings</v>
      </c>
      <c r="D27" s="24">
        <f>Raw!C52</f>
        <v>681.88274160213484</v>
      </c>
      <c r="E27" s="24">
        <f>Raw!D52</f>
        <v>15</v>
      </c>
      <c r="F27" s="44">
        <f>Raw!E52*$B$4</f>
        <v>5446.3176474802258</v>
      </c>
      <c r="G27" s="24">
        <f>Raw!F52</f>
        <v>0</v>
      </c>
      <c r="H27" s="24" t="str">
        <f>Raw!G52</f>
        <v>ResSpHtHPZ2</v>
      </c>
      <c r="I27" s="24">
        <f>Raw!H52</f>
        <v>8.0972631546315021</v>
      </c>
      <c r="J27" s="24">
        <f>Raw!I52</f>
        <v>0</v>
      </c>
      <c r="K27" s="24">
        <f>Raw!J52</f>
        <v>0</v>
      </c>
      <c r="L27" s="24">
        <f>Raw!K52</f>
        <v>0</v>
      </c>
      <c r="M27" s="24">
        <f>Raw!L52</f>
        <v>0</v>
      </c>
      <c r="N27" s="24">
        <f>Raw!M52</f>
        <v>0</v>
      </c>
      <c r="O27" s="24">
        <f>Raw!N52</f>
        <v>0</v>
      </c>
      <c r="P27" s="24">
        <f>Raw!O52</f>
        <v>0</v>
      </c>
      <c r="Q27" s="24">
        <f>Raw!P52</f>
        <v>0</v>
      </c>
    </row>
    <row r="28" spans="1:17" ht="25.5">
      <c r="A28" t="str">
        <f t="shared" si="0"/>
        <v>Existing Single Family Home HVAC Upgrade - Central Heat Pump Upgrade to Variable Capacity Central Heat Pump - Heating Zone 3 - Cooling Zone 1Heating Savings</v>
      </c>
      <c r="B28" s="24" t="str">
        <f>Raw!A53</f>
        <v>Existing Single Family Home HVAC Upgrade - Central Heat Pump Upgrade to Variable Capacity Central Heat Pump - Heating Zone 3 - Cooling Zone 1</v>
      </c>
      <c r="C28" s="24" t="str">
        <f>Raw!B53</f>
        <v>Heating Savings</v>
      </c>
      <c r="D28" s="24">
        <f>Raw!C53</f>
        <v>854.99367812508422</v>
      </c>
      <c r="E28" s="24">
        <f>Raw!D53</f>
        <v>15</v>
      </c>
      <c r="F28" s="44">
        <f>Raw!E53*$B$4</f>
        <v>5446.3176474802258</v>
      </c>
      <c r="G28" s="24">
        <f>Raw!F53</f>
        <v>0</v>
      </c>
      <c r="H28" s="24" t="str">
        <f>Raw!G53</f>
        <v>ResSpHtHPZ3</v>
      </c>
      <c r="I28" s="24">
        <f>Raw!H53</f>
        <v>10.190688628695909</v>
      </c>
      <c r="J28" s="24">
        <f>Raw!I53</f>
        <v>0</v>
      </c>
      <c r="K28" s="24">
        <f>Raw!J53</f>
        <v>0</v>
      </c>
      <c r="L28" s="24">
        <f>Raw!K53</f>
        <v>0</v>
      </c>
      <c r="M28" s="24">
        <f>Raw!L53</f>
        <v>0</v>
      </c>
      <c r="N28" s="24">
        <f>Raw!M53</f>
        <v>0</v>
      </c>
      <c r="O28" s="24">
        <f>Raw!N53</f>
        <v>0</v>
      </c>
      <c r="P28" s="24">
        <f>Raw!O53</f>
        <v>0</v>
      </c>
      <c r="Q28" s="24">
        <f>Raw!P53</f>
        <v>0</v>
      </c>
    </row>
    <row r="29" spans="1:17" ht="25.5">
      <c r="A29" t="str">
        <f t="shared" si="0"/>
        <v>Existing Single Family Home HVAC Upgrade - Central Heat Pump Upgrade to Variable Capacity Central Heat Pump - Heating Zone 3 - Cooling Zone 2Heating Savings</v>
      </c>
      <c r="B29" s="24" t="str">
        <f>Raw!A54</f>
        <v>Existing Single Family Home HVAC Upgrade - Central Heat Pump Upgrade to Variable Capacity Central Heat Pump - Heating Zone 3 - Cooling Zone 2</v>
      </c>
      <c r="C29" s="24" t="str">
        <f>Raw!B54</f>
        <v>Heating Savings</v>
      </c>
      <c r="D29" s="24">
        <f>Raw!C54</f>
        <v>854.99367812508422</v>
      </c>
      <c r="E29" s="24">
        <f>Raw!D54</f>
        <v>15</v>
      </c>
      <c r="F29" s="44">
        <f>Raw!E54*$B$4</f>
        <v>5446.3176474802258</v>
      </c>
      <c r="G29" s="24">
        <f>Raw!F54</f>
        <v>0</v>
      </c>
      <c r="H29" s="24" t="str">
        <f>Raw!G54</f>
        <v>ResSpHtHPZ3</v>
      </c>
      <c r="I29" s="24">
        <f>Raw!H54</f>
        <v>10.190688628695909</v>
      </c>
      <c r="J29" s="24">
        <f>Raw!I54</f>
        <v>0</v>
      </c>
      <c r="K29" s="24">
        <f>Raw!J54</f>
        <v>0</v>
      </c>
      <c r="L29" s="24">
        <f>Raw!K54</f>
        <v>0</v>
      </c>
      <c r="M29" s="24">
        <f>Raw!L54</f>
        <v>0</v>
      </c>
      <c r="N29" s="24">
        <f>Raw!M54</f>
        <v>0</v>
      </c>
      <c r="O29" s="24">
        <f>Raw!N54</f>
        <v>0</v>
      </c>
      <c r="P29" s="24">
        <f>Raw!O54</f>
        <v>0</v>
      </c>
      <c r="Q29" s="24">
        <f>Raw!P54</f>
        <v>0</v>
      </c>
    </row>
    <row r="30" spans="1:17" ht="25.5">
      <c r="A30" t="str">
        <f t="shared" si="0"/>
        <v>Existing Single Family Home HVAC Upgrade - Central Heat Pump Upgrade to Variable Capacity Central Heat Pump - Heating Zone 3 - Cooling Zone 3Heating Savings</v>
      </c>
      <c r="B30" s="24" t="str">
        <f>Raw!A55</f>
        <v>Existing Single Family Home HVAC Upgrade - Central Heat Pump Upgrade to Variable Capacity Central Heat Pump - Heating Zone 3 - Cooling Zone 3</v>
      </c>
      <c r="C30" s="24" t="str">
        <f>Raw!B55</f>
        <v>Heating Savings</v>
      </c>
      <c r="D30" s="24">
        <f>Raw!C55</f>
        <v>854.99367812508422</v>
      </c>
      <c r="E30" s="24">
        <f>Raw!D55</f>
        <v>15</v>
      </c>
      <c r="F30" s="44">
        <f>Raw!E55*$B$4</f>
        <v>5446.3176474802258</v>
      </c>
      <c r="G30" s="24">
        <f>Raw!F55</f>
        <v>0</v>
      </c>
      <c r="H30" s="24" t="str">
        <f>Raw!G55</f>
        <v>ResSpHtHPZ3</v>
      </c>
      <c r="I30" s="24">
        <f>Raw!H55</f>
        <v>10.190688628695909</v>
      </c>
      <c r="J30" s="24">
        <f>Raw!I55</f>
        <v>0</v>
      </c>
      <c r="K30" s="24">
        <f>Raw!J55</f>
        <v>0</v>
      </c>
      <c r="L30" s="24">
        <f>Raw!K55</f>
        <v>0</v>
      </c>
      <c r="M30" s="24">
        <f>Raw!L55</f>
        <v>0</v>
      </c>
      <c r="N30" s="24">
        <f>Raw!M55</f>
        <v>0</v>
      </c>
      <c r="O30" s="24">
        <f>Raw!N55</f>
        <v>0</v>
      </c>
      <c r="P30" s="24">
        <f>Raw!O55</f>
        <v>0</v>
      </c>
      <c r="Q30" s="24">
        <f>Raw!P55</f>
        <v>0</v>
      </c>
    </row>
    <row r="31" spans="1:17">
      <c r="A31" t="str">
        <f t="shared" si="0"/>
        <v>Zonal to DHP No Screen HZ1CZ1Heating Savings</v>
      </c>
      <c r="B31" s="24" t="str">
        <f>Raw!A56</f>
        <v>Zonal to DHP No Screen HZ1CZ1</v>
      </c>
      <c r="C31" s="24" t="str">
        <f>Raw!B56</f>
        <v>Heating Savings</v>
      </c>
      <c r="D31" s="24">
        <f>Raw!C56</f>
        <v>2240.0588630952484</v>
      </c>
      <c r="E31" s="24">
        <f>Raw!D56</f>
        <v>15</v>
      </c>
      <c r="F31" s="44">
        <f>Raw!E56*$B$4</f>
        <v>3914.8924998607772</v>
      </c>
      <c r="G31" s="24">
        <f>Raw!F56</f>
        <v>0</v>
      </c>
      <c r="H31" s="24" t="str">
        <f>Raw!G56</f>
        <v>R-All-HVAC-ERconvertDHP-HZ1-All-N</v>
      </c>
      <c r="I31" s="24">
        <f>Raw!H56</f>
        <v>26.167052040603416</v>
      </c>
      <c r="J31" s="24">
        <f>Raw!I56</f>
        <v>0</v>
      </c>
      <c r="K31" s="24">
        <f>Raw!J56</f>
        <v>0</v>
      </c>
      <c r="L31" s="24">
        <f>Raw!K56</f>
        <v>0</v>
      </c>
      <c r="M31" s="24">
        <f>Raw!L56</f>
        <v>0</v>
      </c>
      <c r="N31" s="24">
        <f>Raw!M56</f>
        <v>0</v>
      </c>
      <c r="O31" s="24">
        <f>Raw!N56</f>
        <v>0</v>
      </c>
      <c r="P31" s="24">
        <f>Raw!O56</f>
        <v>0</v>
      </c>
      <c r="Q31" s="24">
        <f>Raw!P56</f>
        <v>0</v>
      </c>
    </row>
    <row r="32" spans="1:17">
      <c r="A32" t="str">
        <f t="shared" si="0"/>
        <v>Zonal to DHP No Screen HZ2CZ1Heating Savings</v>
      </c>
      <c r="B32" s="24" t="str">
        <f>Raw!A57</f>
        <v>Zonal to DHP No Screen HZ2CZ1</v>
      </c>
      <c r="C32" s="24" t="str">
        <f>Raw!B57</f>
        <v>Heating Savings</v>
      </c>
      <c r="D32" s="24">
        <f>Raw!C57</f>
        <v>2340.8526501212446</v>
      </c>
      <c r="E32" s="24">
        <f>Raw!D57</f>
        <v>15</v>
      </c>
      <c r="F32" s="44">
        <f>Raw!E57*$B$4</f>
        <v>3715.1842041586474</v>
      </c>
      <c r="G32" s="24">
        <f>Raw!F57</f>
        <v>0</v>
      </c>
      <c r="H32" s="24" t="str">
        <f>Raw!G57</f>
        <v>R-All-HVAC-ERconvertDHP-HZ2-All-N</v>
      </c>
      <c r="I32" s="24">
        <f>Raw!H57</f>
        <v>20.734656195868322</v>
      </c>
      <c r="J32" s="24">
        <f>Raw!I57</f>
        <v>0</v>
      </c>
      <c r="K32" s="24">
        <f>Raw!J57</f>
        <v>0</v>
      </c>
      <c r="L32" s="24">
        <f>Raw!K57</f>
        <v>0</v>
      </c>
      <c r="M32" s="24">
        <f>Raw!L57</f>
        <v>0</v>
      </c>
      <c r="N32" s="24">
        <f>Raw!M57</f>
        <v>0</v>
      </c>
      <c r="O32" s="24">
        <f>Raw!N57</f>
        <v>0</v>
      </c>
      <c r="P32" s="24">
        <f>Raw!O57</f>
        <v>0</v>
      </c>
      <c r="Q32" s="24">
        <f>Raw!P57</f>
        <v>0</v>
      </c>
    </row>
    <row r="33" spans="1:17">
      <c r="A33" t="str">
        <f t="shared" si="0"/>
        <v>Zonal to DHP No Screen HZ3CZ1Heating Savings</v>
      </c>
      <c r="B33" s="24" t="str">
        <f>Raw!A58</f>
        <v>Zonal to DHP No Screen HZ3CZ1</v>
      </c>
      <c r="C33" s="24" t="str">
        <f>Raw!B58</f>
        <v>Heating Savings</v>
      </c>
      <c r="D33" s="24">
        <f>Raw!C58</f>
        <v>1516.8330854793242</v>
      </c>
      <c r="E33" s="24">
        <f>Raw!D58</f>
        <v>15</v>
      </c>
      <c r="F33" s="44">
        <f>Raw!E58*$B$4</f>
        <v>3495.9168485681644</v>
      </c>
      <c r="G33" s="24">
        <f>Raw!F58</f>
        <v>0</v>
      </c>
      <c r="H33" s="24" t="str">
        <f>Raw!G58</f>
        <v>R-All-HVAC-ERconvertDHP-HZ3-All-N</v>
      </c>
      <c r="I33" s="24">
        <f>Raw!H58</f>
        <v>64.293352560997064</v>
      </c>
      <c r="J33" s="24">
        <f>Raw!I58</f>
        <v>0</v>
      </c>
      <c r="K33" s="24">
        <f>Raw!J58</f>
        <v>0</v>
      </c>
      <c r="L33" s="24">
        <f>Raw!K58</f>
        <v>0</v>
      </c>
      <c r="M33" s="24">
        <f>Raw!L58</f>
        <v>0</v>
      </c>
      <c r="N33" s="24">
        <f>Raw!M58</f>
        <v>0</v>
      </c>
      <c r="O33" s="24">
        <f>Raw!N58</f>
        <v>0</v>
      </c>
      <c r="P33" s="24">
        <f>Raw!O58</f>
        <v>0</v>
      </c>
      <c r="Q33" s="24">
        <f>Raw!P58</f>
        <v>0</v>
      </c>
    </row>
    <row r="34" spans="1:17">
      <c r="A34" t="str">
        <f t="shared" si="0"/>
        <v>Zonal to DHP No Screen HZ1CZ2Heating Savings</v>
      </c>
      <c r="B34" s="24" t="str">
        <f>Raw!A59</f>
        <v>Zonal to DHP No Screen HZ1CZ2</v>
      </c>
      <c r="C34" s="24" t="str">
        <f>Raw!B59</f>
        <v>Heating Savings</v>
      </c>
      <c r="D34" s="24">
        <f>Raw!C59</f>
        <v>2240.0588630952484</v>
      </c>
      <c r="E34" s="24">
        <f>Raw!D59</f>
        <v>15</v>
      </c>
      <c r="F34" s="44">
        <f>Raw!E59*$B$4</f>
        <v>3718.6976796488043</v>
      </c>
      <c r="G34" s="24">
        <f>Raw!F59</f>
        <v>0</v>
      </c>
      <c r="H34" s="24" t="str">
        <f>Raw!G59</f>
        <v>R-All-HVAC-ERconvertDHP-HZ1-All-N</v>
      </c>
      <c r="I34" s="24">
        <f>Raw!H59</f>
        <v>26.167052040603416</v>
      </c>
      <c r="J34" s="24">
        <f>Raw!I59</f>
        <v>0</v>
      </c>
      <c r="K34" s="24">
        <f>Raw!J59</f>
        <v>0</v>
      </c>
      <c r="L34" s="24">
        <f>Raw!K59</f>
        <v>0</v>
      </c>
      <c r="M34" s="24">
        <f>Raw!L59</f>
        <v>0</v>
      </c>
      <c r="N34" s="24">
        <f>Raw!M59</f>
        <v>0</v>
      </c>
      <c r="O34" s="24">
        <f>Raw!N59</f>
        <v>0</v>
      </c>
      <c r="P34" s="24">
        <f>Raw!O59</f>
        <v>0</v>
      </c>
      <c r="Q34" s="24">
        <f>Raw!P59</f>
        <v>0</v>
      </c>
    </row>
    <row r="35" spans="1:17">
      <c r="A35" t="str">
        <f t="shared" si="0"/>
        <v>Zonal to DHP No Screen HZ2CZ2Heating Savings</v>
      </c>
      <c r="B35" s="24" t="str">
        <f>Raw!A60</f>
        <v>Zonal to DHP No Screen HZ2CZ2</v>
      </c>
      <c r="C35" s="24" t="str">
        <f>Raw!B60</f>
        <v>Heating Savings</v>
      </c>
      <c r="D35" s="24">
        <f>Raw!C60</f>
        <v>2340.8526501212446</v>
      </c>
      <c r="E35" s="24">
        <f>Raw!D60</f>
        <v>15</v>
      </c>
      <c r="F35" s="44">
        <f>Raw!E60*$B$4</f>
        <v>3518.9893839466745</v>
      </c>
      <c r="G35" s="24">
        <f>Raw!F60</f>
        <v>0</v>
      </c>
      <c r="H35" s="24" t="str">
        <f>Raw!G60</f>
        <v>R-All-HVAC-ERconvertDHP-HZ2-All-N</v>
      </c>
      <c r="I35" s="24">
        <f>Raw!H60</f>
        <v>20.734656195868322</v>
      </c>
      <c r="J35" s="24">
        <f>Raw!I60</f>
        <v>0</v>
      </c>
      <c r="K35" s="24">
        <f>Raw!J60</f>
        <v>0</v>
      </c>
      <c r="L35" s="24">
        <f>Raw!K60</f>
        <v>0</v>
      </c>
      <c r="M35" s="24">
        <f>Raw!L60</f>
        <v>0</v>
      </c>
      <c r="N35" s="24">
        <f>Raw!M60</f>
        <v>0</v>
      </c>
      <c r="O35" s="24">
        <f>Raw!N60</f>
        <v>0</v>
      </c>
      <c r="P35" s="24">
        <f>Raw!O60</f>
        <v>0</v>
      </c>
      <c r="Q35" s="24">
        <f>Raw!P60</f>
        <v>0</v>
      </c>
    </row>
    <row r="36" spans="1:17">
      <c r="A36" t="str">
        <f t="shared" si="0"/>
        <v>Zonal to DHP No Screen HZ3CZ2Heating Savings</v>
      </c>
      <c r="B36" s="24" t="str">
        <f>Raw!A61</f>
        <v>Zonal to DHP No Screen HZ3CZ2</v>
      </c>
      <c r="C36" s="24" t="str">
        <f>Raw!B61</f>
        <v>Heating Savings</v>
      </c>
      <c r="D36" s="24">
        <f>Raw!C61</f>
        <v>1516.8330854793242</v>
      </c>
      <c r="E36" s="24">
        <f>Raw!D61</f>
        <v>15</v>
      </c>
      <c r="F36" s="44">
        <f>Raw!E61*$B$4</f>
        <v>3299.7220283561915</v>
      </c>
      <c r="G36" s="24">
        <f>Raw!F61</f>
        <v>0</v>
      </c>
      <c r="H36" s="24" t="str">
        <f>Raw!G61</f>
        <v>R-All-HVAC-ERconvertDHP-HZ3-All-N</v>
      </c>
      <c r="I36" s="24">
        <f>Raw!H61</f>
        <v>64.293352560997064</v>
      </c>
      <c r="J36" s="24">
        <f>Raw!I61</f>
        <v>0</v>
      </c>
      <c r="K36" s="24">
        <f>Raw!J61</f>
        <v>0</v>
      </c>
      <c r="L36" s="24">
        <f>Raw!K61</f>
        <v>0</v>
      </c>
      <c r="M36" s="24">
        <f>Raw!L61</f>
        <v>0</v>
      </c>
      <c r="N36" s="24">
        <f>Raw!M61</f>
        <v>0</v>
      </c>
      <c r="O36" s="24">
        <f>Raw!N61</f>
        <v>0</v>
      </c>
      <c r="P36" s="24">
        <f>Raw!O61</f>
        <v>0</v>
      </c>
      <c r="Q36" s="24">
        <f>Raw!P61</f>
        <v>0</v>
      </c>
    </row>
    <row r="37" spans="1:17">
      <c r="A37" t="str">
        <f t="shared" si="0"/>
        <v>Zonal to DHP No Screen HZ1CZ3Heating Savings</v>
      </c>
      <c r="B37" s="24" t="str">
        <f>Raw!A62</f>
        <v>Zonal to DHP No Screen HZ1CZ3</v>
      </c>
      <c r="C37" s="24" t="str">
        <f>Raw!B62</f>
        <v>Heating Savings</v>
      </c>
      <c r="D37" s="24">
        <f>Raw!C62</f>
        <v>2240.0588630952484</v>
      </c>
      <c r="E37" s="24">
        <f>Raw!D62</f>
        <v>15</v>
      </c>
      <c r="F37" s="44">
        <f>Raw!E62*$B$4</f>
        <v>3531.9544461546802</v>
      </c>
      <c r="G37" s="24">
        <f>Raw!F62</f>
        <v>0</v>
      </c>
      <c r="H37" s="24" t="str">
        <f>Raw!G62</f>
        <v>R-All-HVAC-ERconvertDHP-HZ1-All-N</v>
      </c>
      <c r="I37" s="24">
        <f>Raw!H62</f>
        <v>26.167052040603416</v>
      </c>
      <c r="J37" s="24">
        <f>Raw!I62</f>
        <v>0</v>
      </c>
      <c r="K37" s="24">
        <f>Raw!J62</f>
        <v>0</v>
      </c>
      <c r="L37" s="24">
        <f>Raw!K62</f>
        <v>0</v>
      </c>
      <c r="M37" s="24">
        <f>Raw!L62</f>
        <v>0</v>
      </c>
      <c r="N37" s="24">
        <f>Raw!M62</f>
        <v>0</v>
      </c>
      <c r="O37" s="24">
        <f>Raw!N62</f>
        <v>0</v>
      </c>
      <c r="P37" s="24">
        <f>Raw!O62</f>
        <v>0</v>
      </c>
      <c r="Q37" s="24">
        <f>Raw!P62</f>
        <v>0</v>
      </c>
    </row>
    <row r="38" spans="1:17">
      <c r="A38" t="str">
        <f t="shared" si="0"/>
        <v>Zonal to DHP No Screen HZ2CZ3Heating Savings</v>
      </c>
      <c r="B38" s="24" t="str">
        <f>Raw!A63</f>
        <v>Zonal to DHP No Screen HZ2CZ3</v>
      </c>
      <c r="C38" s="24" t="str">
        <f>Raw!B63</f>
        <v>Heating Savings</v>
      </c>
      <c r="D38" s="24">
        <f>Raw!C63</f>
        <v>2340.8526501212446</v>
      </c>
      <c r="E38" s="24">
        <f>Raw!D63</f>
        <v>15</v>
      </c>
      <c r="F38" s="44">
        <f>Raw!E63*$B$4</f>
        <v>3332.2461504525504</v>
      </c>
      <c r="G38" s="24">
        <f>Raw!F63</f>
        <v>0</v>
      </c>
      <c r="H38" s="24" t="str">
        <f>Raw!G63</f>
        <v>R-All-HVAC-ERconvertDHP-HZ2-All-N</v>
      </c>
      <c r="I38" s="24">
        <f>Raw!H63</f>
        <v>20.734656195868322</v>
      </c>
      <c r="J38" s="24">
        <f>Raw!I63</f>
        <v>0</v>
      </c>
      <c r="K38" s="24">
        <f>Raw!J63</f>
        <v>0</v>
      </c>
      <c r="L38" s="24">
        <f>Raw!K63</f>
        <v>0</v>
      </c>
      <c r="M38" s="24">
        <f>Raw!L63</f>
        <v>0</v>
      </c>
      <c r="N38" s="24">
        <f>Raw!M63</f>
        <v>0</v>
      </c>
      <c r="O38" s="24">
        <f>Raw!N63</f>
        <v>0</v>
      </c>
      <c r="P38" s="24">
        <f>Raw!O63</f>
        <v>0</v>
      </c>
      <c r="Q38" s="24">
        <f>Raw!P63</f>
        <v>0</v>
      </c>
    </row>
    <row r="39" spans="1:17">
      <c r="A39" t="str">
        <f t="shared" si="0"/>
        <v>Zonal to DHP No Screen HZ3CZ3Heating Savings</v>
      </c>
      <c r="B39" s="24" t="str">
        <f>Raw!A64</f>
        <v>Zonal to DHP No Screen HZ3CZ3</v>
      </c>
      <c r="C39" s="24" t="str">
        <f>Raw!B64</f>
        <v>Heating Savings</v>
      </c>
      <c r="D39" s="24">
        <f>Raw!C64</f>
        <v>1516.8330854793242</v>
      </c>
      <c r="E39" s="24">
        <f>Raw!D64</f>
        <v>15</v>
      </c>
      <c r="F39" s="44">
        <f>Raw!E64*$B$4</f>
        <v>3112.9787948620678</v>
      </c>
      <c r="G39" s="24">
        <f>Raw!F64</f>
        <v>0</v>
      </c>
      <c r="H39" s="24" t="str">
        <f>Raw!G64</f>
        <v>R-All-HVAC-ERconvertDHP-HZ3-All-N</v>
      </c>
      <c r="I39" s="24">
        <f>Raw!H64</f>
        <v>64.293352560997064</v>
      </c>
      <c r="J39" s="24">
        <f>Raw!I64</f>
        <v>0</v>
      </c>
      <c r="K39" s="24">
        <f>Raw!J64</f>
        <v>0</v>
      </c>
      <c r="L39" s="24">
        <f>Raw!K64</f>
        <v>0</v>
      </c>
      <c r="M39" s="24">
        <f>Raw!L64</f>
        <v>0</v>
      </c>
      <c r="N39" s="24">
        <f>Raw!M64</f>
        <v>0</v>
      </c>
      <c r="O39" s="24">
        <f>Raw!N64</f>
        <v>0</v>
      </c>
      <c r="P39" s="24">
        <f>Raw!O64</f>
        <v>0</v>
      </c>
      <c r="Q39" s="24">
        <f>Raw!P64</f>
        <v>0</v>
      </c>
    </row>
    <row r="40" spans="1:17" ht="25.5">
      <c r="A40" t="str">
        <f t="shared" si="0"/>
        <v>Existing Single Family Home HVAC Conversion - Convert FAF w/CAC to Heat Pump - House with "Good Insulation" - Heating Zone 1Cooling Savings</v>
      </c>
      <c r="B40" s="24" t="str">
        <f>Raw!A65</f>
        <v>Existing Single Family Home HVAC Conversion - Convert FAF w/CAC to Heat Pump - House with "Good Insulation" - Heating Zone 1</v>
      </c>
      <c r="C40" s="24" t="str">
        <f>Raw!B65</f>
        <v>Cooling Savings</v>
      </c>
      <c r="D40" s="24">
        <f>Raw!C65</f>
        <v>0</v>
      </c>
      <c r="E40" s="24">
        <f>Raw!D65</f>
        <v>15</v>
      </c>
      <c r="F40" s="44">
        <f>Raw!E65*$B$4</f>
        <v>0</v>
      </c>
      <c r="G40" s="24">
        <f>Raw!F65</f>
        <v>0</v>
      </c>
      <c r="H40" s="24" t="str">
        <f>Raw!G65</f>
        <v>ResCACZ1</v>
      </c>
      <c r="I40" s="24">
        <f>Raw!H65</f>
        <v>0</v>
      </c>
      <c r="J40" s="24">
        <f>Raw!I65</f>
        <v>0</v>
      </c>
      <c r="K40" s="24">
        <f>Raw!J65</f>
        <v>0</v>
      </c>
      <c r="L40" s="24">
        <f>Raw!K65</f>
        <v>0</v>
      </c>
      <c r="M40" s="24">
        <f>Raw!L65</f>
        <v>0</v>
      </c>
      <c r="N40" s="24">
        <f>Raw!M65</f>
        <v>0</v>
      </c>
      <c r="O40" s="24">
        <f>Raw!N65</f>
        <v>0</v>
      </c>
      <c r="P40" s="24">
        <f>Raw!O65</f>
        <v>0</v>
      </c>
      <c r="Q40" s="24">
        <f>Raw!P65</f>
        <v>0</v>
      </c>
    </row>
    <row r="41" spans="1:17" ht="25.5">
      <c r="A41" t="str">
        <f t="shared" si="0"/>
        <v>Existing Single Family Home HVAC Conversion - Convert FAF w/CAC to Heat Pump - House with "Good Insulation" - Heating Zone 2Cooling Savings</v>
      </c>
      <c r="B41" s="24" t="str">
        <f>Raw!A66</f>
        <v>Existing Single Family Home HVAC Conversion - Convert FAF w/CAC to Heat Pump - House with "Good Insulation" - Heating Zone 2</v>
      </c>
      <c r="C41" s="24" t="str">
        <f>Raw!B66</f>
        <v>Cooling Savings</v>
      </c>
      <c r="D41" s="24">
        <f>Raw!C66</f>
        <v>0</v>
      </c>
      <c r="E41" s="24">
        <f>Raw!D66</f>
        <v>15</v>
      </c>
      <c r="F41" s="44">
        <f>Raw!E66*$B$4</f>
        <v>0</v>
      </c>
      <c r="G41" s="24">
        <f>Raw!F66</f>
        <v>0</v>
      </c>
      <c r="H41" s="24" t="str">
        <f>Raw!G66</f>
        <v>ResCACZ2</v>
      </c>
      <c r="I41" s="24">
        <f>Raw!H66</f>
        <v>0</v>
      </c>
      <c r="J41" s="24">
        <f>Raw!I66</f>
        <v>0</v>
      </c>
      <c r="K41" s="24">
        <f>Raw!J66</f>
        <v>0</v>
      </c>
      <c r="L41" s="24">
        <f>Raw!K66</f>
        <v>0</v>
      </c>
      <c r="M41" s="24">
        <f>Raw!L66</f>
        <v>0</v>
      </c>
      <c r="N41" s="24">
        <f>Raw!M66</f>
        <v>0</v>
      </c>
      <c r="O41" s="24">
        <f>Raw!N66</f>
        <v>0</v>
      </c>
      <c r="P41" s="24">
        <f>Raw!O66</f>
        <v>0</v>
      </c>
      <c r="Q41" s="24">
        <f>Raw!P66</f>
        <v>0</v>
      </c>
    </row>
    <row r="42" spans="1:17" ht="25.5">
      <c r="A42" t="str">
        <f t="shared" si="0"/>
        <v>Existing Single Family Home HVAC Conversion - Convert FAF w/CAC to Heat Pump - House with "Good Insulation" - Heating Zone 3Cooling Savings</v>
      </c>
      <c r="B42" s="24" t="str">
        <f>Raw!A67</f>
        <v>Existing Single Family Home HVAC Conversion - Convert FAF w/CAC to Heat Pump - House with "Good Insulation" - Heating Zone 3</v>
      </c>
      <c r="C42" s="24" t="str">
        <f>Raw!B67</f>
        <v>Cooling Savings</v>
      </c>
      <c r="D42" s="24">
        <f>Raw!C67</f>
        <v>0</v>
      </c>
      <c r="E42" s="24">
        <f>Raw!D67</f>
        <v>15</v>
      </c>
      <c r="F42" s="44">
        <f>Raw!E67*$B$4</f>
        <v>0</v>
      </c>
      <c r="G42" s="24">
        <f>Raw!F67</f>
        <v>0</v>
      </c>
      <c r="H42" s="24" t="str">
        <f>Raw!G67</f>
        <v>ResCACZ3</v>
      </c>
      <c r="I42" s="24">
        <f>Raw!H67</f>
        <v>0</v>
      </c>
      <c r="J42" s="24">
        <f>Raw!I67</f>
        <v>0</v>
      </c>
      <c r="K42" s="24">
        <f>Raw!J67</f>
        <v>0</v>
      </c>
      <c r="L42" s="24">
        <f>Raw!K67</f>
        <v>0</v>
      </c>
      <c r="M42" s="24">
        <f>Raw!L67</f>
        <v>0</v>
      </c>
      <c r="N42" s="24">
        <f>Raw!M67</f>
        <v>0</v>
      </c>
      <c r="O42" s="24">
        <f>Raw!N67</f>
        <v>0</v>
      </c>
      <c r="P42" s="24">
        <f>Raw!O67</f>
        <v>0</v>
      </c>
      <c r="Q42" s="24">
        <f>Raw!P67</f>
        <v>0</v>
      </c>
    </row>
    <row r="43" spans="1:17" ht="25.5">
      <c r="A43" t="str">
        <f t="shared" ref="A43:A72" si="1">B43&amp;C43</f>
        <v>Existing Single Family Home HVAC Conversion - Convert FAF w/o CAC to Heat Pump - House with "Good Insulation" - Heating Zone 1 - Cooling Zone 1Cooling Savings</v>
      </c>
      <c r="B43" s="24" t="str">
        <f>Raw!A74</f>
        <v>Existing Single Family Home HVAC Conversion - Convert FAF w/o CAC to Heat Pump - House with "Good Insulation" - Heating Zone 1 - Cooling Zone 1</v>
      </c>
      <c r="C43" s="24" t="str">
        <f>Raw!B74</f>
        <v>Cooling Savings</v>
      </c>
      <c r="D43" s="24">
        <f>Raw!C74</f>
        <v>-137.82461431953399</v>
      </c>
      <c r="E43" s="24">
        <f>Raw!D74</f>
        <v>15</v>
      </c>
      <c r="F43" s="44">
        <f>Raw!E74*$B$4</f>
        <v>0</v>
      </c>
      <c r="G43" s="24">
        <f>Raw!F74</f>
        <v>0</v>
      </c>
      <c r="H43" s="24" t="str">
        <f>Raw!G74</f>
        <v>ResCACZ1</v>
      </c>
      <c r="I43" s="24">
        <f>Raw!H74</f>
        <v>11.217675837393347</v>
      </c>
      <c r="J43" s="24">
        <f>Raw!I74</f>
        <v>0</v>
      </c>
      <c r="K43" s="24">
        <f>Raw!J74</f>
        <v>0</v>
      </c>
      <c r="L43" s="24">
        <f>Raw!K74</f>
        <v>0</v>
      </c>
      <c r="M43" s="24">
        <f>Raw!L74</f>
        <v>0</v>
      </c>
      <c r="N43" s="24">
        <f>Raw!M74</f>
        <v>0</v>
      </c>
      <c r="O43" s="24">
        <f>Raw!N74</f>
        <v>0</v>
      </c>
      <c r="P43" s="24">
        <f>Raw!O74</f>
        <v>0</v>
      </c>
      <c r="Q43" s="24">
        <f>Raw!P74</f>
        <v>0</v>
      </c>
    </row>
    <row r="44" spans="1:17" ht="25.5">
      <c r="A44" t="str">
        <f t="shared" si="1"/>
        <v>Existing Single Family Home HVAC Conversion - Convert FAF w/o CAC to Heat Pump - House with "Good Insulation" - Heating Zone 1 - Cooling Zone 2Cooling Savings</v>
      </c>
      <c r="B44" s="24" t="str">
        <f>Raw!A75</f>
        <v>Existing Single Family Home HVAC Conversion - Convert FAF w/o CAC to Heat Pump - House with "Good Insulation" - Heating Zone 1 - Cooling Zone 2</v>
      </c>
      <c r="C44" s="24" t="str">
        <f>Raw!B75</f>
        <v>Cooling Savings</v>
      </c>
      <c r="D44" s="24">
        <f>Raw!C75</f>
        <v>-113.30920271946417</v>
      </c>
      <c r="E44" s="24">
        <f>Raw!D75</f>
        <v>15</v>
      </c>
      <c r="F44" s="44">
        <f>Raw!E75*$B$4</f>
        <v>0</v>
      </c>
      <c r="G44" s="24">
        <f>Raw!F75</f>
        <v>0</v>
      </c>
      <c r="H44" s="24" t="str">
        <f>Raw!G75</f>
        <v>ResCACZ2</v>
      </c>
      <c r="I44" s="24">
        <f>Raw!H75</f>
        <v>9.2223432786366129</v>
      </c>
      <c r="J44" s="24">
        <f>Raw!I75</f>
        <v>0</v>
      </c>
      <c r="K44" s="24">
        <f>Raw!J75</f>
        <v>0</v>
      </c>
      <c r="L44" s="24">
        <f>Raw!K75</f>
        <v>0</v>
      </c>
      <c r="M44" s="24">
        <f>Raw!L75</f>
        <v>0</v>
      </c>
      <c r="N44" s="24">
        <f>Raw!M75</f>
        <v>0</v>
      </c>
      <c r="O44" s="24">
        <f>Raw!N75</f>
        <v>0</v>
      </c>
      <c r="P44" s="24">
        <f>Raw!O75</f>
        <v>0</v>
      </c>
      <c r="Q44" s="24">
        <f>Raw!P75</f>
        <v>0</v>
      </c>
    </row>
    <row r="45" spans="1:17" ht="25.5">
      <c r="A45" t="str">
        <f t="shared" si="1"/>
        <v>Existing Single Family Home HVAC Conversion - Convert FAF w/o CAC to Heat Pump - House with "Good Insulation" - Heating Zone 1 - Cooling Zone 3Cooling Savings</v>
      </c>
      <c r="B45" s="24" t="str">
        <f>Raw!A76</f>
        <v>Existing Single Family Home HVAC Conversion - Convert FAF w/o CAC to Heat Pump - House with "Good Insulation" - Heating Zone 1 - Cooling Zone 3</v>
      </c>
      <c r="C45" s="24" t="str">
        <f>Raw!B76</f>
        <v>Cooling Savings</v>
      </c>
      <c r="D45" s="24">
        <f>Raw!C76</f>
        <v>0</v>
      </c>
      <c r="E45" s="24">
        <f>Raw!D76</f>
        <v>15</v>
      </c>
      <c r="F45" s="44">
        <f>Raw!E76*$B$4</f>
        <v>0</v>
      </c>
      <c r="G45" s="24">
        <f>Raw!F76</f>
        <v>0</v>
      </c>
      <c r="H45" s="24" t="str">
        <f>Raw!G76</f>
        <v>ResCACZ3</v>
      </c>
      <c r="I45" s="24">
        <f>Raw!H76</f>
        <v>0</v>
      </c>
      <c r="J45" s="24">
        <f>Raw!I76</f>
        <v>0</v>
      </c>
      <c r="K45" s="24">
        <f>Raw!J76</f>
        <v>0</v>
      </c>
      <c r="L45" s="24">
        <f>Raw!K76</f>
        <v>0</v>
      </c>
      <c r="M45" s="24">
        <f>Raw!L76</f>
        <v>0</v>
      </c>
      <c r="N45" s="24">
        <f>Raw!M76</f>
        <v>0</v>
      </c>
      <c r="O45" s="24">
        <f>Raw!N76</f>
        <v>0</v>
      </c>
      <c r="P45" s="24">
        <f>Raw!O76</f>
        <v>0</v>
      </c>
      <c r="Q45" s="24">
        <f>Raw!P76</f>
        <v>0</v>
      </c>
    </row>
    <row r="46" spans="1:17" ht="25.5">
      <c r="A46" t="str">
        <f t="shared" si="1"/>
        <v>Existing Single Family Home HVAC Conversion - Convert FAF w/o CAC to Heat Pump - House with "Good Insulation" - Heating Zone 2 - Cooling Zone 1Cooling Savings</v>
      </c>
      <c r="B46" s="24" t="str">
        <f>Raw!A77</f>
        <v>Existing Single Family Home HVAC Conversion - Convert FAF w/o CAC to Heat Pump - House with "Good Insulation" - Heating Zone 2 - Cooling Zone 1</v>
      </c>
      <c r="C46" s="24" t="str">
        <f>Raw!B77</f>
        <v>Cooling Savings</v>
      </c>
      <c r="D46" s="24">
        <f>Raw!C77</f>
        <v>-137.82461431953399</v>
      </c>
      <c r="E46" s="24">
        <f>Raw!D77</f>
        <v>15</v>
      </c>
      <c r="F46" s="44">
        <f>Raw!E77*$B$4</f>
        <v>0</v>
      </c>
      <c r="G46" s="24">
        <f>Raw!F77</f>
        <v>0</v>
      </c>
      <c r="H46" s="24" t="str">
        <f>Raw!G77</f>
        <v>ResCACZ1</v>
      </c>
      <c r="I46" s="24">
        <f>Raw!H77</f>
        <v>11.217675837393347</v>
      </c>
      <c r="J46" s="24">
        <f>Raw!I77</f>
        <v>0</v>
      </c>
      <c r="K46" s="24">
        <f>Raw!J77</f>
        <v>0</v>
      </c>
      <c r="L46" s="24">
        <f>Raw!K77</f>
        <v>0</v>
      </c>
      <c r="M46" s="24">
        <f>Raw!L77</f>
        <v>0</v>
      </c>
      <c r="N46" s="24">
        <f>Raw!M77</f>
        <v>0</v>
      </c>
      <c r="O46" s="24">
        <f>Raw!N77</f>
        <v>0</v>
      </c>
      <c r="P46" s="24">
        <f>Raw!O77</f>
        <v>0</v>
      </c>
      <c r="Q46" s="24">
        <f>Raw!P77</f>
        <v>0</v>
      </c>
    </row>
    <row r="47" spans="1:17" ht="25.5">
      <c r="A47" t="str">
        <f t="shared" si="1"/>
        <v>Existing Single Family Home HVAC Conversion - Convert FAF w/o CAC to Heat Pump - House with "Good Insulation" - Heating Zone 2 - Cooling Zone 2Cooling Savings</v>
      </c>
      <c r="B47" s="24" t="str">
        <f>Raw!A78</f>
        <v>Existing Single Family Home HVAC Conversion - Convert FAF w/o CAC to Heat Pump - House with "Good Insulation" - Heating Zone 2 - Cooling Zone 2</v>
      </c>
      <c r="C47" s="24" t="str">
        <f>Raw!B78</f>
        <v>Cooling Savings</v>
      </c>
      <c r="D47" s="24">
        <f>Raw!C78</f>
        <v>-113.30920271946417</v>
      </c>
      <c r="E47" s="24">
        <f>Raw!D78</f>
        <v>15</v>
      </c>
      <c r="F47" s="44">
        <f>Raw!E78*$B$4</f>
        <v>0</v>
      </c>
      <c r="G47" s="24">
        <f>Raw!F78</f>
        <v>0</v>
      </c>
      <c r="H47" s="24" t="str">
        <f>Raw!G78</f>
        <v>ResCACZ2</v>
      </c>
      <c r="I47" s="24">
        <f>Raw!H78</f>
        <v>9.2223432786366129</v>
      </c>
      <c r="J47" s="24">
        <f>Raw!I78</f>
        <v>0</v>
      </c>
      <c r="K47" s="24">
        <f>Raw!J78</f>
        <v>0</v>
      </c>
      <c r="L47" s="24">
        <f>Raw!K78</f>
        <v>0</v>
      </c>
      <c r="M47" s="24">
        <f>Raw!L78</f>
        <v>0</v>
      </c>
      <c r="N47" s="24">
        <f>Raw!M78</f>
        <v>0</v>
      </c>
      <c r="O47" s="24">
        <f>Raw!N78</f>
        <v>0</v>
      </c>
      <c r="P47" s="24">
        <f>Raw!O78</f>
        <v>0</v>
      </c>
      <c r="Q47" s="24">
        <f>Raw!P78</f>
        <v>0</v>
      </c>
    </row>
    <row r="48" spans="1:17" ht="25.5">
      <c r="A48" t="str">
        <f t="shared" si="1"/>
        <v>Existing Single Family Home HVAC Conversion - Convert FAF w/o CAC to Heat Pump - House with "Good Insulation" - Heating Zone 2 - Cooling Zone 3Cooling Savings</v>
      </c>
      <c r="B48" s="24" t="str">
        <f>Raw!A79</f>
        <v>Existing Single Family Home HVAC Conversion - Convert FAF w/o CAC to Heat Pump - House with "Good Insulation" - Heating Zone 2 - Cooling Zone 3</v>
      </c>
      <c r="C48" s="24" t="str">
        <f>Raw!B79</f>
        <v>Cooling Savings</v>
      </c>
      <c r="D48" s="24">
        <f>Raw!C79</f>
        <v>0</v>
      </c>
      <c r="E48" s="24">
        <f>Raw!D79</f>
        <v>15</v>
      </c>
      <c r="F48" s="44">
        <f>Raw!E79*$B$4</f>
        <v>0</v>
      </c>
      <c r="G48" s="24">
        <f>Raw!F79</f>
        <v>0</v>
      </c>
      <c r="H48" s="24" t="str">
        <f>Raw!G79</f>
        <v>ResCACZ3</v>
      </c>
      <c r="I48" s="24">
        <f>Raw!H79</f>
        <v>0</v>
      </c>
      <c r="J48" s="24">
        <f>Raw!I79</f>
        <v>0</v>
      </c>
      <c r="K48" s="24">
        <f>Raw!J79</f>
        <v>0</v>
      </c>
      <c r="L48" s="24">
        <f>Raw!K79</f>
        <v>0</v>
      </c>
      <c r="M48" s="24">
        <f>Raw!L79</f>
        <v>0</v>
      </c>
      <c r="N48" s="24">
        <f>Raw!M79</f>
        <v>0</v>
      </c>
      <c r="O48" s="24">
        <f>Raw!N79</f>
        <v>0</v>
      </c>
      <c r="P48" s="24">
        <f>Raw!O79</f>
        <v>0</v>
      </c>
      <c r="Q48" s="24">
        <f>Raw!P79</f>
        <v>0</v>
      </c>
    </row>
    <row r="49" spans="1:17" ht="25.5">
      <c r="A49" t="str">
        <f t="shared" si="1"/>
        <v>Existing Single Family Home HVAC Conversion - Convert FAF w/o CAC to Heat Pump - House with "Good Insulation" - Heating Zone 3 - Cooling Zone 1Cooling Savings</v>
      </c>
      <c r="B49" s="24" t="str">
        <f>Raw!A80</f>
        <v>Existing Single Family Home HVAC Conversion - Convert FAF w/o CAC to Heat Pump - House with "Good Insulation" - Heating Zone 3 - Cooling Zone 1</v>
      </c>
      <c r="C49" s="24" t="str">
        <f>Raw!B80</f>
        <v>Cooling Savings</v>
      </c>
      <c r="D49" s="24">
        <f>Raw!C80</f>
        <v>-137.82461431953399</v>
      </c>
      <c r="E49" s="24">
        <f>Raw!D80</f>
        <v>15</v>
      </c>
      <c r="F49" s="44">
        <f>Raw!E80*$B$4</f>
        <v>0</v>
      </c>
      <c r="G49" s="24">
        <f>Raw!F80</f>
        <v>0</v>
      </c>
      <c r="H49" s="24" t="str">
        <f>Raw!G80</f>
        <v>ResCACZ1</v>
      </c>
      <c r="I49" s="24">
        <f>Raw!H80</f>
        <v>11.217675837393347</v>
      </c>
      <c r="J49" s="24">
        <f>Raw!I80</f>
        <v>0</v>
      </c>
      <c r="K49" s="24">
        <f>Raw!J80</f>
        <v>0</v>
      </c>
      <c r="L49" s="24">
        <f>Raw!K80</f>
        <v>0</v>
      </c>
      <c r="M49" s="24">
        <f>Raw!L80</f>
        <v>0</v>
      </c>
      <c r="N49" s="24">
        <f>Raw!M80</f>
        <v>0</v>
      </c>
      <c r="O49" s="24">
        <f>Raw!N80</f>
        <v>0</v>
      </c>
      <c r="P49" s="24">
        <f>Raw!O80</f>
        <v>0</v>
      </c>
      <c r="Q49" s="24">
        <f>Raw!P80</f>
        <v>0</v>
      </c>
    </row>
    <row r="50" spans="1:17" ht="25.5">
      <c r="A50" t="str">
        <f t="shared" si="1"/>
        <v>Existing Single Family Home HVAC Conversion - Convert FAF w/o CAC to Heat Pump - House with "Good Insulation" - Heating Zone 3 - Cooling Zone 2Cooling Savings</v>
      </c>
      <c r="B50" s="24" t="str">
        <f>Raw!A81</f>
        <v>Existing Single Family Home HVAC Conversion - Convert FAF w/o CAC to Heat Pump - House with "Good Insulation" - Heating Zone 3 - Cooling Zone 2</v>
      </c>
      <c r="C50" s="24" t="str">
        <f>Raw!B81</f>
        <v>Cooling Savings</v>
      </c>
      <c r="D50" s="24">
        <f>Raw!C81</f>
        <v>-113.30920271946417</v>
      </c>
      <c r="E50" s="24">
        <f>Raw!D81</f>
        <v>15</v>
      </c>
      <c r="F50" s="44">
        <f>Raw!E81*$B$4</f>
        <v>0</v>
      </c>
      <c r="G50" s="24">
        <f>Raw!F81</f>
        <v>0</v>
      </c>
      <c r="H50" s="24" t="str">
        <f>Raw!G81</f>
        <v>ResCACZ2</v>
      </c>
      <c r="I50" s="24">
        <f>Raw!H81</f>
        <v>9.2223432786366129</v>
      </c>
      <c r="J50" s="24">
        <f>Raw!I81</f>
        <v>0</v>
      </c>
      <c r="K50" s="24">
        <f>Raw!J81</f>
        <v>0</v>
      </c>
      <c r="L50" s="24">
        <f>Raw!K81</f>
        <v>0</v>
      </c>
      <c r="M50" s="24">
        <f>Raw!L81</f>
        <v>0</v>
      </c>
      <c r="N50" s="24">
        <f>Raw!M81</f>
        <v>0</v>
      </c>
      <c r="O50" s="24">
        <f>Raw!N81</f>
        <v>0</v>
      </c>
      <c r="P50" s="24">
        <f>Raw!O81</f>
        <v>0</v>
      </c>
      <c r="Q50" s="24">
        <f>Raw!P81</f>
        <v>0</v>
      </c>
    </row>
    <row r="51" spans="1:17" ht="25.5">
      <c r="A51" t="str">
        <f t="shared" si="1"/>
        <v>Existing Single Family Home HVAC Conversion - Convert FAF w/o CAC to Heat Pump - House with "Good Insulation" - Heating Zone 3 - Cooling Zone 3Cooling Savings</v>
      </c>
      <c r="B51" s="24" t="str">
        <f>Raw!A82</f>
        <v>Existing Single Family Home HVAC Conversion - Convert FAF w/o CAC to Heat Pump - House with "Good Insulation" - Heating Zone 3 - Cooling Zone 3</v>
      </c>
      <c r="C51" s="24" t="str">
        <f>Raw!B82</f>
        <v>Cooling Savings</v>
      </c>
      <c r="D51" s="24">
        <f>Raw!C82</f>
        <v>0</v>
      </c>
      <c r="E51" s="24">
        <f>Raw!D82</f>
        <v>15</v>
      </c>
      <c r="F51" s="44">
        <f>Raw!E82*$B$4</f>
        <v>0</v>
      </c>
      <c r="G51" s="24">
        <f>Raw!F82</f>
        <v>0</v>
      </c>
      <c r="H51" s="24" t="str">
        <f>Raw!G82</f>
        <v>ResCACZ3</v>
      </c>
      <c r="I51" s="24">
        <f>Raw!H82</f>
        <v>0</v>
      </c>
      <c r="J51" s="24">
        <f>Raw!I82</f>
        <v>0</v>
      </c>
      <c r="K51" s="24">
        <f>Raw!J82</f>
        <v>0</v>
      </c>
      <c r="L51" s="24">
        <f>Raw!K82</f>
        <v>0</v>
      </c>
      <c r="M51" s="24">
        <f>Raw!L82</f>
        <v>0</v>
      </c>
      <c r="N51" s="24">
        <f>Raw!M82</f>
        <v>0</v>
      </c>
      <c r="O51" s="24">
        <f>Raw!N82</f>
        <v>0</v>
      </c>
      <c r="P51" s="24">
        <f>Raw!O82</f>
        <v>0</v>
      </c>
      <c r="Q51" s="24">
        <f>Raw!P82</f>
        <v>0</v>
      </c>
    </row>
    <row r="52" spans="1:17" ht="25.5">
      <c r="A52" t="str">
        <f t="shared" si="1"/>
        <v>Existing Single Family Home HVAC Upgrade - Heat Pump Upgrade to 9.0 HSPF/14 SEER - Heating Zone 1Cooling Savings</v>
      </c>
      <c r="B52" s="24" t="str">
        <f>Raw!A101</f>
        <v>Existing Single Family Home HVAC Upgrade - Heat Pump Upgrade to 9.0 HSPF/14 SEER - Heating Zone 1</v>
      </c>
      <c r="C52" s="24" t="str">
        <f>Raw!B101</f>
        <v>Cooling Savings</v>
      </c>
      <c r="D52" s="24">
        <f>Raw!C101</f>
        <v>0</v>
      </c>
      <c r="E52" s="24">
        <f>Raw!D101</f>
        <v>15</v>
      </c>
      <c r="F52" s="44">
        <f>Raw!E101*$B$4</f>
        <v>0</v>
      </c>
      <c r="G52" s="24">
        <f>Raw!F101</f>
        <v>0</v>
      </c>
      <c r="H52" s="24" t="str">
        <f>Raw!G101</f>
        <v>ResCACZ1</v>
      </c>
      <c r="I52" s="24">
        <f>Raw!H101</f>
        <v>0</v>
      </c>
      <c r="J52" s="24">
        <f>Raw!I101</f>
        <v>0</v>
      </c>
      <c r="K52" s="24">
        <f>Raw!J101</f>
        <v>0</v>
      </c>
      <c r="L52" s="24">
        <f>Raw!K101</f>
        <v>0</v>
      </c>
      <c r="M52" s="24">
        <f>Raw!L101</f>
        <v>0</v>
      </c>
      <c r="N52" s="24">
        <f>Raw!M101</f>
        <v>0</v>
      </c>
      <c r="O52" s="24">
        <f>Raw!N101</f>
        <v>0</v>
      </c>
      <c r="P52" s="24">
        <f>Raw!O101</f>
        <v>0</v>
      </c>
      <c r="Q52" s="24">
        <f>Raw!P101</f>
        <v>0</v>
      </c>
    </row>
    <row r="53" spans="1:17" ht="25.5">
      <c r="A53" t="str">
        <f t="shared" si="1"/>
        <v>Existing Single Family Home HVAC Upgrade - Heat Pump Upgrade to 9.0 HSPF/14 SEER - Heating Zone 2Cooling Savings</v>
      </c>
      <c r="B53" s="24" t="str">
        <f>Raw!A102</f>
        <v>Existing Single Family Home HVAC Upgrade - Heat Pump Upgrade to 9.0 HSPF/14 SEER - Heating Zone 2</v>
      </c>
      <c r="C53" s="24" t="str">
        <f>Raw!B102</f>
        <v>Cooling Savings</v>
      </c>
      <c r="D53" s="24">
        <f>Raw!C102</f>
        <v>0</v>
      </c>
      <c r="E53" s="24">
        <f>Raw!D102</f>
        <v>15</v>
      </c>
      <c r="F53" s="44">
        <f>Raw!E102*$B$4</f>
        <v>0</v>
      </c>
      <c r="G53" s="24">
        <f>Raw!F102</f>
        <v>0</v>
      </c>
      <c r="H53" s="24" t="str">
        <f>Raw!G102</f>
        <v>ResCACZ2</v>
      </c>
      <c r="I53" s="24">
        <f>Raw!H102</f>
        <v>0</v>
      </c>
      <c r="J53" s="24">
        <f>Raw!I102</f>
        <v>0</v>
      </c>
      <c r="K53" s="24">
        <f>Raw!J102</f>
        <v>0</v>
      </c>
      <c r="L53" s="24">
        <f>Raw!K102</f>
        <v>0</v>
      </c>
      <c r="M53" s="24">
        <f>Raw!L102</f>
        <v>0</v>
      </c>
      <c r="N53" s="24">
        <f>Raw!M102</f>
        <v>0</v>
      </c>
      <c r="O53" s="24">
        <f>Raw!N102</f>
        <v>0</v>
      </c>
      <c r="P53" s="24">
        <f>Raw!O102</f>
        <v>0</v>
      </c>
      <c r="Q53" s="24">
        <f>Raw!P102</f>
        <v>0</v>
      </c>
    </row>
    <row r="54" spans="1:17" ht="25.5">
      <c r="A54" t="str">
        <f t="shared" si="1"/>
        <v>Existing Single Family Home HVAC Upgrade - Heat Pump Upgrade to 9.0 HSPF/14 SEER - Heating Zone 3Cooling Savings</v>
      </c>
      <c r="B54" s="24" t="str">
        <f>Raw!A103</f>
        <v>Existing Single Family Home HVAC Upgrade - Heat Pump Upgrade to 9.0 HSPF/14 SEER - Heating Zone 3</v>
      </c>
      <c r="C54" s="24" t="str">
        <f>Raw!B103</f>
        <v>Cooling Savings</v>
      </c>
      <c r="D54" s="24">
        <f>Raw!C103</f>
        <v>0</v>
      </c>
      <c r="E54" s="24">
        <f>Raw!D103</f>
        <v>15</v>
      </c>
      <c r="F54" s="44">
        <f>Raw!E103*$B$4</f>
        <v>0</v>
      </c>
      <c r="G54" s="24">
        <f>Raw!F103</f>
        <v>0</v>
      </c>
      <c r="H54" s="24" t="str">
        <f>Raw!G103</f>
        <v>ResCACZ3</v>
      </c>
      <c r="I54" s="24">
        <f>Raw!H103</f>
        <v>0</v>
      </c>
      <c r="J54" s="24">
        <f>Raw!I103</f>
        <v>0</v>
      </c>
      <c r="K54" s="24">
        <f>Raw!J103</f>
        <v>0</v>
      </c>
      <c r="L54" s="24">
        <f>Raw!K103</f>
        <v>0</v>
      </c>
      <c r="M54" s="24">
        <f>Raw!L103</f>
        <v>0</v>
      </c>
      <c r="N54" s="24">
        <f>Raw!M103</f>
        <v>0</v>
      </c>
      <c r="O54" s="24">
        <f>Raw!N103</f>
        <v>0</v>
      </c>
      <c r="P54" s="24">
        <f>Raw!O103</f>
        <v>0</v>
      </c>
      <c r="Q54" s="24">
        <f>Raw!P103</f>
        <v>0</v>
      </c>
    </row>
    <row r="55" spans="1:17" ht="25.5">
      <c r="A55" t="str">
        <f t="shared" si="1"/>
        <v>Existing Single Family Home HVAC Upgrade - Central Heat Pump Upgrade to Variable Capacity Central Heat Pump - Heating Zone 1 - Cooling Zone 1Cooling Savings</v>
      </c>
      <c r="B55" s="24" t="str">
        <f>Raw!A104</f>
        <v>Existing Single Family Home HVAC Upgrade - Central Heat Pump Upgrade to Variable Capacity Central Heat Pump - Heating Zone 1 - Cooling Zone 1</v>
      </c>
      <c r="C55" s="24" t="str">
        <f>Raw!B104</f>
        <v>Cooling Savings</v>
      </c>
      <c r="D55" s="24">
        <f>Raw!C104</f>
        <v>63.646904412715216</v>
      </c>
      <c r="E55" s="24">
        <f>Raw!D104</f>
        <v>15</v>
      </c>
      <c r="F55" s="44">
        <f>Raw!E104*$B$4</f>
        <v>0</v>
      </c>
      <c r="G55" s="24">
        <f>Raw!F104</f>
        <v>0</v>
      </c>
      <c r="H55" s="24" t="str">
        <f>Raw!G104</f>
        <v>ResCACZ1</v>
      </c>
      <c r="I55" s="24">
        <f>Raw!H104</f>
        <v>0</v>
      </c>
      <c r="J55" s="24">
        <f>Raw!I104</f>
        <v>0</v>
      </c>
      <c r="K55" s="24">
        <f>Raw!J104</f>
        <v>0</v>
      </c>
      <c r="L55" s="24">
        <f>Raw!K104</f>
        <v>0</v>
      </c>
      <c r="M55" s="24">
        <f>Raw!L104</f>
        <v>0</v>
      </c>
      <c r="N55" s="24">
        <f>Raw!M104</f>
        <v>0</v>
      </c>
      <c r="O55" s="24">
        <f>Raw!N104</f>
        <v>0</v>
      </c>
      <c r="P55" s="24">
        <f>Raw!O104</f>
        <v>0</v>
      </c>
      <c r="Q55" s="24">
        <f>Raw!P104</f>
        <v>0</v>
      </c>
    </row>
    <row r="56" spans="1:17" ht="25.5">
      <c r="A56" t="str">
        <f t="shared" si="1"/>
        <v>Existing Single Family Home HVAC Upgrade - Central Heat Pump Upgrade to Variable Capacity Central Heat Pump - Heating Zone 1 - Cooling Zone 2Cooling Savings</v>
      </c>
      <c r="B56" s="24" t="str">
        <f>Raw!A105</f>
        <v>Existing Single Family Home HVAC Upgrade - Central Heat Pump Upgrade to Variable Capacity Central Heat Pump - Heating Zone 1 - Cooling Zone 2</v>
      </c>
      <c r="C56" s="24" t="str">
        <f>Raw!B105</f>
        <v>Cooling Savings</v>
      </c>
      <c r="D56" s="24">
        <f>Raw!C105</f>
        <v>148.1378811331501</v>
      </c>
      <c r="E56" s="24">
        <f>Raw!D105</f>
        <v>15</v>
      </c>
      <c r="F56" s="44">
        <f>Raw!E105*$B$4</f>
        <v>0</v>
      </c>
      <c r="G56" s="24">
        <f>Raw!F105</f>
        <v>0</v>
      </c>
      <c r="H56" s="24" t="str">
        <f>Raw!G105</f>
        <v>ResCACZ2</v>
      </c>
      <c r="I56" s="24">
        <f>Raw!H105</f>
        <v>0</v>
      </c>
      <c r="J56" s="24">
        <f>Raw!I105</f>
        <v>0</v>
      </c>
      <c r="K56" s="24">
        <f>Raw!J105</f>
        <v>0</v>
      </c>
      <c r="L56" s="24">
        <f>Raw!K105</f>
        <v>0</v>
      </c>
      <c r="M56" s="24">
        <f>Raw!L105</f>
        <v>0</v>
      </c>
      <c r="N56" s="24">
        <f>Raw!M105</f>
        <v>0</v>
      </c>
      <c r="O56" s="24">
        <f>Raw!N105</f>
        <v>0</v>
      </c>
      <c r="P56" s="24">
        <f>Raw!O105</f>
        <v>0</v>
      </c>
      <c r="Q56" s="24">
        <f>Raw!P105</f>
        <v>0</v>
      </c>
    </row>
    <row r="57" spans="1:17" ht="25.5">
      <c r="A57" t="str">
        <f t="shared" si="1"/>
        <v>Existing Single Family Home HVAC Upgrade - Central Heat Pump Upgrade to Variable Capacity Central Heat Pump - Heating Zone 1 - Cooling Zone 3Cooling Savings</v>
      </c>
      <c r="B57" s="24" t="str">
        <f>Raw!A106</f>
        <v>Existing Single Family Home HVAC Upgrade - Central Heat Pump Upgrade to Variable Capacity Central Heat Pump - Heating Zone 1 - Cooling Zone 3</v>
      </c>
      <c r="C57" s="24" t="str">
        <f>Raw!B106</f>
        <v>Cooling Savings</v>
      </c>
      <c r="D57" s="24">
        <f>Raw!C106</f>
        <v>248.28454951850256</v>
      </c>
      <c r="E57" s="24">
        <f>Raw!D106</f>
        <v>15</v>
      </c>
      <c r="F57" s="44">
        <f>Raw!E106*$B$4</f>
        <v>0</v>
      </c>
      <c r="G57" s="24">
        <f>Raw!F106</f>
        <v>0</v>
      </c>
      <c r="H57" s="24" t="str">
        <f>Raw!G106</f>
        <v>ResCACZ3</v>
      </c>
      <c r="I57" s="24">
        <f>Raw!H106</f>
        <v>0</v>
      </c>
      <c r="J57" s="24">
        <f>Raw!I106</f>
        <v>0</v>
      </c>
      <c r="K57" s="24">
        <f>Raw!J106</f>
        <v>0</v>
      </c>
      <c r="L57" s="24">
        <f>Raw!K106</f>
        <v>0</v>
      </c>
      <c r="M57" s="24">
        <f>Raw!L106</f>
        <v>0</v>
      </c>
      <c r="N57" s="24">
        <f>Raw!M106</f>
        <v>0</v>
      </c>
      <c r="O57" s="24">
        <f>Raw!N106</f>
        <v>0</v>
      </c>
      <c r="P57" s="24">
        <f>Raw!O106</f>
        <v>0</v>
      </c>
      <c r="Q57" s="24">
        <f>Raw!P106</f>
        <v>0</v>
      </c>
    </row>
    <row r="58" spans="1:17" ht="25.5">
      <c r="A58" t="str">
        <f t="shared" si="1"/>
        <v>Existing Single Family Home HVAC Upgrade - Central Heat Pump Upgrade to Variable Capacity Central Heat Pump - Heating Zone 2 - Cooling Zone 1Cooling Savings</v>
      </c>
      <c r="B58" s="24" t="str">
        <f>Raw!A107</f>
        <v>Existing Single Family Home HVAC Upgrade - Central Heat Pump Upgrade to Variable Capacity Central Heat Pump - Heating Zone 2 - Cooling Zone 1</v>
      </c>
      <c r="C58" s="24" t="str">
        <f>Raw!B107</f>
        <v>Cooling Savings</v>
      </c>
      <c r="D58" s="24">
        <f>Raw!C107</f>
        <v>63.646904412715216</v>
      </c>
      <c r="E58" s="24">
        <f>Raw!D107</f>
        <v>15</v>
      </c>
      <c r="F58" s="44">
        <f>Raw!E107*$B$4</f>
        <v>0</v>
      </c>
      <c r="G58" s="24">
        <f>Raw!F107</f>
        <v>0</v>
      </c>
      <c r="H58" s="24" t="str">
        <f>Raw!G107</f>
        <v>ResCACZ1</v>
      </c>
      <c r="I58" s="24">
        <f>Raw!H107</f>
        <v>0</v>
      </c>
      <c r="J58" s="24">
        <f>Raw!I107</f>
        <v>0</v>
      </c>
      <c r="K58" s="24">
        <f>Raw!J107</f>
        <v>0</v>
      </c>
      <c r="L58" s="24">
        <f>Raw!K107</f>
        <v>0</v>
      </c>
      <c r="M58" s="24">
        <f>Raw!L107</f>
        <v>0</v>
      </c>
      <c r="N58" s="24">
        <f>Raw!M107</f>
        <v>0</v>
      </c>
      <c r="O58" s="24">
        <f>Raw!N107</f>
        <v>0</v>
      </c>
      <c r="P58" s="24">
        <f>Raw!O107</f>
        <v>0</v>
      </c>
      <c r="Q58" s="24">
        <f>Raw!P107</f>
        <v>0</v>
      </c>
    </row>
    <row r="59" spans="1:17" ht="25.5">
      <c r="A59" t="str">
        <f t="shared" si="1"/>
        <v>Existing Single Family Home HVAC Upgrade - Central Heat Pump Upgrade to Variable Capacity Central Heat Pump - Heating Zone 2 - Cooling Zone 2Cooling Savings</v>
      </c>
      <c r="B59" s="24" t="str">
        <f>Raw!A108</f>
        <v>Existing Single Family Home HVAC Upgrade - Central Heat Pump Upgrade to Variable Capacity Central Heat Pump - Heating Zone 2 - Cooling Zone 2</v>
      </c>
      <c r="C59" s="24" t="str">
        <f>Raw!B108</f>
        <v>Cooling Savings</v>
      </c>
      <c r="D59" s="24">
        <f>Raw!C108</f>
        <v>148.1378811331501</v>
      </c>
      <c r="E59" s="24">
        <f>Raw!D108</f>
        <v>15</v>
      </c>
      <c r="F59" s="44">
        <f>Raw!E108*$B$4</f>
        <v>0</v>
      </c>
      <c r="G59" s="24">
        <f>Raw!F108</f>
        <v>0</v>
      </c>
      <c r="H59" s="24" t="str">
        <f>Raw!G108</f>
        <v>ResCACZ2</v>
      </c>
      <c r="I59" s="24">
        <f>Raw!H108</f>
        <v>0</v>
      </c>
      <c r="J59" s="24">
        <f>Raw!I108</f>
        <v>0</v>
      </c>
      <c r="K59" s="24">
        <f>Raw!J108</f>
        <v>0</v>
      </c>
      <c r="L59" s="24">
        <f>Raw!K108</f>
        <v>0</v>
      </c>
      <c r="M59" s="24">
        <f>Raw!L108</f>
        <v>0</v>
      </c>
      <c r="N59" s="24">
        <f>Raw!M108</f>
        <v>0</v>
      </c>
      <c r="O59" s="24">
        <f>Raw!N108</f>
        <v>0</v>
      </c>
      <c r="P59" s="24">
        <f>Raw!O108</f>
        <v>0</v>
      </c>
      <c r="Q59" s="24">
        <f>Raw!P108</f>
        <v>0</v>
      </c>
    </row>
    <row r="60" spans="1:17" ht="25.5">
      <c r="A60" t="str">
        <f t="shared" si="1"/>
        <v>Existing Single Family Home HVAC Upgrade - Central Heat Pump Upgrade to Variable Capacity Central Heat Pump - Heating Zone 2 - Cooling Zone 3Cooling Savings</v>
      </c>
      <c r="B60" s="24" t="str">
        <f>Raw!A109</f>
        <v>Existing Single Family Home HVAC Upgrade - Central Heat Pump Upgrade to Variable Capacity Central Heat Pump - Heating Zone 2 - Cooling Zone 3</v>
      </c>
      <c r="C60" s="24" t="str">
        <f>Raw!B109</f>
        <v>Cooling Savings</v>
      </c>
      <c r="D60" s="24">
        <f>Raw!C109</f>
        <v>248.28454951850256</v>
      </c>
      <c r="E60" s="24">
        <f>Raw!D109</f>
        <v>15</v>
      </c>
      <c r="F60" s="44">
        <f>Raw!E109*$B$4</f>
        <v>0</v>
      </c>
      <c r="G60" s="24">
        <f>Raw!F109</f>
        <v>0</v>
      </c>
      <c r="H60" s="24" t="str">
        <f>Raw!G109</f>
        <v>ResCACZ3</v>
      </c>
      <c r="I60" s="24">
        <f>Raw!H109</f>
        <v>0</v>
      </c>
      <c r="J60" s="24">
        <f>Raw!I109</f>
        <v>0</v>
      </c>
      <c r="K60" s="24">
        <f>Raw!J109</f>
        <v>0</v>
      </c>
      <c r="L60" s="24">
        <f>Raw!K109</f>
        <v>0</v>
      </c>
      <c r="M60" s="24">
        <f>Raw!L109</f>
        <v>0</v>
      </c>
      <c r="N60" s="24">
        <f>Raw!M109</f>
        <v>0</v>
      </c>
      <c r="O60" s="24">
        <f>Raw!N109</f>
        <v>0</v>
      </c>
      <c r="P60" s="24">
        <f>Raw!O109</f>
        <v>0</v>
      </c>
      <c r="Q60" s="24">
        <f>Raw!P109</f>
        <v>0</v>
      </c>
    </row>
    <row r="61" spans="1:17" ht="25.5">
      <c r="A61" t="str">
        <f t="shared" si="1"/>
        <v>Existing Single Family Home HVAC Upgrade - Central Heat Pump Upgrade to Variable Capacity Central Heat Pump - Heating Zone 3 - Cooling Zone 1Cooling Savings</v>
      </c>
      <c r="B61" s="24" t="str">
        <f>Raw!A110</f>
        <v>Existing Single Family Home HVAC Upgrade - Central Heat Pump Upgrade to Variable Capacity Central Heat Pump - Heating Zone 3 - Cooling Zone 1</v>
      </c>
      <c r="C61" s="24" t="str">
        <f>Raw!B110</f>
        <v>Cooling Savings</v>
      </c>
      <c r="D61" s="24">
        <f>Raw!C110</f>
        <v>63.646904412715216</v>
      </c>
      <c r="E61" s="24">
        <f>Raw!D110</f>
        <v>15</v>
      </c>
      <c r="F61" s="44">
        <f>Raw!E110*$B$4</f>
        <v>0</v>
      </c>
      <c r="G61" s="24">
        <f>Raw!F110</f>
        <v>0</v>
      </c>
      <c r="H61" s="24" t="str">
        <f>Raw!G110</f>
        <v>ResCACZ1</v>
      </c>
      <c r="I61" s="24">
        <f>Raw!H110</f>
        <v>0</v>
      </c>
      <c r="J61" s="24">
        <f>Raw!I110</f>
        <v>0</v>
      </c>
      <c r="K61" s="24">
        <f>Raw!J110</f>
        <v>0</v>
      </c>
      <c r="L61" s="24">
        <f>Raw!K110</f>
        <v>0</v>
      </c>
      <c r="M61" s="24">
        <f>Raw!L110</f>
        <v>0</v>
      </c>
      <c r="N61" s="24">
        <f>Raw!M110</f>
        <v>0</v>
      </c>
      <c r="O61" s="24">
        <f>Raw!N110</f>
        <v>0</v>
      </c>
      <c r="P61" s="24">
        <f>Raw!O110</f>
        <v>0</v>
      </c>
      <c r="Q61" s="24">
        <f>Raw!P110</f>
        <v>0</v>
      </c>
    </row>
    <row r="62" spans="1:17" ht="25.5">
      <c r="A62" t="str">
        <f t="shared" si="1"/>
        <v>Existing Single Family Home HVAC Upgrade - Central Heat Pump Upgrade to Variable Capacity Central Heat Pump - Heating Zone 3 - Cooling Zone 2Cooling Savings</v>
      </c>
      <c r="B62" s="24" t="str">
        <f>Raw!A111</f>
        <v>Existing Single Family Home HVAC Upgrade - Central Heat Pump Upgrade to Variable Capacity Central Heat Pump - Heating Zone 3 - Cooling Zone 2</v>
      </c>
      <c r="C62" s="24" t="str">
        <f>Raw!B111</f>
        <v>Cooling Savings</v>
      </c>
      <c r="D62" s="24">
        <f>Raw!C111</f>
        <v>148.1378811331501</v>
      </c>
      <c r="E62" s="24">
        <f>Raw!D111</f>
        <v>15</v>
      </c>
      <c r="F62" s="44">
        <f>Raw!E111*$B$4</f>
        <v>0</v>
      </c>
      <c r="G62" s="24">
        <f>Raw!F111</f>
        <v>0</v>
      </c>
      <c r="H62" s="24" t="str">
        <f>Raw!G111</f>
        <v>ResCACZ2</v>
      </c>
      <c r="I62" s="24">
        <f>Raw!H111</f>
        <v>0</v>
      </c>
      <c r="J62" s="24">
        <f>Raw!I111</f>
        <v>0</v>
      </c>
      <c r="K62" s="24">
        <f>Raw!J111</f>
        <v>0</v>
      </c>
      <c r="L62" s="24">
        <f>Raw!K111</f>
        <v>0</v>
      </c>
      <c r="M62" s="24">
        <f>Raw!L111</f>
        <v>0</v>
      </c>
      <c r="N62" s="24">
        <f>Raw!M111</f>
        <v>0</v>
      </c>
      <c r="O62" s="24">
        <f>Raw!N111</f>
        <v>0</v>
      </c>
      <c r="P62" s="24">
        <f>Raw!O111</f>
        <v>0</v>
      </c>
      <c r="Q62" s="24">
        <f>Raw!P111</f>
        <v>0</v>
      </c>
    </row>
    <row r="63" spans="1:17" ht="25.5">
      <c r="A63" t="str">
        <f t="shared" si="1"/>
        <v>Existing Single Family Home HVAC Upgrade - Central Heat Pump Upgrade to Variable Capacity Central Heat Pump - Heating Zone 3 - Cooling Zone 3Cooling Savings</v>
      </c>
      <c r="B63" s="24" t="str">
        <f>Raw!A112</f>
        <v>Existing Single Family Home HVAC Upgrade - Central Heat Pump Upgrade to Variable Capacity Central Heat Pump - Heating Zone 3 - Cooling Zone 3</v>
      </c>
      <c r="C63" s="24" t="str">
        <f>Raw!B112</f>
        <v>Cooling Savings</v>
      </c>
      <c r="D63" s="24">
        <f>Raw!C112</f>
        <v>248.28454951850256</v>
      </c>
      <c r="E63" s="24">
        <f>Raw!D112</f>
        <v>15</v>
      </c>
      <c r="F63" s="44">
        <f>Raw!E112*$B$4</f>
        <v>0</v>
      </c>
      <c r="G63" s="24">
        <f>Raw!F112</f>
        <v>0</v>
      </c>
      <c r="H63" s="24" t="str">
        <f>Raw!G112</f>
        <v>R-All-HVAC-DHP_cool-All-All-N</v>
      </c>
      <c r="I63" s="24">
        <f>Raw!H112</f>
        <v>0</v>
      </c>
      <c r="J63" s="24">
        <f>Raw!I112</f>
        <v>0</v>
      </c>
      <c r="K63" s="24">
        <f>Raw!J112</f>
        <v>0</v>
      </c>
      <c r="L63" s="24">
        <f>Raw!K112</f>
        <v>0</v>
      </c>
      <c r="M63" s="24">
        <f>Raw!L112</f>
        <v>0</v>
      </c>
      <c r="N63" s="24">
        <f>Raw!M112</f>
        <v>0</v>
      </c>
      <c r="O63" s="24">
        <f>Raw!N112</f>
        <v>0</v>
      </c>
      <c r="P63" s="24">
        <f>Raw!O112</f>
        <v>0</v>
      </c>
      <c r="Q63" s="24">
        <f>Raw!P112</f>
        <v>0</v>
      </c>
    </row>
    <row r="64" spans="1:17">
      <c r="A64" t="str">
        <f t="shared" si="1"/>
        <v>Zonal to DHP No Screen HZ1CZ1Cooling Savings</v>
      </c>
      <c r="B64" s="24" t="str">
        <f>Raw!A113</f>
        <v>Zonal to DHP No Screen HZ1CZ1</v>
      </c>
      <c r="C64" s="24" t="str">
        <f>Raw!B113</f>
        <v>Cooling Savings</v>
      </c>
      <c r="D64" s="24">
        <f>Raw!C113</f>
        <v>-32.124417637256897</v>
      </c>
      <c r="E64" s="24">
        <f>Raw!D113</f>
        <v>15</v>
      </c>
      <c r="F64" s="44">
        <f>Raw!E113*$B$4</f>
        <v>0</v>
      </c>
      <c r="G64" s="24">
        <f>Raw!F113</f>
        <v>0</v>
      </c>
      <c r="H64" s="24" t="str">
        <f>Raw!G113</f>
        <v>R-All-HVAC-DHP_cool-All-All-N</v>
      </c>
      <c r="I64" s="24">
        <f>Raw!H113</f>
        <v>4.2672027323999426</v>
      </c>
      <c r="J64" s="24">
        <f>Raw!I113</f>
        <v>0</v>
      </c>
      <c r="K64" s="24">
        <f>Raw!J113</f>
        <v>0</v>
      </c>
      <c r="L64" s="24">
        <f>Raw!K113</f>
        <v>0</v>
      </c>
      <c r="M64" s="24">
        <f>Raw!L113</f>
        <v>0</v>
      </c>
      <c r="N64" s="24">
        <f>Raw!M113</f>
        <v>0</v>
      </c>
      <c r="O64" s="24">
        <f>Raw!N113</f>
        <v>0</v>
      </c>
      <c r="P64" s="24">
        <f>Raw!O113</f>
        <v>0</v>
      </c>
      <c r="Q64" s="24">
        <f>Raw!P113</f>
        <v>0</v>
      </c>
    </row>
    <row r="65" spans="1:17">
      <c r="A65" t="str">
        <f t="shared" si="1"/>
        <v>Zonal to DHP No Screen HZ2CZ1Cooling Savings</v>
      </c>
      <c r="B65" s="24" t="str">
        <f>Raw!A114</f>
        <v>Zonal to DHP No Screen HZ2CZ1</v>
      </c>
      <c r="C65" s="24" t="str">
        <f>Raw!B114</f>
        <v>Cooling Savings</v>
      </c>
      <c r="D65" s="24">
        <f>Raw!C114</f>
        <v>-32.124417637256897</v>
      </c>
      <c r="E65" s="24">
        <f>Raw!D114</f>
        <v>15</v>
      </c>
      <c r="F65" s="44">
        <f>Raw!E114*$B$4</f>
        <v>0</v>
      </c>
      <c r="G65" s="24">
        <f>Raw!F114</f>
        <v>0</v>
      </c>
      <c r="H65" s="24" t="str">
        <f>Raw!G114</f>
        <v>R-All-HVAC-DHP_cool-All-All-N</v>
      </c>
      <c r="I65" s="24">
        <f>Raw!H114</f>
        <v>4.2672027323999426</v>
      </c>
      <c r="J65" s="24">
        <f>Raw!I114</f>
        <v>0</v>
      </c>
      <c r="K65" s="24">
        <f>Raw!J114</f>
        <v>0</v>
      </c>
      <c r="L65" s="24">
        <f>Raw!K114</f>
        <v>0</v>
      </c>
      <c r="M65" s="24">
        <f>Raw!L114</f>
        <v>0</v>
      </c>
      <c r="N65" s="24">
        <f>Raw!M114</f>
        <v>0</v>
      </c>
      <c r="O65" s="24">
        <f>Raw!N114</f>
        <v>0</v>
      </c>
      <c r="P65" s="24">
        <f>Raw!O114</f>
        <v>0</v>
      </c>
      <c r="Q65" s="24">
        <f>Raw!P114</f>
        <v>0</v>
      </c>
    </row>
    <row r="66" spans="1:17">
      <c r="A66" t="str">
        <f t="shared" si="1"/>
        <v>Zonal to DHP No Screen HZ3CZ1Cooling Savings</v>
      </c>
      <c r="B66" s="24" t="str">
        <f>Raw!A115</f>
        <v>Zonal to DHP No Screen HZ3CZ1</v>
      </c>
      <c r="C66" s="24" t="str">
        <f>Raw!B115</f>
        <v>Cooling Savings</v>
      </c>
      <c r="D66" s="24">
        <f>Raw!C115</f>
        <v>-32.124417637256897</v>
      </c>
      <c r="E66" s="24">
        <f>Raw!D115</f>
        <v>15</v>
      </c>
      <c r="F66" s="44">
        <f>Raw!E115*$B$4</f>
        <v>0</v>
      </c>
      <c r="G66" s="24">
        <f>Raw!F115</f>
        <v>0</v>
      </c>
      <c r="H66" s="24" t="str">
        <f>Raw!G115</f>
        <v>R-All-HVAC-DHP_cool-All-All-N</v>
      </c>
      <c r="I66" s="24">
        <f>Raw!H115</f>
        <v>4.2672027323999426</v>
      </c>
      <c r="J66" s="24">
        <f>Raw!I115</f>
        <v>0</v>
      </c>
      <c r="K66" s="24">
        <f>Raw!J115</f>
        <v>0</v>
      </c>
      <c r="L66" s="24">
        <f>Raw!K115</f>
        <v>0</v>
      </c>
      <c r="M66" s="24">
        <f>Raw!L115</f>
        <v>0</v>
      </c>
      <c r="N66" s="24">
        <f>Raw!M115</f>
        <v>0</v>
      </c>
      <c r="O66" s="24">
        <f>Raw!N115</f>
        <v>0</v>
      </c>
      <c r="P66" s="24">
        <f>Raw!O115</f>
        <v>0</v>
      </c>
      <c r="Q66" s="24">
        <f>Raw!P115</f>
        <v>0</v>
      </c>
    </row>
    <row r="67" spans="1:17">
      <c r="A67" t="str">
        <f t="shared" si="1"/>
        <v>Zonal to DHP No Screen HZ1CZ2Cooling Savings</v>
      </c>
      <c r="B67" s="24" t="str">
        <f>Raw!A116</f>
        <v>Zonal to DHP No Screen HZ1CZ2</v>
      </c>
      <c r="C67" s="24" t="str">
        <f>Raw!B116</f>
        <v>Cooling Savings</v>
      </c>
      <c r="D67" s="24">
        <f>Raw!C116</f>
        <v>117.23903663470225</v>
      </c>
      <c r="E67" s="24">
        <f>Raw!D116</f>
        <v>15</v>
      </c>
      <c r="F67" s="44">
        <f>Raw!E116*$B$4</f>
        <v>0</v>
      </c>
      <c r="G67" s="24">
        <f>Raw!F116</f>
        <v>0</v>
      </c>
      <c r="H67" s="24" t="str">
        <f>Raw!G116</f>
        <v>R-All-HVAC-DHP_cool-All-All-N</v>
      </c>
      <c r="I67" s="24">
        <f>Raw!H116</f>
        <v>5.8134205779960713</v>
      </c>
      <c r="J67" s="24">
        <f>Raw!I116</f>
        <v>0</v>
      </c>
      <c r="K67" s="24">
        <f>Raw!J116</f>
        <v>0</v>
      </c>
      <c r="L67" s="24">
        <f>Raw!K116</f>
        <v>0</v>
      </c>
      <c r="M67" s="24">
        <f>Raw!L116</f>
        <v>0</v>
      </c>
      <c r="N67" s="24">
        <f>Raw!M116</f>
        <v>0</v>
      </c>
      <c r="O67" s="24">
        <f>Raw!N116</f>
        <v>0</v>
      </c>
      <c r="P67" s="24">
        <f>Raw!O116</f>
        <v>0</v>
      </c>
      <c r="Q67" s="24">
        <f>Raw!P116</f>
        <v>0</v>
      </c>
    </row>
    <row r="68" spans="1:17">
      <c r="A68" t="str">
        <f t="shared" si="1"/>
        <v>Zonal to DHP No Screen HZ2CZ2Cooling Savings</v>
      </c>
      <c r="B68" s="24" t="str">
        <f>Raw!A117</f>
        <v>Zonal to DHP No Screen HZ2CZ2</v>
      </c>
      <c r="C68" s="24" t="str">
        <f>Raw!B117</f>
        <v>Cooling Savings</v>
      </c>
      <c r="D68" s="24">
        <f>Raw!C117</f>
        <v>117.23903663470225</v>
      </c>
      <c r="E68" s="24">
        <f>Raw!D117</f>
        <v>15</v>
      </c>
      <c r="F68" s="44">
        <f>Raw!E117*$B$4</f>
        <v>0</v>
      </c>
      <c r="G68" s="24">
        <f>Raw!F117</f>
        <v>0</v>
      </c>
      <c r="H68" s="24" t="str">
        <f>Raw!G117</f>
        <v>R-All-HVAC-DHP_cool-All-All-N</v>
      </c>
      <c r="I68" s="24">
        <f>Raw!H117</f>
        <v>5.8134205779960713</v>
      </c>
      <c r="J68" s="24">
        <f>Raw!I117</f>
        <v>0</v>
      </c>
      <c r="K68" s="24">
        <f>Raw!J117</f>
        <v>0</v>
      </c>
      <c r="L68" s="24">
        <f>Raw!K117</f>
        <v>0</v>
      </c>
      <c r="M68" s="24">
        <f>Raw!L117</f>
        <v>0</v>
      </c>
      <c r="N68" s="24">
        <f>Raw!M117</f>
        <v>0</v>
      </c>
      <c r="O68" s="24">
        <f>Raw!N117</f>
        <v>0</v>
      </c>
      <c r="P68" s="24">
        <f>Raw!O117</f>
        <v>0</v>
      </c>
      <c r="Q68" s="24">
        <f>Raw!P117</f>
        <v>0</v>
      </c>
    </row>
    <row r="69" spans="1:17">
      <c r="A69" t="str">
        <f t="shared" si="1"/>
        <v>Zonal to DHP No Screen HZ3CZ2Cooling Savings</v>
      </c>
      <c r="B69" s="24" t="str">
        <f>Raw!A118</f>
        <v>Zonal to DHP No Screen HZ3CZ2</v>
      </c>
      <c r="C69" s="24" t="str">
        <f>Raw!B118</f>
        <v>Cooling Savings</v>
      </c>
      <c r="D69" s="24">
        <f>Raw!C118</f>
        <v>117.23903663470225</v>
      </c>
      <c r="E69" s="24">
        <f>Raw!D118</f>
        <v>15</v>
      </c>
      <c r="F69" s="44">
        <f>Raw!E118*$B$4</f>
        <v>0</v>
      </c>
      <c r="G69" s="24">
        <f>Raw!F118</f>
        <v>0</v>
      </c>
      <c r="H69" s="24" t="str">
        <f>Raw!G118</f>
        <v>R-All-HVAC-DHP_cool-All-All-N</v>
      </c>
      <c r="I69" s="24">
        <f>Raw!H118</f>
        <v>5.8134205779960713</v>
      </c>
      <c r="J69" s="24">
        <f>Raw!I118</f>
        <v>0</v>
      </c>
      <c r="K69" s="24">
        <f>Raw!J118</f>
        <v>0</v>
      </c>
      <c r="L69" s="24">
        <f>Raw!K118</f>
        <v>0</v>
      </c>
      <c r="M69" s="24">
        <f>Raw!L118</f>
        <v>0</v>
      </c>
      <c r="N69" s="24">
        <f>Raw!M118</f>
        <v>0</v>
      </c>
      <c r="O69" s="24">
        <f>Raw!N118</f>
        <v>0</v>
      </c>
      <c r="P69" s="24">
        <f>Raw!O118</f>
        <v>0</v>
      </c>
      <c r="Q69" s="24">
        <f>Raw!P118</f>
        <v>0</v>
      </c>
    </row>
    <row r="70" spans="1:17">
      <c r="A70" t="str">
        <f t="shared" si="1"/>
        <v>Zonal to DHP No Screen HZ1CZ3Cooling Savings</v>
      </c>
      <c r="B70" s="24" t="str">
        <f>Raw!A119</f>
        <v>Zonal to DHP No Screen HZ1CZ3</v>
      </c>
      <c r="C70" s="24" t="str">
        <f>Raw!B119</f>
        <v>Cooling Savings</v>
      </c>
      <c r="D70" s="24">
        <f>Raw!C119</f>
        <v>412</v>
      </c>
      <c r="E70" s="24">
        <f>Raw!D119</f>
        <v>15</v>
      </c>
      <c r="F70" s="44">
        <f>Raw!E119*$B$4</f>
        <v>0</v>
      </c>
      <c r="G70" s="24">
        <f>Raw!F119</f>
        <v>0</v>
      </c>
      <c r="H70" s="24" t="str">
        <f>Raw!G119</f>
        <v>R-All-HVAC-DHP_cool-All-All-N</v>
      </c>
      <c r="I70" s="24">
        <f>Raw!H119</f>
        <v>0</v>
      </c>
      <c r="J70" s="24">
        <f>Raw!I119</f>
        <v>0</v>
      </c>
      <c r="K70" s="24">
        <f>Raw!J119</f>
        <v>0</v>
      </c>
      <c r="L70" s="24">
        <f>Raw!K119</f>
        <v>0</v>
      </c>
      <c r="M70" s="24">
        <f>Raw!L119</f>
        <v>0</v>
      </c>
      <c r="N70" s="24">
        <f>Raw!M119</f>
        <v>0</v>
      </c>
      <c r="O70" s="24">
        <f>Raw!N119</f>
        <v>0</v>
      </c>
      <c r="P70" s="24">
        <f>Raw!O119</f>
        <v>0</v>
      </c>
      <c r="Q70" s="24">
        <f>Raw!P119</f>
        <v>0</v>
      </c>
    </row>
    <row r="71" spans="1:17">
      <c r="A71" t="str">
        <f t="shared" si="1"/>
        <v>Zonal to DHP No Screen HZ2CZ3Cooling Savings</v>
      </c>
      <c r="B71" s="24" t="str">
        <f>Raw!A120</f>
        <v>Zonal to DHP No Screen HZ2CZ3</v>
      </c>
      <c r="C71" s="24" t="str">
        <f>Raw!B120</f>
        <v>Cooling Savings</v>
      </c>
      <c r="D71" s="24">
        <f>Raw!C120</f>
        <v>412</v>
      </c>
      <c r="E71" s="24">
        <f>Raw!D120</f>
        <v>15</v>
      </c>
      <c r="F71" s="44">
        <f>Raw!E120*$B$4</f>
        <v>0</v>
      </c>
      <c r="G71" s="24">
        <f>Raw!F120</f>
        <v>0</v>
      </c>
      <c r="H71" s="24" t="str">
        <f>Raw!G120</f>
        <v>R-All-HVAC-DHP_cool-All-All-N</v>
      </c>
      <c r="I71" s="24">
        <f>Raw!H120</f>
        <v>0</v>
      </c>
      <c r="J71" s="24">
        <f>Raw!I120</f>
        <v>0</v>
      </c>
      <c r="K71" s="24">
        <f>Raw!J120</f>
        <v>0</v>
      </c>
      <c r="L71" s="24">
        <f>Raw!K120</f>
        <v>0</v>
      </c>
      <c r="M71" s="24">
        <f>Raw!L120</f>
        <v>0</v>
      </c>
      <c r="N71" s="24">
        <f>Raw!M120</f>
        <v>0</v>
      </c>
      <c r="O71" s="24">
        <f>Raw!N120</f>
        <v>0</v>
      </c>
      <c r="P71" s="24">
        <f>Raw!O120</f>
        <v>0</v>
      </c>
      <c r="Q71" s="24">
        <f>Raw!P120</f>
        <v>0</v>
      </c>
    </row>
    <row r="72" spans="1:17">
      <c r="A72" t="str">
        <f t="shared" si="1"/>
        <v>Zonal to DHP No Screen HZ3CZ3Cooling Savings</v>
      </c>
      <c r="B72" s="24" t="str">
        <f>Raw!A121</f>
        <v>Zonal to DHP No Screen HZ3CZ3</v>
      </c>
      <c r="C72" s="24" t="str">
        <f>Raw!B121</f>
        <v>Cooling Savings</v>
      </c>
      <c r="D72" s="24">
        <f>Raw!C121</f>
        <v>412</v>
      </c>
      <c r="E72" s="24">
        <f>Raw!D121</f>
        <v>15</v>
      </c>
      <c r="F72" s="44">
        <f>Raw!E121*$B$4</f>
        <v>0</v>
      </c>
      <c r="G72" s="24">
        <f>Raw!F121</f>
        <v>0</v>
      </c>
      <c r="H72" s="24" t="str">
        <f>Raw!G121</f>
        <v>R-All-HVAC-DHP_cool-All-All-N</v>
      </c>
      <c r="I72" s="24">
        <f>Raw!H121</f>
        <v>0</v>
      </c>
      <c r="J72" s="24">
        <f>Raw!I121</f>
        <v>0</v>
      </c>
      <c r="K72" s="24">
        <f>Raw!J121</f>
        <v>0</v>
      </c>
      <c r="L72" s="24">
        <f>Raw!K121</f>
        <v>0</v>
      </c>
      <c r="M72" s="24">
        <f>Raw!L121</f>
        <v>0</v>
      </c>
      <c r="N72" s="24">
        <f>Raw!M121</f>
        <v>0</v>
      </c>
      <c r="O72" s="24">
        <f>Raw!N121</f>
        <v>0</v>
      </c>
      <c r="P72" s="24">
        <f>Raw!O121</f>
        <v>0</v>
      </c>
      <c r="Q72" s="24">
        <f>Raw!P121</f>
        <v>0</v>
      </c>
    </row>
    <row r="73" spans="1:17">
      <c r="B73" s="24"/>
      <c r="C73" s="24"/>
      <c r="D73" s="24"/>
      <c r="E73" s="24"/>
      <c r="F73" s="44"/>
      <c r="G73" s="24"/>
      <c r="H73" s="24"/>
      <c r="I73" s="24"/>
      <c r="J73" s="24"/>
      <c r="K73" s="24"/>
      <c r="L73" s="24"/>
      <c r="M73" s="24"/>
      <c r="N73" s="24"/>
      <c r="O73" s="24"/>
      <c r="P73" s="24"/>
      <c r="Q73" s="24"/>
    </row>
    <row r="74" spans="1:17">
      <c r="B74" s="24"/>
      <c r="C74" s="24"/>
      <c r="D74" s="24"/>
      <c r="E74" s="24"/>
      <c r="F74" s="44"/>
      <c r="G74" s="24"/>
      <c r="H74" s="24"/>
      <c r="I74" s="24"/>
      <c r="J74" s="24"/>
      <c r="K74" s="24"/>
      <c r="L74" s="24"/>
      <c r="M74" s="24"/>
      <c r="N74" s="24"/>
      <c r="O74" s="24"/>
      <c r="P74" s="24"/>
      <c r="Q74" s="24"/>
    </row>
    <row r="75" spans="1:17">
      <c r="B75" s="24"/>
      <c r="C75" s="24"/>
      <c r="D75" s="24"/>
      <c r="E75" s="24"/>
      <c r="F75" s="24"/>
      <c r="G75" s="24"/>
      <c r="H75" s="24"/>
      <c r="I75" s="24"/>
      <c r="J75" s="24"/>
      <c r="K75" s="24"/>
      <c r="L75" s="24"/>
      <c r="M75" s="24"/>
      <c r="N75" s="24"/>
      <c r="O75" s="24"/>
      <c r="P75" s="24"/>
      <c r="Q75" s="24"/>
    </row>
    <row r="87" spans="1:17">
      <c r="A87" s="42" t="s">
        <v>453</v>
      </c>
      <c r="B87" s="24"/>
      <c r="C87" s="24"/>
      <c r="D87" s="24"/>
      <c r="E87" s="24"/>
      <c r="F87" s="24"/>
      <c r="G87" s="24"/>
      <c r="H87" s="24"/>
      <c r="I87" s="24"/>
      <c r="J87" s="24"/>
      <c r="K87" s="24"/>
      <c r="L87" s="24"/>
      <c r="M87" s="24"/>
      <c r="N87" s="24"/>
      <c r="O87" s="24"/>
      <c r="P87" s="24"/>
      <c r="Q87" s="24"/>
    </row>
    <row r="88" spans="1:17">
      <c r="A88" s="7"/>
      <c r="B88" s="12" t="s">
        <v>3</v>
      </c>
      <c r="C88" s="13"/>
      <c r="D88" s="13"/>
      <c r="E88" s="13"/>
      <c r="F88" s="13"/>
      <c r="G88" s="13"/>
      <c r="H88" s="14"/>
      <c r="I88" s="15"/>
      <c r="J88" s="445" t="s">
        <v>4</v>
      </c>
      <c r="K88" s="446"/>
      <c r="L88" s="446"/>
      <c r="M88" s="446"/>
      <c r="N88" s="446"/>
      <c r="O88" s="447"/>
      <c r="P88" s="448" t="s">
        <v>5</v>
      </c>
      <c r="Q88" s="449"/>
    </row>
    <row r="89" spans="1:17" ht="25.5">
      <c r="A89" s="7" t="s">
        <v>467</v>
      </c>
      <c r="B89" s="21" t="s">
        <v>6</v>
      </c>
      <c r="C89" s="21" t="s">
        <v>7</v>
      </c>
      <c r="D89" s="21" t="s">
        <v>8</v>
      </c>
      <c r="E89" s="21" t="s">
        <v>9</v>
      </c>
      <c r="F89" s="21" t="s">
        <v>10</v>
      </c>
      <c r="G89" s="21" t="s">
        <v>11</v>
      </c>
      <c r="H89" s="21" t="s">
        <v>12</v>
      </c>
      <c r="I89" s="21" t="s">
        <v>13</v>
      </c>
      <c r="J89" s="21" t="s">
        <v>14</v>
      </c>
      <c r="K89" s="21" t="s">
        <v>15</v>
      </c>
      <c r="L89" s="21" t="s">
        <v>16</v>
      </c>
      <c r="M89" s="21" t="s">
        <v>17</v>
      </c>
      <c r="N89" s="21" t="s">
        <v>18</v>
      </c>
      <c r="O89" s="21" t="s">
        <v>19</v>
      </c>
      <c r="P89" s="22" t="s">
        <v>20</v>
      </c>
      <c r="Q89" s="21" t="s">
        <v>12</v>
      </c>
    </row>
    <row r="90" spans="1:17" ht="25.5">
      <c r="A90" t="str">
        <f>IF(LEFT(B90,4)="Exis",RIGHT(B90,LEN(B90)-FIND("- Heating",B90)-1),RIGHT(B90,LEN(B90)-FIND("HZ",B90)+1))</f>
        <v>Heating Zone 1</v>
      </c>
      <c r="B90" s="24" t="str">
        <f t="shared" ref="B90:B121" si="2">B7</f>
        <v>Existing Single Family Home HVAC Conversion - Convert FAF w/CAC to Heat Pump - House with "Good Insulation" - Heating Zone 1</v>
      </c>
      <c r="C90" s="24" t="str">
        <f t="shared" ref="C90:Q90" si="3">C7</f>
        <v>Heating Savings</v>
      </c>
      <c r="D90" s="25">
        <f t="shared" si="3"/>
        <v>2610.3529019871903</v>
      </c>
      <c r="E90" s="25">
        <f t="shared" si="3"/>
        <v>15</v>
      </c>
      <c r="F90" s="25">
        <f t="shared" si="3"/>
        <v>2878.5049609349367</v>
      </c>
      <c r="G90" s="25">
        <f t="shared" si="3"/>
        <v>0</v>
      </c>
      <c r="H90" s="24" t="str">
        <f t="shared" si="3"/>
        <v>ResSpHtHPZ1</v>
      </c>
      <c r="I90" s="24">
        <f t="shared" si="3"/>
        <v>41.534869287695713</v>
      </c>
      <c r="J90" s="24">
        <f t="shared" si="3"/>
        <v>0</v>
      </c>
      <c r="K90" s="24">
        <f t="shared" si="3"/>
        <v>0</v>
      </c>
      <c r="L90" s="24">
        <f t="shared" si="3"/>
        <v>0</v>
      </c>
      <c r="M90" s="24">
        <f t="shared" si="3"/>
        <v>0</v>
      </c>
      <c r="N90" s="24">
        <f t="shared" si="3"/>
        <v>0</v>
      </c>
      <c r="O90" s="24">
        <f t="shared" si="3"/>
        <v>0</v>
      </c>
      <c r="P90" s="24">
        <f t="shared" si="3"/>
        <v>0</v>
      </c>
      <c r="Q90" s="24">
        <f t="shared" si="3"/>
        <v>0</v>
      </c>
    </row>
    <row r="91" spans="1:17" ht="25.5">
      <c r="A91" t="str">
        <f t="shared" ref="A91:A154" si="4">IF(LEFT(B91,4)="Exis",RIGHT(B91,LEN(B91)-FIND("- Heating",B91)-1),RIGHT(B91,LEN(B91)-FIND("HZ",B91)+1))</f>
        <v>Heating Zone 2</v>
      </c>
      <c r="B91" s="24" t="str">
        <f t="shared" si="2"/>
        <v>Existing Single Family Home HVAC Conversion - Convert FAF w/CAC to Heat Pump - House with "Good Insulation" - Heating Zone 2</v>
      </c>
      <c r="C91" s="24" t="str">
        <f t="shared" ref="C91:Q91" si="5">C8</f>
        <v>Heating Savings</v>
      </c>
      <c r="D91" s="25">
        <f t="shared" si="5"/>
        <v>2688.7510694825951</v>
      </c>
      <c r="E91" s="25">
        <f t="shared" si="5"/>
        <v>15</v>
      </c>
      <c r="F91" s="25">
        <f t="shared" si="5"/>
        <v>2901.7926051213844</v>
      </c>
      <c r="G91" s="25">
        <f t="shared" si="5"/>
        <v>0</v>
      </c>
      <c r="H91" s="24" t="str">
        <f t="shared" si="5"/>
        <v>ResSpHtHPZ2</v>
      </c>
      <c r="I91" s="24">
        <f t="shared" si="5"/>
        <v>31.283284032448492</v>
      </c>
      <c r="J91" s="24">
        <f t="shared" si="5"/>
        <v>0</v>
      </c>
      <c r="K91" s="24">
        <f t="shared" si="5"/>
        <v>0</v>
      </c>
      <c r="L91" s="24">
        <f t="shared" si="5"/>
        <v>0</v>
      </c>
      <c r="M91" s="24">
        <f t="shared" si="5"/>
        <v>0</v>
      </c>
      <c r="N91" s="24">
        <f t="shared" si="5"/>
        <v>0</v>
      </c>
      <c r="O91" s="24">
        <f t="shared" si="5"/>
        <v>0</v>
      </c>
      <c r="P91" s="24">
        <f t="shared" si="5"/>
        <v>0</v>
      </c>
      <c r="Q91" s="24">
        <f t="shared" si="5"/>
        <v>0</v>
      </c>
    </row>
    <row r="92" spans="1:17" ht="25.5">
      <c r="A92" t="str">
        <f t="shared" si="4"/>
        <v>Heating Zone 3</v>
      </c>
      <c r="B92" s="24" t="str">
        <f t="shared" si="2"/>
        <v>Existing Single Family Home HVAC Conversion - Convert FAF w/CAC to Heat Pump - House with "Good Insulation" - Heating Zone 3</v>
      </c>
      <c r="C92" s="24" t="str">
        <f t="shared" ref="C92:Q92" si="6">C9</f>
        <v>Heating Savings</v>
      </c>
      <c r="D92" s="25">
        <f t="shared" si="6"/>
        <v>2318.9213380538454</v>
      </c>
      <c r="E92" s="25">
        <f t="shared" si="6"/>
        <v>15</v>
      </c>
      <c r="F92" s="25">
        <f t="shared" si="6"/>
        <v>2930.6651938924329</v>
      </c>
      <c r="G92" s="25">
        <f t="shared" si="6"/>
        <v>0</v>
      </c>
      <c r="H92" s="24" t="str">
        <f t="shared" si="6"/>
        <v>ResSpHtHPZ3</v>
      </c>
      <c r="I92" s="24">
        <f t="shared" si="6"/>
        <v>27.443333338878478</v>
      </c>
      <c r="J92" s="24">
        <f t="shared" si="6"/>
        <v>0</v>
      </c>
      <c r="K92" s="24">
        <f t="shared" si="6"/>
        <v>0</v>
      </c>
      <c r="L92" s="24">
        <f t="shared" si="6"/>
        <v>0</v>
      </c>
      <c r="M92" s="24">
        <f t="shared" si="6"/>
        <v>0</v>
      </c>
      <c r="N92" s="24">
        <f t="shared" si="6"/>
        <v>0</v>
      </c>
      <c r="O92" s="24">
        <f t="shared" si="6"/>
        <v>0</v>
      </c>
      <c r="P92" s="24">
        <f t="shared" si="6"/>
        <v>0</v>
      </c>
      <c r="Q92" s="24">
        <f t="shared" si="6"/>
        <v>0</v>
      </c>
    </row>
    <row r="93" spans="1:17" ht="25.5">
      <c r="A93" t="str">
        <f t="shared" si="4"/>
        <v>Heating Zone 1 - Cooling Zone 1</v>
      </c>
      <c r="B93" s="24" t="str">
        <f t="shared" si="2"/>
        <v>Existing Single Family Home HVAC Conversion - Convert FAF w/o CAC to Heat Pump - House with "Good Insulation" - Heating Zone 1 - Cooling Zone 1</v>
      </c>
      <c r="C93" s="24" t="str">
        <f t="shared" ref="C93:Q93" si="7">C10</f>
        <v>Heating Savings</v>
      </c>
      <c r="D93" s="25">
        <f t="shared" si="7"/>
        <v>2610.3529019871903</v>
      </c>
      <c r="E93" s="25">
        <f t="shared" si="7"/>
        <v>15</v>
      </c>
      <c r="F93" s="25">
        <f t="shared" si="7"/>
        <v>4405.939111130092</v>
      </c>
      <c r="G93" s="25">
        <f t="shared" si="7"/>
        <v>0</v>
      </c>
      <c r="H93" s="24" t="str">
        <f t="shared" si="7"/>
        <v>ResSpHtHPZ1</v>
      </c>
      <c r="I93" s="24">
        <f t="shared" si="7"/>
        <v>41.534869287695713</v>
      </c>
      <c r="J93" s="24">
        <f t="shared" si="7"/>
        <v>0</v>
      </c>
      <c r="K93" s="24">
        <f t="shared" si="7"/>
        <v>0</v>
      </c>
      <c r="L93" s="24">
        <f t="shared" si="7"/>
        <v>0</v>
      </c>
      <c r="M93" s="24">
        <f t="shared" si="7"/>
        <v>0</v>
      </c>
      <c r="N93" s="24">
        <f t="shared" si="7"/>
        <v>0</v>
      </c>
      <c r="O93" s="24">
        <f t="shared" si="7"/>
        <v>0</v>
      </c>
      <c r="P93" s="24">
        <f t="shared" si="7"/>
        <v>0</v>
      </c>
      <c r="Q93" s="24">
        <f t="shared" si="7"/>
        <v>0</v>
      </c>
    </row>
    <row r="94" spans="1:17" ht="25.5">
      <c r="A94" t="str">
        <f t="shared" si="4"/>
        <v>Heating Zone 1 - Cooling Zone 2</v>
      </c>
      <c r="B94" s="24" t="str">
        <f t="shared" si="2"/>
        <v>Existing Single Family Home HVAC Conversion - Convert FAF w/o CAC to Heat Pump - House with "Good Insulation" - Heating Zone 1 - Cooling Zone 2</v>
      </c>
      <c r="C94" s="24" t="str">
        <f t="shared" ref="C94:Q94" si="8">C11</f>
        <v>Heating Savings</v>
      </c>
      <c r="D94" s="25">
        <f t="shared" si="8"/>
        <v>2610.3529019871903</v>
      </c>
      <c r="E94" s="25">
        <f t="shared" si="8"/>
        <v>15</v>
      </c>
      <c r="F94" s="25">
        <f t="shared" si="8"/>
        <v>3509.8890108759192</v>
      </c>
      <c r="G94" s="25">
        <f t="shared" si="8"/>
        <v>0</v>
      </c>
      <c r="H94" s="24" t="str">
        <f t="shared" si="8"/>
        <v>ResSpHtHPZ1</v>
      </c>
      <c r="I94" s="24">
        <f t="shared" si="8"/>
        <v>41.534869287695713</v>
      </c>
      <c r="J94" s="24">
        <f t="shared" si="8"/>
        <v>0</v>
      </c>
      <c r="K94" s="24">
        <f t="shared" si="8"/>
        <v>0</v>
      </c>
      <c r="L94" s="24">
        <f t="shared" si="8"/>
        <v>0</v>
      </c>
      <c r="M94" s="24">
        <f t="shared" si="8"/>
        <v>0</v>
      </c>
      <c r="N94" s="24">
        <f t="shared" si="8"/>
        <v>0</v>
      </c>
      <c r="O94" s="24">
        <f t="shared" si="8"/>
        <v>0</v>
      </c>
      <c r="P94" s="24">
        <f t="shared" si="8"/>
        <v>0</v>
      </c>
      <c r="Q94" s="24">
        <f t="shared" si="8"/>
        <v>0</v>
      </c>
    </row>
    <row r="95" spans="1:17" ht="25.5">
      <c r="A95" t="str">
        <f t="shared" si="4"/>
        <v>Heating Zone 1 - Cooling Zone 3</v>
      </c>
      <c r="B95" s="24" t="str">
        <f t="shared" si="2"/>
        <v>Existing Single Family Home HVAC Conversion - Convert FAF w/o CAC to Heat Pump - House with "Good Insulation" - Heating Zone 1 - Cooling Zone 3</v>
      </c>
      <c r="C95" s="24" t="str">
        <f t="shared" ref="C95:Q95" si="9">C12</f>
        <v>Heating Savings</v>
      </c>
      <c r="D95" s="25">
        <f t="shared" si="9"/>
        <v>2610.3529019871903</v>
      </c>
      <c r="E95" s="25">
        <f t="shared" si="9"/>
        <v>15</v>
      </c>
      <c r="F95" s="25">
        <f t="shared" si="9"/>
        <v>2878.5049609349367</v>
      </c>
      <c r="G95" s="25">
        <f t="shared" si="9"/>
        <v>0</v>
      </c>
      <c r="H95" s="24" t="str">
        <f t="shared" si="9"/>
        <v>ResSpHtHPZ1</v>
      </c>
      <c r="I95" s="24">
        <f t="shared" si="9"/>
        <v>41.534869287695713</v>
      </c>
      <c r="J95" s="24">
        <f t="shared" si="9"/>
        <v>0</v>
      </c>
      <c r="K95" s="24">
        <f t="shared" si="9"/>
        <v>0</v>
      </c>
      <c r="L95" s="24">
        <f t="shared" si="9"/>
        <v>0</v>
      </c>
      <c r="M95" s="24">
        <f t="shared" si="9"/>
        <v>0</v>
      </c>
      <c r="N95" s="24">
        <f t="shared" si="9"/>
        <v>0</v>
      </c>
      <c r="O95" s="24">
        <f t="shared" si="9"/>
        <v>0</v>
      </c>
      <c r="P95" s="24">
        <f t="shared" si="9"/>
        <v>0</v>
      </c>
      <c r="Q95" s="24">
        <f t="shared" si="9"/>
        <v>0</v>
      </c>
    </row>
    <row r="96" spans="1:17" ht="25.5">
      <c r="A96" t="str">
        <f t="shared" si="4"/>
        <v>Heating Zone 2 - Cooling Zone 1</v>
      </c>
      <c r="B96" s="24" t="str">
        <f t="shared" si="2"/>
        <v>Existing Single Family Home HVAC Conversion - Convert FAF w/o CAC to Heat Pump - House with "Good Insulation" - Heating Zone 2 - Cooling Zone 1</v>
      </c>
      <c r="C96" s="24" t="str">
        <f t="shared" ref="C96:Q96" si="10">C13</f>
        <v>Heating Savings</v>
      </c>
      <c r="D96" s="25">
        <f t="shared" si="10"/>
        <v>2688.7510694825951</v>
      </c>
      <c r="E96" s="25">
        <f t="shared" si="10"/>
        <v>15</v>
      </c>
      <c r="F96" s="25">
        <f t="shared" si="10"/>
        <v>4447.1207777664877</v>
      </c>
      <c r="G96" s="25">
        <f t="shared" si="10"/>
        <v>0</v>
      </c>
      <c r="H96" s="24" t="str">
        <f t="shared" si="10"/>
        <v>ResSpHtHPZ2</v>
      </c>
      <c r="I96" s="24">
        <f t="shared" si="10"/>
        <v>31.283284032448492</v>
      </c>
      <c r="J96" s="24">
        <f t="shared" si="10"/>
        <v>0</v>
      </c>
      <c r="K96" s="24">
        <f t="shared" si="10"/>
        <v>0</v>
      </c>
      <c r="L96" s="24">
        <f t="shared" si="10"/>
        <v>0</v>
      </c>
      <c r="M96" s="24">
        <f t="shared" si="10"/>
        <v>0</v>
      </c>
      <c r="N96" s="24">
        <f t="shared" si="10"/>
        <v>0</v>
      </c>
      <c r="O96" s="24">
        <f t="shared" si="10"/>
        <v>0</v>
      </c>
      <c r="P96" s="24">
        <f t="shared" si="10"/>
        <v>0</v>
      </c>
      <c r="Q96" s="24">
        <f t="shared" si="10"/>
        <v>0</v>
      </c>
    </row>
    <row r="97" spans="1:17" ht="25.5">
      <c r="A97" t="str">
        <f t="shared" si="4"/>
        <v>Heating Zone 2 - Cooling Zone 2</v>
      </c>
      <c r="B97" s="24" t="str">
        <f t="shared" si="2"/>
        <v>Existing Single Family Home HVAC Conversion - Convert FAF w/o CAC to Heat Pump - House with "Good Insulation" - Heating Zone 2 - Cooling Zone 2</v>
      </c>
      <c r="C97" s="24" t="str">
        <f t="shared" ref="C97:Q97" si="11">C14</f>
        <v>Heating Savings</v>
      </c>
      <c r="D97" s="25">
        <f t="shared" si="11"/>
        <v>2688.7510694825951</v>
      </c>
      <c r="E97" s="25">
        <f t="shared" si="11"/>
        <v>15</v>
      </c>
      <c r="F97" s="25">
        <f t="shared" si="11"/>
        <v>3543.0573998273053</v>
      </c>
      <c r="G97" s="25">
        <f t="shared" si="11"/>
        <v>0</v>
      </c>
      <c r="H97" s="24" t="str">
        <f t="shared" si="11"/>
        <v>ResSpHtHPZ2</v>
      </c>
      <c r="I97" s="24">
        <f t="shared" si="11"/>
        <v>31.283284032448492</v>
      </c>
      <c r="J97" s="24">
        <f t="shared" si="11"/>
        <v>0</v>
      </c>
      <c r="K97" s="24">
        <f t="shared" si="11"/>
        <v>0</v>
      </c>
      <c r="L97" s="24">
        <f t="shared" si="11"/>
        <v>0</v>
      </c>
      <c r="M97" s="24">
        <f t="shared" si="11"/>
        <v>0</v>
      </c>
      <c r="N97" s="24">
        <f t="shared" si="11"/>
        <v>0</v>
      </c>
      <c r="O97" s="24">
        <f t="shared" si="11"/>
        <v>0</v>
      </c>
      <c r="P97" s="24">
        <f t="shared" si="11"/>
        <v>0</v>
      </c>
      <c r="Q97" s="24">
        <f t="shared" si="11"/>
        <v>0</v>
      </c>
    </row>
    <row r="98" spans="1:17" ht="25.5">
      <c r="A98" t="str">
        <f t="shared" si="4"/>
        <v>Heating Zone 2 - Cooling Zone 3</v>
      </c>
      <c r="B98" s="24" t="str">
        <f t="shared" si="2"/>
        <v>Existing Single Family Home HVAC Conversion - Convert FAF w/o CAC to Heat Pump - House with "Good Insulation" - Heating Zone 2 - Cooling Zone 3</v>
      </c>
      <c r="C98" s="24" t="str">
        <f t="shared" ref="C98:Q98" si="12">C15</f>
        <v>Heating Savings</v>
      </c>
      <c r="D98" s="25">
        <f t="shared" si="12"/>
        <v>2688.7510694825951</v>
      </c>
      <c r="E98" s="25">
        <f t="shared" si="12"/>
        <v>15</v>
      </c>
      <c r="F98" s="25">
        <f t="shared" si="12"/>
        <v>2901.7926051213844</v>
      </c>
      <c r="G98" s="25">
        <f t="shared" si="12"/>
        <v>0</v>
      </c>
      <c r="H98" s="24" t="str">
        <f t="shared" si="12"/>
        <v>ResSpHtHPZ2</v>
      </c>
      <c r="I98" s="24">
        <f t="shared" si="12"/>
        <v>31.283284032448492</v>
      </c>
      <c r="J98" s="24">
        <f t="shared" si="12"/>
        <v>0</v>
      </c>
      <c r="K98" s="24">
        <f t="shared" si="12"/>
        <v>0</v>
      </c>
      <c r="L98" s="24">
        <f t="shared" si="12"/>
        <v>0</v>
      </c>
      <c r="M98" s="24">
        <f t="shared" si="12"/>
        <v>0</v>
      </c>
      <c r="N98" s="24">
        <f t="shared" si="12"/>
        <v>0</v>
      </c>
      <c r="O98" s="24">
        <f t="shared" si="12"/>
        <v>0</v>
      </c>
      <c r="P98" s="24">
        <f t="shared" si="12"/>
        <v>0</v>
      </c>
      <c r="Q98" s="24">
        <f t="shared" si="12"/>
        <v>0</v>
      </c>
    </row>
    <row r="99" spans="1:17" ht="25.5">
      <c r="A99" t="str">
        <f t="shared" si="4"/>
        <v>Heating Zone 3 - Cooling Zone 1</v>
      </c>
      <c r="B99" s="24" t="str">
        <f t="shared" si="2"/>
        <v>Existing Single Family Home HVAC Conversion - Convert FAF w/o CAC to Heat Pump - House with "Good Insulation" - Heating Zone 3 - Cooling Zone 1</v>
      </c>
      <c r="C99" s="24" t="str">
        <f t="shared" ref="C99:Q99" si="13">C16</f>
        <v>Heating Savings</v>
      </c>
      <c r="D99" s="25">
        <f t="shared" si="13"/>
        <v>2318.9213380538454</v>
      </c>
      <c r="E99" s="25">
        <f t="shared" si="13"/>
        <v>15</v>
      </c>
      <c r="F99" s="25">
        <f t="shared" si="13"/>
        <v>4498.178811639702</v>
      </c>
      <c r="G99" s="25">
        <f t="shared" si="13"/>
        <v>0</v>
      </c>
      <c r="H99" s="24" t="str">
        <f t="shared" si="13"/>
        <v>ResSpHtHPZ3</v>
      </c>
      <c r="I99" s="24">
        <f t="shared" si="13"/>
        <v>27.443333338878478</v>
      </c>
      <c r="J99" s="24">
        <f t="shared" si="13"/>
        <v>0</v>
      </c>
      <c r="K99" s="24">
        <f t="shared" si="13"/>
        <v>0</v>
      </c>
      <c r="L99" s="24">
        <f t="shared" si="13"/>
        <v>0</v>
      </c>
      <c r="M99" s="24">
        <f t="shared" si="13"/>
        <v>0</v>
      </c>
      <c r="N99" s="24">
        <f t="shared" si="13"/>
        <v>0</v>
      </c>
      <c r="O99" s="24">
        <f t="shared" si="13"/>
        <v>0</v>
      </c>
      <c r="P99" s="24">
        <f t="shared" si="13"/>
        <v>0</v>
      </c>
      <c r="Q99" s="24">
        <f t="shared" si="13"/>
        <v>0</v>
      </c>
    </row>
    <row r="100" spans="1:17" ht="25.5">
      <c r="A100" t="str">
        <f t="shared" si="4"/>
        <v>Heating Zone 3 - Cooling Zone 2</v>
      </c>
      <c r="B100" s="24" t="str">
        <f t="shared" si="2"/>
        <v>Existing Single Family Home HVAC Conversion - Convert FAF w/o CAC to Heat Pump - House with "Good Insulation" - Heating Zone 3 - Cooling Zone 2</v>
      </c>
      <c r="C100" s="24" t="str">
        <f t="shared" ref="C100:Q100" si="14">C17</f>
        <v>Heating Savings</v>
      </c>
      <c r="D100" s="25">
        <f t="shared" si="14"/>
        <v>2318.9213380538454</v>
      </c>
      <c r="E100" s="25">
        <f t="shared" si="14"/>
        <v>15</v>
      </c>
      <c r="F100" s="25">
        <f t="shared" si="14"/>
        <v>3584.1803767469223</v>
      </c>
      <c r="G100" s="25">
        <f t="shared" si="14"/>
        <v>0</v>
      </c>
      <c r="H100" s="24" t="str">
        <f t="shared" si="14"/>
        <v>ResSpHtHPZ3</v>
      </c>
      <c r="I100" s="24">
        <f t="shared" si="14"/>
        <v>27.443333338878478</v>
      </c>
      <c r="J100" s="24">
        <f t="shared" si="14"/>
        <v>0</v>
      </c>
      <c r="K100" s="24">
        <f t="shared" si="14"/>
        <v>0</v>
      </c>
      <c r="L100" s="24">
        <f t="shared" si="14"/>
        <v>0</v>
      </c>
      <c r="M100" s="24">
        <f t="shared" si="14"/>
        <v>0</v>
      </c>
      <c r="N100" s="24">
        <f t="shared" si="14"/>
        <v>0</v>
      </c>
      <c r="O100" s="24">
        <f t="shared" si="14"/>
        <v>0</v>
      </c>
      <c r="P100" s="24">
        <f t="shared" si="14"/>
        <v>0</v>
      </c>
      <c r="Q100" s="24">
        <f t="shared" si="14"/>
        <v>0</v>
      </c>
    </row>
    <row r="101" spans="1:17" ht="25.5">
      <c r="A101" t="str">
        <f t="shared" si="4"/>
        <v>Heating Zone 3 - Cooling Zone 3</v>
      </c>
      <c r="B101" s="24" t="str">
        <f t="shared" si="2"/>
        <v>Existing Single Family Home HVAC Conversion - Convert FAF w/o CAC to Heat Pump - House with "Good Insulation" - Heating Zone 3 - Cooling Zone 3</v>
      </c>
      <c r="C101" s="24" t="str">
        <f t="shared" ref="C101:Q101" si="15">C18</f>
        <v>Heating Savings</v>
      </c>
      <c r="D101" s="25">
        <f t="shared" si="15"/>
        <v>2318.9213380538454</v>
      </c>
      <c r="E101" s="25">
        <f t="shared" si="15"/>
        <v>15</v>
      </c>
      <c r="F101" s="25">
        <f t="shared" si="15"/>
        <v>2930.6651938924329</v>
      </c>
      <c r="G101" s="25">
        <f t="shared" si="15"/>
        <v>0</v>
      </c>
      <c r="H101" s="24" t="str">
        <f t="shared" si="15"/>
        <v>ResSpHtHPZ3</v>
      </c>
      <c r="I101" s="24">
        <f t="shared" si="15"/>
        <v>27.443333338878478</v>
      </c>
      <c r="J101" s="24">
        <f t="shared" si="15"/>
        <v>0</v>
      </c>
      <c r="K101" s="24">
        <f t="shared" si="15"/>
        <v>0</v>
      </c>
      <c r="L101" s="24">
        <f t="shared" si="15"/>
        <v>0</v>
      </c>
      <c r="M101" s="24">
        <f t="shared" si="15"/>
        <v>0</v>
      </c>
      <c r="N101" s="24">
        <f t="shared" si="15"/>
        <v>0</v>
      </c>
      <c r="O101" s="24">
        <f t="shared" si="15"/>
        <v>0</v>
      </c>
      <c r="P101" s="24">
        <f t="shared" si="15"/>
        <v>0</v>
      </c>
      <c r="Q101" s="24">
        <f t="shared" si="15"/>
        <v>0</v>
      </c>
    </row>
    <row r="102" spans="1:17" ht="25.5">
      <c r="A102" t="str">
        <f t="shared" si="4"/>
        <v>Heating Zone 1</v>
      </c>
      <c r="B102" s="24" t="str">
        <f t="shared" si="2"/>
        <v>Existing Single Family Home HVAC Upgrade - Heat Pump Upgrade to 9.0 HSPF/14 SEER - Heating Zone 1</v>
      </c>
      <c r="C102" s="24" t="str">
        <f t="shared" ref="C102:Q110" si="16">C19</f>
        <v>Heating Savings</v>
      </c>
      <c r="D102" s="25">
        <f t="shared" si="16"/>
        <v>115.19308595364367</v>
      </c>
      <c r="E102" s="25">
        <f t="shared" si="16"/>
        <v>15</v>
      </c>
      <c r="F102" s="25">
        <f t="shared" si="16"/>
        <v>89.471516996608102</v>
      </c>
      <c r="G102" s="25">
        <f t="shared" si="16"/>
        <v>0</v>
      </c>
      <c r="H102" s="24" t="str">
        <f t="shared" si="16"/>
        <v>ResSpHtHPZ1</v>
      </c>
      <c r="I102" s="24">
        <f t="shared" si="16"/>
        <v>1.6807132651285106</v>
      </c>
      <c r="J102" s="24">
        <f t="shared" si="16"/>
        <v>0</v>
      </c>
      <c r="K102" s="24">
        <f t="shared" si="16"/>
        <v>0</v>
      </c>
      <c r="L102" s="24">
        <f t="shared" si="16"/>
        <v>0</v>
      </c>
      <c r="M102" s="24">
        <f t="shared" si="16"/>
        <v>0</v>
      </c>
      <c r="N102" s="24">
        <f t="shared" si="16"/>
        <v>0</v>
      </c>
      <c r="O102" s="24">
        <f t="shared" si="16"/>
        <v>0</v>
      </c>
      <c r="P102" s="24">
        <f t="shared" si="16"/>
        <v>0</v>
      </c>
      <c r="Q102" s="24">
        <f t="shared" si="16"/>
        <v>0</v>
      </c>
    </row>
    <row r="103" spans="1:17" ht="25.5">
      <c r="A103" t="str">
        <f t="shared" si="4"/>
        <v>Heating Zone 2</v>
      </c>
      <c r="B103" s="24" t="str">
        <f t="shared" si="2"/>
        <v>Existing Single Family Home HVAC Upgrade - Heat Pump Upgrade to 9.0 HSPF/14 SEER - Heating Zone 2</v>
      </c>
      <c r="C103" s="24" t="str">
        <f t="shared" si="16"/>
        <v>Heating Savings</v>
      </c>
      <c r="D103" s="25">
        <f t="shared" si="16"/>
        <v>86.645648827051815</v>
      </c>
      <c r="E103" s="25">
        <f t="shared" si="16"/>
        <v>15</v>
      </c>
      <c r="F103" s="25">
        <f t="shared" si="16"/>
        <v>89.471516996608102</v>
      </c>
      <c r="G103" s="25">
        <f t="shared" si="16"/>
        <v>0</v>
      </c>
      <c r="H103" s="24" t="str">
        <f t="shared" si="16"/>
        <v>ResSpHtHPZ2</v>
      </c>
      <c r="I103" s="24">
        <f t="shared" si="16"/>
        <v>1.0348229224589816</v>
      </c>
      <c r="J103" s="24">
        <f t="shared" si="16"/>
        <v>0</v>
      </c>
      <c r="K103" s="24">
        <f t="shared" si="16"/>
        <v>0</v>
      </c>
      <c r="L103" s="24">
        <f t="shared" si="16"/>
        <v>0</v>
      </c>
      <c r="M103" s="24">
        <f t="shared" si="16"/>
        <v>0</v>
      </c>
      <c r="N103" s="24">
        <f t="shared" si="16"/>
        <v>0</v>
      </c>
      <c r="O103" s="24">
        <f t="shared" si="16"/>
        <v>0</v>
      </c>
      <c r="P103" s="24">
        <f t="shared" si="16"/>
        <v>0</v>
      </c>
      <c r="Q103" s="24">
        <f t="shared" si="16"/>
        <v>0</v>
      </c>
    </row>
    <row r="104" spans="1:17" ht="25.5">
      <c r="A104" t="str">
        <f t="shared" si="4"/>
        <v>Heating Zone 3</v>
      </c>
      <c r="B104" s="24" t="str">
        <f t="shared" si="2"/>
        <v>Existing Single Family Home HVAC Upgrade - Heat Pump Upgrade to 9.0 HSPF/14 SEER - Heating Zone 3</v>
      </c>
      <c r="C104" s="24" t="str">
        <f t="shared" si="16"/>
        <v>Heating Savings</v>
      </c>
      <c r="D104" s="25">
        <f t="shared" si="16"/>
        <v>68.790667006913637</v>
      </c>
      <c r="E104" s="25">
        <f t="shared" si="16"/>
        <v>15</v>
      </c>
      <c r="F104" s="25">
        <f t="shared" si="16"/>
        <v>89.471516996608102</v>
      </c>
      <c r="G104" s="25">
        <f t="shared" si="16"/>
        <v>0</v>
      </c>
      <c r="H104" s="24" t="str">
        <f t="shared" si="16"/>
        <v>ResSpHtHPZ3</v>
      </c>
      <c r="I104" s="24">
        <f t="shared" si="16"/>
        <v>0.78438556977170426</v>
      </c>
      <c r="J104" s="24">
        <f t="shared" si="16"/>
        <v>0</v>
      </c>
      <c r="K104" s="24">
        <f t="shared" si="16"/>
        <v>0</v>
      </c>
      <c r="L104" s="24">
        <f t="shared" si="16"/>
        <v>0</v>
      </c>
      <c r="M104" s="24">
        <f t="shared" si="16"/>
        <v>0</v>
      </c>
      <c r="N104" s="24">
        <f t="shared" si="16"/>
        <v>0</v>
      </c>
      <c r="O104" s="24">
        <f t="shared" si="16"/>
        <v>0</v>
      </c>
      <c r="P104" s="24">
        <f t="shared" si="16"/>
        <v>0</v>
      </c>
      <c r="Q104" s="24">
        <f t="shared" si="16"/>
        <v>0</v>
      </c>
    </row>
    <row r="105" spans="1:17" ht="25.5">
      <c r="A105" t="str">
        <f t="shared" si="4"/>
        <v>Heating Zone 1 - Cooling Zone 1</v>
      </c>
      <c r="B105" s="24" t="str">
        <f t="shared" si="2"/>
        <v>Existing Single Family Home HVAC Upgrade - Central Heat Pump Upgrade to Variable Capacity Central Heat Pump - Heating Zone 1 - Cooling Zone 1</v>
      </c>
      <c r="C105" s="24" t="str">
        <f t="shared" si="16"/>
        <v>Heating Savings</v>
      </c>
      <c r="D105" s="25">
        <f>D22-D102</f>
        <v>459.77548885727816</v>
      </c>
      <c r="E105" s="25">
        <f t="shared" si="16"/>
        <v>15</v>
      </c>
      <c r="F105" s="25">
        <f>F22-F102</f>
        <v>5356.8461304836173</v>
      </c>
      <c r="G105" s="25">
        <f t="shared" si="16"/>
        <v>0</v>
      </c>
      <c r="H105" s="24" t="str">
        <f t="shared" si="16"/>
        <v>ResSpHtHPZ1</v>
      </c>
      <c r="I105" s="25">
        <f>I22-I102</f>
        <v>6.4703973995617137</v>
      </c>
      <c r="J105" s="24">
        <f t="shared" si="16"/>
        <v>0</v>
      </c>
      <c r="K105" s="24">
        <f t="shared" si="16"/>
        <v>0</v>
      </c>
      <c r="L105" s="24">
        <f t="shared" si="16"/>
        <v>0</v>
      </c>
      <c r="M105" s="24">
        <f t="shared" si="16"/>
        <v>0</v>
      </c>
      <c r="N105" s="24">
        <f t="shared" si="16"/>
        <v>0</v>
      </c>
      <c r="O105" s="24">
        <f t="shared" si="16"/>
        <v>0</v>
      </c>
      <c r="P105" s="24">
        <f t="shared" si="16"/>
        <v>0</v>
      </c>
      <c r="Q105" s="24">
        <f t="shared" si="16"/>
        <v>0</v>
      </c>
    </row>
    <row r="106" spans="1:17" ht="25.5">
      <c r="A106" t="str">
        <f t="shared" si="4"/>
        <v>Heating Zone 1 - Cooling Zone 2</v>
      </c>
      <c r="B106" s="24" t="str">
        <f t="shared" si="2"/>
        <v>Existing Single Family Home HVAC Upgrade - Central Heat Pump Upgrade to Variable Capacity Central Heat Pump - Heating Zone 1 - Cooling Zone 2</v>
      </c>
      <c r="C106" s="24" t="str">
        <f t="shared" si="16"/>
        <v>Heating Savings</v>
      </c>
      <c r="D106" s="25">
        <f>D23-D102</f>
        <v>459.77548885727816</v>
      </c>
      <c r="E106" s="25">
        <f t="shared" si="16"/>
        <v>15</v>
      </c>
      <c r="F106" s="25">
        <f>F23-F102</f>
        <v>5356.8461304836173</v>
      </c>
      <c r="G106" s="25">
        <f t="shared" si="16"/>
        <v>0</v>
      </c>
      <c r="H106" s="24" t="str">
        <f t="shared" si="16"/>
        <v>ResSpHtHPZ1</v>
      </c>
      <c r="I106" s="25">
        <f>I23-I102</f>
        <v>6.4703973995617137</v>
      </c>
      <c r="J106" s="24">
        <f t="shared" si="16"/>
        <v>0</v>
      </c>
      <c r="K106" s="24">
        <f t="shared" si="16"/>
        <v>0</v>
      </c>
      <c r="L106" s="24">
        <f t="shared" si="16"/>
        <v>0</v>
      </c>
      <c r="M106" s="24">
        <f t="shared" si="16"/>
        <v>0</v>
      </c>
      <c r="N106" s="24">
        <f t="shared" si="16"/>
        <v>0</v>
      </c>
      <c r="O106" s="24">
        <f t="shared" si="16"/>
        <v>0</v>
      </c>
      <c r="P106" s="24">
        <f t="shared" si="16"/>
        <v>0</v>
      </c>
      <c r="Q106" s="24">
        <f t="shared" si="16"/>
        <v>0</v>
      </c>
    </row>
    <row r="107" spans="1:17" ht="25.5">
      <c r="A107" t="str">
        <f t="shared" si="4"/>
        <v>Heating Zone 1 - Cooling Zone 3</v>
      </c>
      <c r="B107" s="24" t="str">
        <f t="shared" si="2"/>
        <v>Existing Single Family Home HVAC Upgrade - Central Heat Pump Upgrade to Variable Capacity Central Heat Pump - Heating Zone 1 - Cooling Zone 3</v>
      </c>
      <c r="C107" s="24" t="str">
        <f t="shared" si="16"/>
        <v>Heating Savings</v>
      </c>
      <c r="D107" s="25">
        <f>D24-D102</f>
        <v>459.77548885727816</v>
      </c>
      <c r="E107" s="25">
        <f t="shared" si="16"/>
        <v>15</v>
      </c>
      <c r="F107" s="25">
        <f>F24-F102</f>
        <v>5356.8461304836173</v>
      </c>
      <c r="G107" s="25">
        <f t="shared" si="16"/>
        <v>0</v>
      </c>
      <c r="H107" s="24" t="str">
        <f t="shared" si="16"/>
        <v>ResSpHtHPZ1</v>
      </c>
      <c r="I107" s="25">
        <f>I24-I102</f>
        <v>6.4703973995617137</v>
      </c>
      <c r="J107" s="24">
        <f t="shared" si="16"/>
        <v>0</v>
      </c>
      <c r="K107" s="24">
        <f t="shared" si="16"/>
        <v>0</v>
      </c>
      <c r="L107" s="24">
        <f t="shared" si="16"/>
        <v>0</v>
      </c>
      <c r="M107" s="24">
        <f t="shared" si="16"/>
        <v>0</v>
      </c>
      <c r="N107" s="24">
        <f t="shared" si="16"/>
        <v>0</v>
      </c>
      <c r="O107" s="24">
        <f t="shared" si="16"/>
        <v>0</v>
      </c>
      <c r="P107" s="24">
        <f t="shared" si="16"/>
        <v>0</v>
      </c>
      <c r="Q107" s="24">
        <f t="shared" si="16"/>
        <v>0</v>
      </c>
    </row>
    <row r="108" spans="1:17" ht="25.5">
      <c r="A108" t="str">
        <f t="shared" si="4"/>
        <v>Heating Zone 2 - Cooling Zone 1</v>
      </c>
      <c r="B108" s="24" t="str">
        <f t="shared" si="2"/>
        <v>Existing Single Family Home HVAC Upgrade - Central Heat Pump Upgrade to Variable Capacity Central Heat Pump - Heating Zone 2 - Cooling Zone 1</v>
      </c>
      <c r="C108" s="24" t="str">
        <f t="shared" si="16"/>
        <v>Heating Savings</v>
      </c>
      <c r="D108" s="25">
        <f>D25-D103</f>
        <v>595.23709277508306</v>
      </c>
      <c r="E108" s="25">
        <f t="shared" si="16"/>
        <v>15</v>
      </c>
      <c r="F108" s="25">
        <f>F25-F103</f>
        <v>5356.8461304836173</v>
      </c>
      <c r="G108" s="25">
        <f t="shared" si="16"/>
        <v>0</v>
      </c>
      <c r="H108" s="24" t="str">
        <f t="shared" si="16"/>
        <v>ResSpHtHPZ2</v>
      </c>
      <c r="I108" s="25">
        <f>I25-I103</f>
        <v>7.0624402321725208</v>
      </c>
      <c r="J108" s="24">
        <f t="shared" si="16"/>
        <v>0</v>
      </c>
      <c r="K108" s="24">
        <f t="shared" si="16"/>
        <v>0</v>
      </c>
      <c r="L108" s="24">
        <f t="shared" si="16"/>
        <v>0</v>
      </c>
      <c r="M108" s="24">
        <f t="shared" si="16"/>
        <v>0</v>
      </c>
      <c r="N108" s="24">
        <f t="shared" si="16"/>
        <v>0</v>
      </c>
      <c r="O108" s="24">
        <f t="shared" si="16"/>
        <v>0</v>
      </c>
      <c r="P108" s="24">
        <f t="shared" si="16"/>
        <v>0</v>
      </c>
      <c r="Q108" s="24">
        <f t="shared" si="16"/>
        <v>0</v>
      </c>
    </row>
    <row r="109" spans="1:17" ht="25.5">
      <c r="A109" t="str">
        <f t="shared" si="4"/>
        <v>Heating Zone 2 - Cooling Zone 2</v>
      </c>
      <c r="B109" s="24" t="str">
        <f t="shared" si="2"/>
        <v>Existing Single Family Home HVAC Upgrade - Central Heat Pump Upgrade to Variable Capacity Central Heat Pump - Heating Zone 2 - Cooling Zone 2</v>
      </c>
      <c r="C109" s="24" t="str">
        <f t="shared" si="16"/>
        <v>Heating Savings</v>
      </c>
      <c r="D109" s="25">
        <f>D26-D103</f>
        <v>595.23709277508306</v>
      </c>
      <c r="E109" s="25">
        <f t="shared" si="16"/>
        <v>15</v>
      </c>
      <c r="F109" s="25">
        <f>F26-F103</f>
        <v>5356.8461304836173</v>
      </c>
      <c r="G109" s="25">
        <f t="shared" si="16"/>
        <v>0</v>
      </c>
      <c r="H109" s="24" t="str">
        <f t="shared" si="16"/>
        <v>ResSpHtHPZ2</v>
      </c>
      <c r="I109" s="25">
        <f>I26-I103</f>
        <v>7.0624402321725208</v>
      </c>
      <c r="J109" s="24">
        <f t="shared" si="16"/>
        <v>0</v>
      </c>
      <c r="K109" s="24">
        <f t="shared" si="16"/>
        <v>0</v>
      </c>
      <c r="L109" s="24">
        <f t="shared" si="16"/>
        <v>0</v>
      </c>
      <c r="M109" s="24">
        <f t="shared" si="16"/>
        <v>0</v>
      </c>
      <c r="N109" s="24">
        <f t="shared" si="16"/>
        <v>0</v>
      </c>
      <c r="O109" s="24">
        <f t="shared" si="16"/>
        <v>0</v>
      </c>
      <c r="P109" s="24">
        <f t="shared" si="16"/>
        <v>0</v>
      </c>
      <c r="Q109" s="24">
        <f t="shared" si="16"/>
        <v>0</v>
      </c>
    </row>
    <row r="110" spans="1:17" ht="25.5">
      <c r="A110" t="str">
        <f t="shared" si="4"/>
        <v>Heating Zone 2 - Cooling Zone 3</v>
      </c>
      <c r="B110" s="24" t="str">
        <f t="shared" si="2"/>
        <v>Existing Single Family Home HVAC Upgrade - Central Heat Pump Upgrade to Variable Capacity Central Heat Pump - Heating Zone 2 - Cooling Zone 3</v>
      </c>
      <c r="C110" s="24" t="str">
        <f t="shared" si="16"/>
        <v>Heating Savings</v>
      </c>
      <c r="D110" s="25">
        <f>D27-D103</f>
        <v>595.23709277508306</v>
      </c>
      <c r="E110" s="25">
        <f t="shared" si="16"/>
        <v>15</v>
      </c>
      <c r="F110" s="25">
        <f>F27-F103</f>
        <v>5356.8461304836173</v>
      </c>
      <c r="G110" s="25">
        <f t="shared" si="16"/>
        <v>0</v>
      </c>
      <c r="H110" s="24" t="str">
        <f t="shared" si="16"/>
        <v>ResSpHtHPZ2</v>
      </c>
      <c r="I110" s="25">
        <f>I27-I103</f>
        <v>7.0624402321725208</v>
      </c>
      <c r="J110" s="24">
        <f t="shared" si="16"/>
        <v>0</v>
      </c>
      <c r="K110" s="24">
        <f t="shared" si="16"/>
        <v>0</v>
      </c>
      <c r="L110" s="24">
        <f t="shared" si="16"/>
        <v>0</v>
      </c>
      <c r="M110" s="24">
        <f t="shared" si="16"/>
        <v>0</v>
      </c>
      <c r="N110" s="24">
        <f t="shared" si="16"/>
        <v>0</v>
      </c>
      <c r="O110" s="24">
        <f t="shared" si="16"/>
        <v>0</v>
      </c>
      <c r="P110" s="24">
        <f t="shared" si="16"/>
        <v>0</v>
      </c>
      <c r="Q110" s="24">
        <f t="shared" si="16"/>
        <v>0</v>
      </c>
    </row>
    <row r="111" spans="1:17" ht="25.5">
      <c r="A111" t="str">
        <f t="shared" si="4"/>
        <v>Heating Zone 3 - Cooling Zone 1</v>
      </c>
      <c r="B111" s="24" t="str">
        <f t="shared" si="2"/>
        <v>Existing Single Family Home HVAC Upgrade - Central Heat Pump Upgrade to Variable Capacity Central Heat Pump - Heating Zone 3 - Cooling Zone 1</v>
      </c>
      <c r="C111" s="24" t="str">
        <f t="shared" ref="C111:C134" si="17">C28</f>
        <v>Heating Savings</v>
      </c>
      <c r="D111" s="25">
        <f>D28-D104</f>
        <v>786.20301111817059</v>
      </c>
      <c r="E111" s="25">
        <f t="shared" ref="E111:E125" si="18">E28</f>
        <v>15</v>
      </c>
      <c r="F111" s="25">
        <f>F28-F104</f>
        <v>5356.8461304836173</v>
      </c>
      <c r="G111" s="25">
        <f t="shared" ref="G111:H125" si="19">G28</f>
        <v>0</v>
      </c>
      <c r="H111" s="24" t="str">
        <f t="shared" si="19"/>
        <v>ResSpHtHPZ3</v>
      </c>
      <c r="I111" s="25">
        <f>I28-I104</f>
        <v>9.4063030589242054</v>
      </c>
      <c r="J111" s="24">
        <f t="shared" ref="J111:Q125" si="20">J28</f>
        <v>0</v>
      </c>
      <c r="K111" s="24">
        <f t="shared" si="20"/>
        <v>0</v>
      </c>
      <c r="L111" s="24">
        <f t="shared" si="20"/>
        <v>0</v>
      </c>
      <c r="M111" s="24">
        <f t="shared" si="20"/>
        <v>0</v>
      </c>
      <c r="N111" s="24">
        <f t="shared" si="20"/>
        <v>0</v>
      </c>
      <c r="O111" s="24">
        <f t="shared" si="20"/>
        <v>0</v>
      </c>
      <c r="P111" s="24">
        <f t="shared" si="20"/>
        <v>0</v>
      </c>
      <c r="Q111" s="24">
        <f t="shared" si="20"/>
        <v>0</v>
      </c>
    </row>
    <row r="112" spans="1:17" ht="25.5">
      <c r="A112" t="str">
        <f t="shared" si="4"/>
        <v>Heating Zone 3 - Cooling Zone 2</v>
      </c>
      <c r="B112" s="24" t="str">
        <f t="shared" si="2"/>
        <v>Existing Single Family Home HVAC Upgrade - Central Heat Pump Upgrade to Variable Capacity Central Heat Pump - Heating Zone 3 - Cooling Zone 2</v>
      </c>
      <c r="C112" s="24" t="str">
        <f t="shared" si="17"/>
        <v>Heating Savings</v>
      </c>
      <c r="D112" s="25">
        <f>D29-D104</f>
        <v>786.20301111817059</v>
      </c>
      <c r="E112" s="25">
        <f t="shared" si="18"/>
        <v>15</v>
      </c>
      <c r="F112" s="25">
        <f>F29-F104</f>
        <v>5356.8461304836173</v>
      </c>
      <c r="G112" s="25">
        <f t="shared" si="19"/>
        <v>0</v>
      </c>
      <c r="H112" s="24" t="str">
        <f t="shared" si="19"/>
        <v>ResSpHtHPZ3</v>
      </c>
      <c r="I112" s="25">
        <f>I29-I104</f>
        <v>9.4063030589242054</v>
      </c>
      <c r="J112" s="24">
        <f t="shared" si="20"/>
        <v>0</v>
      </c>
      <c r="K112" s="24">
        <f t="shared" si="20"/>
        <v>0</v>
      </c>
      <c r="L112" s="24">
        <f t="shared" si="20"/>
        <v>0</v>
      </c>
      <c r="M112" s="24">
        <f t="shared" si="20"/>
        <v>0</v>
      </c>
      <c r="N112" s="24">
        <f t="shared" si="20"/>
        <v>0</v>
      </c>
      <c r="O112" s="24">
        <f t="shared" si="20"/>
        <v>0</v>
      </c>
      <c r="P112" s="24">
        <f t="shared" si="20"/>
        <v>0</v>
      </c>
      <c r="Q112" s="24">
        <f t="shared" si="20"/>
        <v>0</v>
      </c>
    </row>
    <row r="113" spans="1:17" ht="25.5">
      <c r="A113" t="str">
        <f t="shared" si="4"/>
        <v>Heating Zone 3 - Cooling Zone 3</v>
      </c>
      <c r="B113" s="24" t="str">
        <f t="shared" si="2"/>
        <v>Existing Single Family Home HVAC Upgrade - Central Heat Pump Upgrade to Variable Capacity Central Heat Pump - Heating Zone 3 - Cooling Zone 3</v>
      </c>
      <c r="C113" s="24" t="str">
        <f t="shared" si="17"/>
        <v>Heating Savings</v>
      </c>
      <c r="D113" s="25">
        <f>D30-D104</f>
        <v>786.20301111817059</v>
      </c>
      <c r="E113" s="25">
        <f t="shared" si="18"/>
        <v>15</v>
      </c>
      <c r="F113" s="25">
        <f>F30-F104</f>
        <v>5356.8461304836173</v>
      </c>
      <c r="G113" s="25">
        <f t="shared" si="19"/>
        <v>0</v>
      </c>
      <c r="H113" s="24" t="str">
        <f t="shared" si="19"/>
        <v>ResSpHtHPZ3</v>
      </c>
      <c r="I113" s="25">
        <f>I30-I104</f>
        <v>9.4063030589242054</v>
      </c>
      <c r="J113" s="24">
        <f t="shared" si="20"/>
        <v>0</v>
      </c>
      <c r="K113" s="24">
        <f t="shared" si="20"/>
        <v>0</v>
      </c>
      <c r="L113" s="24">
        <f t="shared" si="20"/>
        <v>0</v>
      </c>
      <c r="M113" s="24">
        <f t="shared" si="20"/>
        <v>0</v>
      </c>
      <c r="N113" s="24">
        <f t="shared" si="20"/>
        <v>0</v>
      </c>
      <c r="O113" s="24">
        <f t="shared" si="20"/>
        <v>0</v>
      </c>
      <c r="P113" s="24">
        <f t="shared" si="20"/>
        <v>0</v>
      </c>
      <c r="Q113" s="24">
        <f t="shared" si="20"/>
        <v>0</v>
      </c>
    </row>
    <row r="114" spans="1:17">
      <c r="A114" t="str">
        <f t="shared" si="4"/>
        <v>HZ1CZ1</v>
      </c>
      <c r="B114" s="24" t="str">
        <f t="shared" si="2"/>
        <v>Zonal to DHP No Screen HZ1CZ1</v>
      </c>
      <c r="C114" s="24" t="str">
        <f t="shared" si="17"/>
        <v>Heating Savings</v>
      </c>
      <c r="D114" s="25">
        <f t="shared" ref="D114:D125" si="21">D31</f>
        <v>2240.0588630952484</v>
      </c>
      <c r="E114" s="25">
        <f t="shared" si="18"/>
        <v>15</v>
      </c>
      <c r="F114" s="25">
        <f t="shared" ref="F114:F125" si="22">F31</f>
        <v>3914.8924998607772</v>
      </c>
      <c r="G114" s="25">
        <f t="shared" si="19"/>
        <v>0</v>
      </c>
      <c r="H114" s="24" t="str">
        <f t="shared" si="19"/>
        <v>R-All-HVAC-ERconvertDHP-HZ1-All-N</v>
      </c>
      <c r="I114" s="24">
        <f t="shared" ref="I114:I125" si="23">I31</f>
        <v>26.167052040603416</v>
      </c>
      <c r="J114" s="24">
        <f t="shared" si="20"/>
        <v>0</v>
      </c>
      <c r="K114" s="24">
        <f t="shared" si="20"/>
        <v>0</v>
      </c>
      <c r="L114" s="24">
        <f t="shared" si="20"/>
        <v>0</v>
      </c>
      <c r="M114" s="24">
        <f t="shared" si="20"/>
        <v>0</v>
      </c>
      <c r="N114" s="24">
        <f t="shared" si="20"/>
        <v>0</v>
      </c>
      <c r="O114" s="24">
        <f t="shared" si="20"/>
        <v>0</v>
      </c>
      <c r="P114" s="24">
        <f t="shared" si="20"/>
        <v>0</v>
      </c>
      <c r="Q114" s="24">
        <f t="shared" si="20"/>
        <v>0</v>
      </c>
    </row>
    <row r="115" spans="1:17">
      <c r="A115" t="str">
        <f t="shared" si="4"/>
        <v>HZ2CZ1</v>
      </c>
      <c r="B115" s="24" t="str">
        <f t="shared" si="2"/>
        <v>Zonal to DHP No Screen HZ2CZ1</v>
      </c>
      <c r="C115" s="24" t="str">
        <f t="shared" si="17"/>
        <v>Heating Savings</v>
      </c>
      <c r="D115" s="25">
        <f t="shared" si="21"/>
        <v>2340.8526501212446</v>
      </c>
      <c r="E115" s="25">
        <f t="shared" si="18"/>
        <v>15</v>
      </c>
      <c r="F115" s="25">
        <f t="shared" si="22"/>
        <v>3715.1842041586474</v>
      </c>
      <c r="G115" s="25">
        <f t="shared" si="19"/>
        <v>0</v>
      </c>
      <c r="H115" s="24" t="str">
        <f t="shared" si="19"/>
        <v>R-All-HVAC-ERconvertDHP-HZ2-All-N</v>
      </c>
      <c r="I115" s="24">
        <f t="shared" si="23"/>
        <v>20.734656195868322</v>
      </c>
      <c r="J115" s="24">
        <f t="shared" si="20"/>
        <v>0</v>
      </c>
      <c r="K115" s="24">
        <f t="shared" si="20"/>
        <v>0</v>
      </c>
      <c r="L115" s="24">
        <f t="shared" si="20"/>
        <v>0</v>
      </c>
      <c r="M115" s="24">
        <f t="shared" si="20"/>
        <v>0</v>
      </c>
      <c r="N115" s="24">
        <f t="shared" si="20"/>
        <v>0</v>
      </c>
      <c r="O115" s="24">
        <f t="shared" si="20"/>
        <v>0</v>
      </c>
      <c r="P115" s="24">
        <f t="shared" si="20"/>
        <v>0</v>
      </c>
      <c r="Q115" s="24">
        <f t="shared" si="20"/>
        <v>0</v>
      </c>
    </row>
    <row r="116" spans="1:17">
      <c r="A116" t="str">
        <f t="shared" si="4"/>
        <v>HZ3CZ1</v>
      </c>
      <c r="B116" s="24" t="str">
        <f t="shared" si="2"/>
        <v>Zonal to DHP No Screen HZ3CZ1</v>
      </c>
      <c r="C116" s="24" t="str">
        <f t="shared" si="17"/>
        <v>Heating Savings</v>
      </c>
      <c r="D116" s="25">
        <f t="shared" si="21"/>
        <v>1516.8330854793242</v>
      </c>
      <c r="E116" s="25">
        <f t="shared" si="18"/>
        <v>15</v>
      </c>
      <c r="F116" s="25">
        <f t="shared" si="22"/>
        <v>3495.9168485681644</v>
      </c>
      <c r="G116" s="25">
        <f t="shared" si="19"/>
        <v>0</v>
      </c>
      <c r="H116" s="24" t="str">
        <f t="shared" si="19"/>
        <v>R-All-HVAC-ERconvertDHP-HZ3-All-N</v>
      </c>
      <c r="I116" s="24">
        <f t="shared" si="23"/>
        <v>64.293352560997064</v>
      </c>
      <c r="J116" s="24">
        <f t="shared" si="20"/>
        <v>0</v>
      </c>
      <c r="K116" s="24">
        <f t="shared" si="20"/>
        <v>0</v>
      </c>
      <c r="L116" s="24">
        <f t="shared" si="20"/>
        <v>0</v>
      </c>
      <c r="M116" s="24">
        <f t="shared" si="20"/>
        <v>0</v>
      </c>
      <c r="N116" s="24">
        <f t="shared" si="20"/>
        <v>0</v>
      </c>
      <c r="O116" s="24">
        <f t="shared" si="20"/>
        <v>0</v>
      </c>
      <c r="P116" s="24">
        <f t="shared" si="20"/>
        <v>0</v>
      </c>
      <c r="Q116" s="24">
        <f t="shared" si="20"/>
        <v>0</v>
      </c>
    </row>
    <row r="117" spans="1:17">
      <c r="A117" t="str">
        <f t="shared" si="4"/>
        <v>HZ1CZ2</v>
      </c>
      <c r="B117" s="24" t="str">
        <f t="shared" si="2"/>
        <v>Zonal to DHP No Screen HZ1CZ2</v>
      </c>
      <c r="C117" s="24" t="str">
        <f t="shared" si="17"/>
        <v>Heating Savings</v>
      </c>
      <c r="D117" s="25">
        <f t="shared" si="21"/>
        <v>2240.0588630952484</v>
      </c>
      <c r="E117" s="25">
        <f t="shared" si="18"/>
        <v>15</v>
      </c>
      <c r="F117" s="25">
        <f t="shared" si="22"/>
        <v>3718.6976796488043</v>
      </c>
      <c r="G117" s="25">
        <f t="shared" si="19"/>
        <v>0</v>
      </c>
      <c r="H117" s="24" t="str">
        <f t="shared" si="19"/>
        <v>R-All-HVAC-ERconvertDHP-HZ1-All-N</v>
      </c>
      <c r="I117" s="24">
        <f t="shared" si="23"/>
        <v>26.167052040603416</v>
      </c>
      <c r="J117" s="24">
        <f t="shared" si="20"/>
        <v>0</v>
      </c>
      <c r="K117" s="24">
        <f t="shared" si="20"/>
        <v>0</v>
      </c>
      <c r="L117" s="24">
        <f t="shared" si="20"/>
        <v>0</v>
      </c>
      <c r="M117" s="24">
        <f t="shared" si="20"/>
        <v>0</v>
      </c>
      <c r="N117" s="24">
        <f t="shared" si="20"/>
        <v>0</v>
      </c>
      <c r="O117" s="24">
        <f t="shared" si="20"/>
        <v>0</v>
      </c>
      <c r="P117" s="24">
        <f t="shared" si="20"/>
        <v>0</v>
      </c>
      <c r="Q117" s="24">
        <f t="shared" si="20"/>
        <v>0</v>
      </c>
    </row>
    <row r="118" spans="1:17">
      <c r="A118" t="str">
        <f t="shared" si="4"/>
        <v>HZ2CZ2</v>
      </c>
      <c r="B118" s="24" t="str">
        <f t="shared" si="2"/>
        <v>Zonal to DHP No Screen HZ2CZ2</v>
      </c>
      <c r="C118" s="24" t="str">
        <f t="shared" si="17"/>
        <v>Heating Savings</v>
      </c>
      <c r="D118" s="25">
        <f t="shared" si="21"/>
        <v>2340.8526501212446</v>
      </c>
      <c r="E118" s="25">
        <f t="shared" si="18"/>
        <v>15</v>
      </c>
      <c r="F118" s="25">
        <f t="shared" si="22"/>
        <v>3518.9893839466745</v>
      </c>
      <c r="G118" s="25">
        <f t="shared" si="19"/>
        <v>0</v>
      </c>
      <c r="H118" s="24" t="str">
        <f t="shared" si="19"/>
        <v>R-All-HVAC-ERconvertDHP-HZ2-All-N</v>
      </c>
      <c r="I118" s="24">
        <f t="shared" si="23"/>
        <v>20.734656195868322</v>
      </c>
      <c r="J118" s="24">
        <f t="shared" si="20"/>
        <v>0</v>
      </c>
      <c r="K118" s="24">
        <f t="shared" si="20"/>
        <v>0</v>
      </c>
      <c r="L118" s="24">
        <f t="shared" si="20"/>
        <v>0</v>
      </c>
      <c r="M118" s="24">
        <f t="shared" si="20"/>
        <v>0</v>
      </c>
      <c r="N118" s="24">
        <f t="shared" si="20"/>
        <v>0</v>
      </c>
      <c r="O118" s="24">
        <f t="shared" si="20"/>
        <v>0</v>
      </c>
      <c r="P118" s="24">
        <f t="shared" si="20"/>
        <v>0</v>
      </c>
      <c r="Q118" s="24">
        <f t="shared" si="20"/>
        <v>0</v>
      </c>
    </row>
    <row r="119" spans="1:17">
      <c r="A119" t="str">
        <f t="shared" si="4"/>
        <v>HZ3CZ2</v>
      </c>
      <c r="B119" s="24" t="str">
        <f t="shared" si="2"/>
        <v>Zonal to DHP No Screen HZ3CZ2</v>
      </c>
      <c r="C119" s="24" t="str">
        <f t="shared" si="17"/>
        <v>Heating Savings</v>
      </c>
      <c r="D119" s="25">
        <f t="shared" si="21"/>
        <v>1516.8330854793242</v>
      </c>
      <c r="E119" s="25">
        <f t="shared" si="18"/>
        <v>15</v>
      </c>
      <c r="F119" s="25">
        <f t="shared" si="22"/>
        <v>3299.7220283561915</v>
      </c>
      <c r="G119" s="25">
        <f t="shared" si="19"/>
        <v>0</v>
      </c>
      <c r="H119" s="24" t="str">
        <f t="shared" si="19"/>
        <v>R-All-HVAC-ERconvertDHP-HZ3-All-N</v>
      </c>
      <c r="I119" s="24">
        <f t="shared" si="23"/>
        <v>64.293352560997064</v>
      </c>
      <c r="J119" s="24">
        <f t="shared" si="20"/>
        <v>0</v>
      </c>
      <c r="K119" s="24">
        <f t="shared" si="20"/>
        <v>0</v>
      </c>
      <c r="L119" s="24">
        <f t="shared" si="20"/>
        <v>0</v>
      </c>
      <c r="M119" s="24">
        <f t="shared" si="20"/>
        <v>0</v>
      </c>
      <c r="N119" s="24">
        <f t="shared" si="20"/>
        <v>0</v>
      </c>
      <c r="O119" s="24">
        <f t="shared" si="20"/>
        <v>0</v>
      </c>
      <c r="P119" s="24">
        <f t="shared" si="20"/>
        <v>0</v>
      </c>
      <c r="Q119" s="24">
        <f t="shared" si="20"/>
        <v>0</v>
      </c>
    </row>
    <row r="120" spans="1:17">
      <c r="A120" t="str">
        <f t="shared" si="4"/>
        <v>HZ1CZ3</v>
      </c>
      <c r="B120" s="24" t="str">
        <f t="shared" si="2"/>
        <v>Zonal to DHP No Screen HZ1CZ3</v>
      </c>
      <c r="C120" s="24" t="str">
        <f t="shared" si="17"/>
        <v>Heating Savings</v>
      </c>
      <c r="D120" s="25">
        <f t="shared" si="21"/>
        <v>2240.0588630952484</v>
      </c>
      <c r="E120" s="25">
        <f t="shared" si="18"/>
        <v>15</v>
      </c>
      <c r="F120" s="25">
        <f t="shared" si="22"/>
        <v>3531.9544461546802</v>
      </c>
      <c r="G120" s="25">
        <f t="shared" si="19"/>
        <v>0</v>
      </c>
      <c r="H120" s="24" t="str">
        <f t="shared" si="19"/>
        <v>R-All-HVAC-ERconvertDHP-HZ1-All-N</v>
      </c>
      <c r="I120" s="24">
        <f t="shared" si="23"/>
        <v>26.167052040603416</v>
      </c>
      <c r="J120" s="24">
        <f t="shared" si="20"/>
        <v>0</v>
      </c>
      <c r="K120" s="24">
        <f t="shared" si="20"/>
        <v>0</v>
      </c>
      <c r="L120" s="24">
        <f t="shared" si="20"/>
        <v>0</v>
      </c>
      <c r="M120" s="24">
        <f t="shared" si="20"/>
        <v>0</v>
      </c>
      <c r="N120" s="24">
        <f t="shared" si="20"/>
        <v>0</v>
      </c>
      <c r="O120" s="24">
        <f t="shared" si="20"/>
        <v>0</v>
      </c>
      <c r="P120" s="24">
        <f t="shared" si="20"/>
        <v>0</v>
      </c>
      <c r="Q120" s="24">
        <f t="shared" si="20"/>
        <v>0</v>
      </c>
    </row>
    <row r="121" spans="1:17">
      <c r="A121" t="str">
        <f t="shared" si="4"/>
        <v>HZ2CZ3</v>
      </c>
      <c r="B121" s="24" t="str">
        <f t="shared" si="2"/>
        <v>Zonal to DHP No Screen HZ2CZ3</v>
      </c>
      <c r="C121" s="24" t="str">
        <f t="shared" si="17"/>
        <v>Heating Savings</v>
      </c>
      <c r="D121" s="25">
        <f t="shared" si="21"/>
        <v>2340.8526501212446</v>
      </c>
      <c r="E121" s="25">
        <f t="shared" si="18"/>
        <v>15</v>
      </c>
      <c r="F121" s="25">
        <f t="shared" si="22"/>
        <v>3332.2461504525504</v>
      </c>
      <c r="G121" s="25">
        <f t="shared" si="19"/>
        <v>0</v>
      </c>
      <c r="H121" s="24" t="str">
        <f t="shared" si="19"/>
        <v>R-All-HVAC-ERconvertDHP-HZ2-All-N</v>
      </c>
      <c r="I121" s="24">
        <f t="shared" si="23"/>
        <v>20.734656195868322</v>
      </c>
      <c r="J121" s="24">
        <f t="shared" si="20"/>
        <v>0</v>
      </c>
      <c r="K121" s="24">
        <f t="shared" si="20"/>
        <v>0</v>
      </c>
      <c r="L121" s="24">
        <f t="shared" si="20"/>
        <v>0</v>
      </c>
      <c r="M121" s="24">
        <f t="shared" si="20"/>
        <v>0</v>
      </c>
      <c r="N121" s="24">
        <f t="shared" si="20"/>
        <v>0</v>
      </c>
      <c r="O121" s="24">
        <f t="shared" si="20"/>
        <v>0</v>
      </c>
      <c r="P121" s="24">
        <f t="shared" si="20"/>
        <v>0</v>
      </c>
      <c r="Q121" s="24">
        <f t="shared" si="20"/>
        <v>0</v>
      </c>
    </row>
    <row r="122" spans="1:17">
      <c r="A122" t="str">
        <f t="shared" si="4"/>
        <v>HZ3CZ3</v>
      </c>
      <c r="B122" s="24" t="str">
        <f t="shared" ref="B122:B153" si="24">B39</f>
        <v>Zonal to DHP No Screen HZ3CZ3</v>
      </c>
      <c r="C122" s="24" t="str">
        <f t="shared" si="17"/>
        <v>Heating Savings</v>
      </c>
      <c r="D122" s="25">
        <f t="shared" si="21"/>
        <v>1516.8330854793242</v>
      </c>
      <c r="E122" s="25">
        <f t="shared" si="18"/>
        <v>15</v>
      </c>
      <c r="F122" s="25">
        <f t="shared" si="22"/>
        <v>3112.9787948620678</v>
      </c>
      <c r="G122" s="25">
        <f t="shared" si="19"/>
        <v>0</v>
      </c>
      <c r="H122" s="24" t="str">
        <f t="shared" si="19"/>
        <v>R-All-HVAC-ERconvertDHP-HZ3-All-N</v>
      </c>
      <c r="I122" s="24">
        <f t="shared" si="23"/>
        <v>64.293352560997064</v>
      </c>
      <c r="J122" s="24">
        <f t="shared" si="20"/>
        <v>0</v>
      </c>
      <c r="K122" s="24">
        <f t="shared" si="20"/>
        <v>0</v>
      </c>
      <c r="L122" s="24">
        <f t="shared" si="20"/>
        <v>0</v>
      </c>
      <c r="M122" s="24">
        <f t="shared" si="20"/>
        <v>0</v>
      </c>
      <c r="N122" s="24">
        <f t="shared" si="20"/>
        <v>0</v>
      </c>
      <c r="O122" s="24">
        <f t="shared" si="20"/>
        <v>0</v>
      </c>
      <c r="P122" s="24">
        <f t="shared" si="20"/>
        <v>0</v>
      </c>
      <c r="Q122" s="24">
        <f t="shared" si="20"/>
        <v>0</v>
      </c>
    </row>
    <row r="123" spans="1:17" ht="25.5">
      <c r="A123" t="str">
        <f t="shared" si="4"/>
        <v>Heating Zone 1</v>
      </c>
      <c r="B123" s="24" t="str">
        <f t="shared" si="24"/>
        <v>Existing Single Family Home HVAC Conversion - Convert FAF w/CAC to Heat Pump - House with "Good Insulation" - Heating Zone 1</v>
      </c>
      <c r="C123" s="24" t="str">
        <f t="shared" si="17"/>
        <v>Cooling Savings</v>
      </c>
      <c r="D123" s="25">
        <f t="shared" si="21"/>
        <v>0</v>
      </c>
      <c r="E123" s="25">
        <f t="shared" si="18"/>
        <v>15</v>
      </c>
      <c r="F123" s="25">
        <f t="shared" si="22"/>
        <v>0</v>
      </c>
      <c r="G123" s="25">
        <f t="shared" si="19"/>
        <v>0</v>
      </c>
      <c r="H123" s="24" t="str">
        <f t="shared" si="19"/>
        <v>ResCACZ1</v>
      </c>
      <c r="I123" s="24">
        <f t="shared" si="23"/>
        <v>0</v>
      </c>
      <c r="J123" s="24">
        <f t="shared" si="20"/>
        <v>0</v>
      </c>
      <c r="K123" s="24">
        <f t="shared" si="20"/>
        <v>0</v>
      </c>
      <c r="L123" s="24">
        <f t="shared" si="20"/>
        <v>0</v>
      </c>
      <c r="M123" s="24">
        <f t="shared" si="20"/>
        <v>0</v>
      </c>
      <c r="N123" s="24">
        <f t="shared" si="20"/>
        <v>0</v>
      </c>
      <c r="O123" s="24">
        <f t="shared" si="20"/>
        <v>0</v>
      </c>
      <c r="P123" s="24">
        <f t="shared" si="20"/>
        <v>0</v>
      </c>
      <c r="Q123" s="24">
        <f t="shared" si="20"/>
        <v>0</v>
      </c>
    </row>
    <row r="124" spans="1:17" ht="25.5">
      <c r="A124" t="str">
        <f t="shared" si="4"/>
        <v>Heating Zone 2</v>
      </c>
      <c r="B124" s="24" t="str">
        <f t="shared" si="24"/>
        <v>Existing Single Family Home HVAC Conversion - Convert FAF w/CAC to Heat Pump - House with "Good Insulation" - Heating Zone 2</v>
      </c>
      <c r="C124" s="24" t="str">
        <f t="shared" si="17"/>
        <v>Cooling Savings</v>
      </c>
      <c r="D124" s="25">
        <f t="shared" si="21"/>
        <v>0</v>
      </c>
      <c r="E124" s="25">
        <f t="shared" si="18"/>
        <v>15</v>
      </c>
      <c r="F124" s="25">
        <f t="shared" si="22"/>
        <v>0</v>
      </c>
      <c r="G124" s="25">
        <f t="shared" si="19"/>
        <v>0</v>
      </c>
      <c r="H124" s="24" t="str">
        <f t="shared" si="19"/>
        <v>ResCACZ2</v>
      </c>
      <c r="I124" s="24">
        <f t="shared" si="23"/>
        <v>0</v>
      </c>
      <c r="J124" s="24">
        <f t="shared" si="20"/>
        <v>0</v>
      </c>
      <c r="K124" s="24">
        <f t="shared" si="20"/>
        <v>0</v>
      </c>
      <c r="L124" s="24">
        <f t="shared" si="20"/>
        <v>0</v>
      </c>
      <c r="M124" s="24">
        <f t="shared" si="20"/>
        <v>0</v>
      </c>
      <c r="N124" s="24">
        <f t="shared" si="20"/>
        <v>0</v>
      </c>
      <c r="O124" s="24">
        <f t="shared" si="20"/>
        <v>0</v>
      </c>
      <c r="P124" s="24">
        <f t="shared" si="20"/>
        <v>0</v>
      </c>
      <c r="Q124" s="24">
        <f t="shared" si="20"/>
        <v>0</v>
      </c>
    </row>
    <row r="125" spans="1:17" ht="25.5">
      <c r="A125" t="str">
        <f t="shared" si="4"/>
        <v>Heating Zone 3</v>
      </c>
      <c r="B125" s="24" t="str">
        <f t="shared" si="24"/>
        <v>Existing Single Family Home HVAC Conversion - Convert FAF w/CAC to Heat Pump - House with "Good Insulation" - Heating Zone 3</v>
      </c>
      <c r="C125" s="24" t="str">
        <f t="shared" si="17"/>
        <v>Cooling Savings</v>
      </c>
      <c r="D125" s="25">
        <f t="shared" si="21"/>
        <v>0</v>
      </c>
      <c r="E125" s="25">
        <f t="shared" si="18"/>
        <v>15</v>
      </c>
      <c r="F125" s="25">
        <f t="shared" si="22"/>
        <v>0</v>
      </c>
      <c r="G125" s="25">
        <f t="shared" si="19"/>
        <v>0</v>
      </c>
      <c r="H125" s="24" t="str">
        <f t="shared" si="19"/>
        <v>ResCACZ3</v>
      </c>
      <c r="I125" s="24">
        <f t="shared" si="23"/>
        <v>0</v>
      </c>
      <c r="J125" s="24">
        <f t="shared" si="20"/>
        <v>0</v>
      </c>
      <c r="K125" s="24">
        <f t="shared" si="20"/>
        <v>0</v>
      </c>
      <c r="L125" s="24">
        <f t="shared" si="20"/>
        <v>0</v>
      </c>
      <c r="M125" s="24">
        <f t="shared" si="20"/>
        <v>0</v>
      </c>
      <c r="N125" s="24">
        <f t="shared" si="20"/>
        <v>0</v>
      </c>
      <c r="O125" s="24">
        <f t="shared" si="20"/>
        <v>0</v>
      </c>
      <c r="P125" s="24">
        <f t="shared" si="20"/>
        <v>0</v>
      </c>
      <c r="Q125" s="24">
        <f t="shared" si="20"/>
        <v>0</v>
      </c>
    </row>
    <row r="126" spans="1:17" ht="25.5">
      <c r="A126" t="str">
        <f t="shared" si="4"/>
        <v>Heating Zone 1 - Cooling Zone 1</v>
      </c>
      <c r="B126" s="24" t="str">
        <f t="shared" si="24"/>
        <v>Existing Single Family Home HVAC Conversion - Convert FAF w/o CAC to Heat Pump - House with "Good Insulation" - Heating Zone 1 - Cooling Zone 1</v>
      </c>
      <c r="C126" s="24" t="str">
        <f t="shared" si="17"/>
        <v>Cooling Savings</v>
      </c>
      <c r="D126" s="25">
        <f t="shared" ref="D126:Q126" si="25">D43</f>
        <v>-137.82461431953399</v>
      </c>
      <c r="E126" s="25">
        <f t="shared" si="25"/>
        <v>15</v>
      </c>
      <c r="F126" s="25">
        <f t="shared" si="25"/>
        <v>0</v>
      </c>
      <c r="G126" s="25">
        <f t="shared" si="25"/>
        <v>0</v>
      </c>
      <c r="H126" s="24" t="str">
        <f t="shared" si="25"/>
        <v>ResCACZ1</v>
      </c>
      <c r="I126" s="24">
        <f t="shared" si="25"/>
        <v>11.217675837393347</v>
      </c>
      <c r="J126" s="24">
        <f t="shared" si="25"/>
        <v>0</v>
      </c>
      <c r="K126" s="24">
        <f t="shared" si="25"/>
        <v>0</v>
      </c>
      <c r="L126" s="24">
        <f t="shared" si="25"/>
        <v>0</v>
      </c>
      <c r="M126" s="24">
        <f t="shared" si="25"/>
        <v>0</v>
      </c>
      <c r="N126" s="24">
        <f t="shared" si="25"/>
        <v>0</v>
      </c>
      <c r="O126" s="24">
        <f t="shared" si="25"/>
        <v>0</v>
      </c>
      <c r="P126" s="24">
        <f t="shared" si="25"/>
        <v>0</v>
      </c>
      <c r="Q126" s="24">
        <f t="shared" si="25"/>
        <v>0</v>
      </c>
    </row>
    <row r="127" spans="1:17" ht="25.5">
      <c r="A127" t="str">
        <f t="shared" si="4"/>
        <v>Heating Zone 1 - Cooling Zone 2</v>
      </c>
      <c r="B127" s="24" t="str">
        <f t="shared" si="24"/>
        <v>Existing Single Family Home HVAC Conversion - Convert FAF w/o CAC to Heat Pump - House with "Good Insulation" - Heating Zone 1 - Cooling Zone 2</v>
      </c>
      <c r="C127" s="24" t="str">
        <f t="shared" si="17"/>
        <v>Cooling Savings</v>
      </c>
      <c r="D127" s="25">
        <f t="shared" ref="D127:Q127" si="26">D44</f>
        <v>-113.30920271946417</v>
      </c>
      <c r="E127" s="25">
        <f t="shared" si="26"/>
        <v>15</v>
      </c>
      <c r="F127" s="25">
        <f t="shared" si="26"/>
        <v>0</v>
      </c>
      <c r="G127" s="25">
        <f t="shared" si="26"/>
        <v>0</v>
      </c>
      <c r="H127" s="24" t="str">
        <f t="shared" si="26"/>
        <v>ResCACZ2</v>
      </c>
      <c r="I127" s="24">
        <f t="shared" si="26"/>
        <v>9.2223432786366129</v>
      </c>
      <c r="J127" s="24">
        <f t="shared" si="26"/>
        <v>0</v>
      </c>
      <c r="K127" s="24">
        <f t="shared" si="26"/>
        <v>0</v>
      </c>
      <c r="L127" s="24">
        <f t="shared" si="26"/>
        <v>0</v>
      </c>
      <c r="M127" s="24">
        <f t="shared" si="26"/>
        <v>0</v>
      </c>
      <c r="N127" s="24">
        <f t="shared" si="26"/>
        <v>0</v>
      </c>
      <c r="O127" s="24">
        <f t="shared" si="26"/>
        <v>0</v>
      </c>
      <c r="P127" s="24">
        <f t="shared" si="26"/>
        <v>0</v>
      </c>
      <c r="Q127" s="24">
        <f t="shared" si="26"/>
        <v>0</v>
      </c>
    </row>
    <row r="128" spans="1:17" ht="25.5">
      <c r="A128" t="str">
        <f t="shared" si="4"/>
        <v>Heating Zone 1 - Cooling Zone 3</v>
      </c>
      <c r="B128" s="24" t="str">
        <f t="shared" si="24"/>
        <v>Existing Single Family Home HVAC Conversion - Convert FAF w/o CAC to Heat Pump - House with "Good Insulation" - Heating Zone 1 - Cooling Zone 3</v>
      </c>
      <c r="C128" s="24" t="str">
        <f t="shared" si="17"/>
        <v>Cooling Savings</v>
      </c>
      <c r="D128" s="25">
        <f t="shared" ref="D128:Q128" si="27">D45</f>
        <v>0</v>
      </c>
      <c r="E128" s="25">
        <f t="shared" si="27"/>
        <v>15</v>
      </c>
      <c r="F128" s="25">
        <f t="shared" si="27"/>
        <v>0</v>
      </c>
      <c r="G128" s="25">
        <f t="shared" si="27"/>
        <v>0</v>
      </c>
      <c r="H128" s="24" t="str">
        <f t="shared" si="27"/>
        <v>ResCACZ3</v>
      </c>
      <c r="I128" s="24">
        <f t="shared" si="27"/>
        <v>0</v>
      </c>
      <c r="J128" s="24">
        <f t="shared" si="27"/>
        <v>0</v>
      </c>
      <c r="K128" s="24">
        <f t="shared" si="27"/>
        <v>0</v>
      </c>
      <c r="L128" s="24">
        <f t="shared" si="27"/>
        <v>0</v>
      </c>
      <c r="M128" s="24">
        <f t="shared" si="27"/>
        <v>0</v>
      </c>
      <c r="N128" s="24">
        <f t="shared" si="27"/>
        <v>0</v>
      </c>
      <c r="O128" s="24">
        <f t="shared" si="27"/>
        <v>0</v>
      </c>
      <c r="P128" s="24">
        <f t="shared" si="27"/>
        <v>0</v>
      </c>
      <c r="Q128" s="24">
        <f t="shared" si="27"/>
        <v>0</v>
      </c>
    </row>
    <row r="129" spans="1:17" ht="25.5">
      <c r="A129" t="str">
        <f t="shared" si="4"/>
        <v>Heating Zone 2 - Cooling Zone 1</v>
      </c>
      <c r="B129" s="24" t="str">
        <f t="shared" si="24"/>
        <v>Existing Single Family Home HVAC Conversion - Convert FAF w/o CAC to Heat Pump - House with "Good Insulation" - Heating Zone 2 - Cooling Zone 1</v>
      </c>
      <c r="C129" s="24" t="str">
        <f t="shared" si="17"/>
        <v>Cooling Savings</v>
      </c>
      <c r="D129" s="25">
        <f t="shared" ref="D129:Q129" si="28">D46</f>
        <v>-137.82461431953399</v>
      </c>
      <c r="E129" s="25">
        <f t="shared" si="28"/>
        <v>15</v>
      </c>
      <c r="F129" s="25">
        <f t="shared" si="28"/>
        <v>0</v>
      </c>
      <c r="G129" s="25">
        <f t="shared" si="28"/>
        <v>0</v>
      </c>
      <c r="H129" s="24" t="str">
        <f t="shared" si="28"/>
        <v>ResCACZ1</v>
      </c>
      <c r="I129" s="24">
        <f t="shared" si="28"/>
        <v>11.217675837393347</v>
      </c>
      <c r="J129" s="24">
        <f t="shared" si="28"/>
        <v>0</v>
      </c>
      <c r="K129" s="24">
        <f t="shared" si="28"/>
        <v>0</v>
      </c>
      <c r="L129" s="24">
        <f t="shared" si="28"/>
        <v>0</v>
      </c>
      <c r="M129" s="24">
        <f t="shared" si="28"/>
        <v>0</v>
      </c>
      <c r="N129" s="24">
        <f t="shared" si="28"/>
        <v>0</v>
      </c>
      <c r="O129" s="24">
        <f t="shared" si="28"/>
        <v>0</v>
      </c>
      <c r="P129" s="24">
        <f t="shared" si="28"/>
        <v>0</v>
      </c>
      <c r="Q129" s="24">
        <f t="shared" si="28"/>
        <v>0</v>
      </c>
    </row>
    <row r="130" spans="1:17" ht="25.5">
      <c r="A130" t="str">
        <f t="shared" si="4"/>
        <v>Heating Zone 2 - Cooling Zone 2</v>
      </c>
      <c r="B130" s="24" t="str">
        <f t="shared" si="24"/>
        <v>Existing Single Family Home HVAC Conversion - Convert FAF w/o CAC to Heat Pump - House with "Good Insulation" - Heating Zone 2 - Cooling Zone 2</v>
      </c>
      <c r="C130" s="24" t="str">
        <f t="shared" si="17"/>
        <v>Cooling Savings</v>
      </c>
      <c r="D130" s="25">
        <f t="shared" ref="D130:Q130" si="29">D47</f>
        <v>-113.30920271946417</v>
      </c>
      <c r="E130" s="25">
        <f t="shared" si="29"/>
        <v>15</v>
      </c>
      <c r="F130" s="25">
        <f t="shared" si="29"/>
        <v>0</v>
      </c>
      <c r="G130" s="25">
        <f t="shared" si="29"/>
        <v>0</v>
      </c>
      <c r="H130" s="24" t="str">
        <f t="shared" si="29"/>
        <v>ResCACZ2</v>
      </c>
      <c r="I130" s="24">
        <f t="shared" si="29"/>
        <v>9.2223432786366129</v>
      </c>
      <c r="J130" s="24">
        <f t="shared" si="29"/>
        <v>0</v>
      </c>
      <c r="K130" s="24">
        <f t="shared" si="29"/>
        <v>0</v>
      </c>
      <c r="L130" s="24">
        <f t="shared" si="29"/>
        <v>0</v>
      </c>
      <c r="M130" s="24">
        <f t="shared" si="29"/>
        <v>0</v>
      </c>
      <c r="N130" s="24">
        <f t="shared" si="29"/>
        <v>0</v>
      </c>
      <c r="O130" s="24">
        <f t="shared" si="29"/>
        <v>0</v>
      </c>
      <c r="P130" s="24">
        <f t="shared" si="29"/>
        <v>0</v>
      </c>
      <c r="Q130" s="24">
        <f t="shared" si="29"/>
        <v>0</v>
      </c>
    </row>
    <row r="131" spans="1:17" ht="25.5">
      <c r="A131" t="str">
        <f t="shared" si="4"/>
        <v>Heating Zone 2 - Cooling Zone 3</v>
      </c>
      <c r="B131" s="24" t="str">
        <f t="shared" si="24"/>
        <v>Existing Single Family Home HVAC Conversion - Convert FAF w/o CAC to Heat Pump - House with "Good Insulation" - Heating Zone 2 - Cooling Zone 3</v>
      </c>
      <c r="C131" s="24" t="str">
        <f t="shared" si="17"/>
        <v>Cooling Savings</v>
      </c>
      <c r="D131" s="25">
        <f t="shared" ref="D131:Q131" si="30">D48</f>
        <v>0</v>
      </c>
      <c r="E131" s="25">
        <f t="shared" si="30"/>
        <v>15</v>
      </c>
      <c r="F131" s="25">
        <f t="shared" si="30"/>
        <v>0</v>
      </c>
      <c r="G131" s="25">
        <f t="shared" si="30"/>
        <v>0</v>
      </c>
      <c r="H131" s="24" t="str">
        <f t="shared" si="30"/>
        <v>ResCACZ3</v>
      </c>
      <c r="I131" s="24">
        <f t="shared" si="30"/>
        <v>0</v>
      </c>
      <c r="J131" s="24">
        <f t="shared" si="30"/>
        <v>0</v>
      </c>
      <c r="K131" s="24">
        <f t="shared" si="30"/>
        <v>0</v>
      </c>
      <c r="L131" s="24">
        <f t="shared" si="30"/>
        <v>0</v>
      </c>
      <c r="M131" s="24">
        <f t="shared" si="30"/>
        <v>0</v>
      </c>
      <c r="N131" s="24">
        <f t="shared" si="30"/>
        <v>0</v>
      </c>
      <c r="O131" s="24">
        <f t="shared" si="30"/>
        <v>0</v>
      </c>
      <c r="P131" s="24">
        <f t="shared" si="30"/>
        <v>0</v>
      </c>
      <c r="Q131" s="24">
        <f t="shared" si="30"/>
        <v>0</v>
      </c>
    </row>
    <row r="132" spans="1:17" ht="25.5">
      <c r="A132" t="str">
        <f t="shared" si="4"/>
        <v>Heating Zone 3 - Cooling Zone 1</v>
      </c>
      <c r="B132" s="24" t="str">
        <f t="shared" si="24"/>
        <v>Existing Single Family Home HVAC Conversion - Convert FAF w/o CAC to Heat Pump - House with "Good Insulation" - Heating Zone 3 - Cooling Zone 1</v>
      </c>
      <c r="C132" s="24" t="str">
        <f t="shared" si="17"/>
        <v>Cooling Savings</v>
      </c>
      <c r="D132" s="25">
        <f t="shared" ref="D132:Q132" si="31">D49</f>
        <v>-137.82461431953399</v>
      </c>
      <c r="E132" s="25">
        <f t="shared" si="31"/>
        <v>15</v>
      </c>
      <c r="F132" s="25">
        <f t="shared" si="31"/>
        <v>0</v>
      </c>
      <c r="G132" s="25">
        <f t="shared" si="31"/>
        <v>0</v>
      </c>
      <c r="H132" s="24" t="str">
        <f t="shared" si="31"/>
        <v>ResCACZ1</v>
      </c>
      <c r="I132" s="24">
        <f t="shared" si="31"/>
        <v>11.217675837393347</v>
      </c>
      <c r="J132" s="24">
        <f t="shared" si="31"/>
        <v>0</v>
      </c>
      <c r="K132" s="24">
        <f t="shared" si="31"/>
        <v>0</v>
      </c>
      <c r="L132" s="24">
        <f t="shared" si="31"/>
        <v>0</v>
      </c>
      <c r="M132" s="24">
        <f t="shared" si="31"/>
        <v>0</v>
      </c>
      <c r="N132" s="24">
        <f t="shared" si="31"/>
        <v>0</v>
      </c>
      <c r="O132" s="24">
        <f t="shared" si="31"/>
        <v>0</v>
      </c>
      <c r="P132" s="24">
        <f t="shared" si="31"/>
        <v>0</v>
      </c>
      <c r="Q132" s="24">
        <f t="shared" si="31"/>
        <v>0</v>
      </c>
    </row>
    <row r="133" spans="1:17" ht="25.5">
      <c r="A133" t="str">
        <f t="shared" si="4"/>
        <v>Heating Zone 3 - Cooling Zone 2</v>
      </c>
      <c r="B133" s="24" t="str">
        <f t="shared" si="24"/>
        <v>Existing Single Family Home HVAC Conversion - Convert FAF w/o CAC to Heat Pump - House with "Good Insulation" - Heating Zone 3 - Cooling Zone 2</v>
      </c>
      <c r="C133" s="24" t="str">
        <f t="shared" si="17"/>
        <v>Cooling Savings</v>
      </c>
      <c r="D133" s="25">
        <f t="shared" ref="D133:Q133" si="32">D50</f>
        <v>-113.30920271946417</v>
      </c>
      <c r="E133" s="25">
        <f t="shared" si="32"/>
        <v>15</v>
      </c>
      <c r="F133" s="25">
        <f t="shared" si="32"/>
        <v>0</v>
      </c>
      <c r="G133" s="25">
        <f t="shared" si="32"/>
        <v>0</v>
      </c>
      <c r="H133" s="24" t="str">
        <f t="shared" si="32"/>
        <v>ResCACZ2</v>
      </c>
      <c r="I133" s="24">
        <f t="shared" si="32"/>
        <v>9.2223432786366129</v>
      </c>
      <c r="J133" s="24">
        <f t="shared" si="32"/>
        <v>0</v>
      </c>
      <c r="K133" s="24">
        <f t="shared" si="32"/>
        <v>0</v>
      </c>
      <c r="L133" s="24">
        <f t="shared" si="32"/>
        <v>0</v>
      </c>
      <c r="M133" s="24">
        <f t="shared" si="32"/>
        <v>0</v>
      </c>
      <c r="N133" s="24">
        <f t="shared" si="32"/>
        <v>0</v>
      </c>
      <c r="O133" s="24">
        <f t="shared" si="32"/>
        <v>0</v>
      </c>
      <c r="P133" s="24">
        <f t="shared" si="32"/>
        <v>0</v>
      </c>
      <c r="Q133" s="24">
        <f t="shared" si="32"/>
        <v>0</v>
      </c>
    </row>
    <row r="134" spans="1:17" ht="25.5">
      <c r="A134" t="str">
        <f t="shared" si="4"/>
        <v>Heating Zone 3 - Cooling Zone 3</v>
      </c>
      <c r="B134" s="24" t="str">
        <f t="shared" si="24"/>
        <v>Existing Single Family Home HVAC Conversion - Convert FAF w/o CAC to Heat Pump - House with "Good Insulation" - Heating Zone 3 - Cooling Zone 3</v>
      </c>
      <c r="C134" s="24" t="str">
        <f t="shared" si="17"/>
        <v>Cooling Savings</v>
      </c>
      <c r="D134" s="25">
        <f t="shared" ref="D134:Q134" si="33">D51</f>
        <v>0</v>
      </c>
      <c r="E134" s="25">
        <f t="shared" si="33"/>
        <v>15</v>
      </c>
      <c r="F134" s="25">
        <f t="shared" si="33"/>
        <v>0</v>
      </c>
      <c r="G134" s="25">
        <f t="shared" si="33"/>
        <v>0</v>
      </c>
      <c r="H134" s="24" t="str">
        <f t="shared" si="33"/>
        <v>ResCACZ3</v>
      </c>
      <c r="I134" s="24">
        <f t="shared" si="33"/>
        <v>0</v>
      </c>
      <c r="J134" s="24">
        <f t="shared" si="33"/>
        <v>0</v>
      </c>
      <c r="K134" s="24">
        <f t="shared" si="33"/>
        <v>0</v>
      </c>
      <c r="L134" s="24">
        <f t="shared" si="33"/>
        <v>0</v>
      </c>
      <c r="M134" s="24">
        <f t="shared" si="33"/>
        <v>0</v>
      </c>
      <c r="N134" s="24">
        <f t="shared" si="33"/>
        <v>0</v>
      </c>
      <c r="O134" s="24">
        <f t="shared" si="33"/>
        <v>0</v>
      </c>
      <c r="P134" s="24">
        <f t="shared" si="33"/>
        <v>0</v>
      </c>
      <c r="Q134" s="24">
        <f t="shared" si="33"/>
        <v>0</v>
      </c>
    </row>
    <row r="135" spans="1:17" ht="25.5">
      <c r="A135" t="str">
        <f t="shared" si="4"/>
        <v>Heating Zone 1</v>
      </c>
      <c r="B135" s="24" t="str">
        <f t="shared" si="24"/>
        <v>Existing Single Family Home HVAC Upgrade - Heat Pump Upgrade to 9.0 HSPF/14 SEER - Heating Zone 1</v>
      </c>
      <c r="C135" s="24" t="str">
        <f t="shared" ref="C135:Q150" si="34">C52</f>
        <v>Cooling Savings</v>
      </c>
      <c r="D135" s="25">
        <f t="shared" si="34"/>
        <v>0</v>
      </c>
      <c r="E135" s="25">
        <f t="shared" si="34"/>
        <v>15</v>
      </c>
      <c r="F135" s="25">
        <f t="shared" si="34"/>
        <v>0</v>
      </c>
      <c r="G135" s="25">
        <f t="shared" si="34"/>
        <v>0</v>
      </c>
      <c r="H135" s="24" t="str">
        <f t="shared" si="34"/>
        <v>ResCACZ1</v>
      </c>
      <c r="I135" s="24">
        <f t="shared" si="34"/>
        <v>0</v>
      </c>
      <c r="J135" s="24">
        <f t="shared" si="34"/>
        <v>0</v>
      </c>
      <c r="K135" s="24">
        <f t="shared" si="34"/>
        <v>0</v>
      </c>
      <c r="L135" s="24">
        <f t="shared" si="34"/>
        <v>0</v>
      </c>
      <c r="M135" s="24">
        <f t="shared" si="34"/>
        <v>0</v>
      </c>
      <c r="N135" s="24">
        <f t="shared" si="34"/>
        <v>0</v>
      </c>
      <c r="O135" s="24">
        <f t="shared" si="34"/>
        <v>0</v>
      </c>
      <c r="P135" s="24">
        <f t="shared" si="34"/>
        <v>0</v>
      </c>
      <c r="Q135" s="24">
        <f t="shared" si="34"/>
        <v>0</v>
      </c>
    </row>
    <row r="136" spans="1:17" ht="25.5">
      <c r="A136" t="str">
        <f t="shared" si="4"/>
        <v>Heating Zone 2</v>
      </c>
      <c r="B136" s="24" t="str">
        <f t="shared" si="24"/>
        <v>Existing Single Family Home HVAC Upgrade - Heat Pump Upgrade to 9.0 HSPF/14 SEER - Heating Zone 2</v>
      </c>
      <c r="C136" s="24" t="str">
        <f t="shared" si="34"/>
        <v>Cooling Savings</v>
      </c>
      <c r="D136" s="25">
        <f t="shared" si="34"/>
        <v>0</v>
      </c>
      <c r="E136" s="25">
        <f t="shared" si="34"/>
        <v>15</v>
      </c>
      <c r="F136" s="25">
        <f t="shared" si="34"/>
        <v>0</v>
      </c>
      <c r="G136" s="25">
        <f t="shared" si="34"/>
        <v>0</v>
      </c>
      <c r="H136" s="24" t="str">
        <f t="shared" si="34"/>
        <v>ResCACZ2</v>
      </c>
      <c r="I136" s="24">
        <f t="shared" si="34"/>
        <v>0</v>
      </c>
      <c r="J136" s="24">
        <f t="shared" si="34"/>
        <v>0</v>
      </c>
      <c r="K136" s="24">
        <f t="shared" si="34"/>
        <v>0</v>
      </c>
      <c r="L136" s="24">
        <f t="shared" si="34"/>
        <v>0</v>
      </c>
      <c r="M136" s="24">
        <f t="shared" si="34"/>
        <v>0</v>
      </c>
      <c r="N136" s="24">
        <f t="shared" si="34"/>
        <v>0</v>
      </c>
      <c r="O136" s="24">
        <f t="shared" si="34"/>
        <v>0</v>
      </c>
      <c r="P136" s="24">
        <f t="shared" si="34"/>
        <v>0</v>
      </c>
      <c r="Q136" s="24">
        <f t="shared" si="34"/>
        <v>0</v>
      </c>
    </row>
    <row r="137" spans="1:17" ht="25.5">
      <c r="A137" t="str">
        <f t="shared" si="4"/>
        <v>Heating Zone 3</v>
      </c>
      <c r="B137" s="24" t="str">
        <f t="shared" si="24"/>
        <v>Existing Single Family Home HVAC Upgrade - Heat Pump Upgrade to 9.0 HSPF/14 SEER - Heating Zone 3</v>
      </c>
      <c r="C137" s="24" t="str">
        <f t="shared" si="34"/>
        <v>Cooling Savings</v>
      </c>
      <c r="D137" s="25">
        <f t="shared" si="34"/>
        <v>0</v>
      </c>
      <c r="E137" s="25">
        <f t="shared" si="34"/>
        <v>15</v>
      </c>
      <c r="F137" s="25">
        <f t="shared" si="34"/>
        <v>0</v>
      </c>
      <c r="G137" s="25">
        <f t="shared" si="34"/>
        <v>0</v>
      </c>
      <c r="H137" s="24" t="str">
        <f t="shared" si="34"/>
        <v>ResCACZ3</v>
      </c>
      <c r="I137" s="24">
        <f t="shared" si="34"/>
        <v>0</v>
      </c>
      <c r="J137" s="24">
        <f t="shared" si="34"/>
        <v>0</v>
      </c>
      <c r="K137" s="24">
        <f t="shared" si="34"/>
        <v>0</v>
      </c>
      <c r="L137" s="24">
        <f t="shared" si="34"/>
        <v>0</v>
      </c>
      <c r="M137" s="24">
        <f t="shared" si="34"/>
        <v>0</v>
      </c>
      <c r="N137" s="24">
        <f t="shared" si="34"/>
        <v>0</v>
      </c>
      <c r="O137" s="24">
        <f t="shared" si="34"/>
        <v>0</v>
      </c>
      <c r="P137" s="24">
        <f t="shared" si="34"/>
        <v>0</v>
      </c>
      <c r="Q137" s="24">
        <f t="shared" si="34"/>
        <v>0</v>
      </c>
    </row>
    <row r="138" spans="1:17" ht="25.5">
      <c r="A138" t="str">
        <f t="shared" si="4"/>
        <v>Heating Zone 1 - Cooling Zone 1</v>
      </c>
      <c r="B138" s="24" t="str">
        <f t="shared" si="24"/>
        <v>Existing Single Family Home HVAC Upgrade - Central Heat Pump Upgrade to Variable Capacity Central Heat Pump - Heating Zone 1 - Cooling Zone 1</v>
      </c>
      <c r="C138" s="24" t="str">
        <f t="shared" si="34"/>
        <v>Cooling Savings</v>
      </c>
      <c r="D138" s="25">
        <f>D55-D135</f>
        <v>63.646904412715216</v>
      </c>
      <c r="E138" s="25">
        <f t="shared" si="34"/>
        <v>15</v>
      </c>
      <c r="F138" s="25">
        <f>F55-F135</f>
        <v>0</v>
      </c>
      <c r="G138" s="25">
        <f>G55-G135</f>
        <v>0</v>
      </c>
      <c r="H138" s="24" t="str">
        <f t="shared" si="34"/>
        <v>ResCACZ1</v>
      </c>
      <c r="I138" s="25">
        <f>I55-I135</f>
        <v>0</v>
      </c>
      <c r="J138" s="25">
        <f>J55-J135</f>
        <v>0</v>
      </c>
      <c r="K138" s="24">
        <f t="shared" si="34"/>
        <v>0</v>
      </c>
      <c r="L138" s="25">
        <f>L55-L135</f>
        <v>0</v>
      </c>
      <c r="M138" s="24">
        <f t="shared" si="34"/>
        <v>0</v>
      </c>
      <c r="N138" s="25">
        <f>N55-N135</f>
        <v>0</v>
      </c>
      <c r="O138" s="24">
        <f t="shared" si="34"/>
        <v>0</v>
      </c>
      <c r="P138" s="25">
        <f>P55-P135</f>
        <v>0</v>
      </c>
      <c r="Q138" s="24">
        <f t="shared" si="34"/>
        <v>0</v>
      </c>
    </row>
    <row r="139" spans="1:17" ht="25.5">
      <c r="A139" t="str">
        <f t="shared" si="4"/>
        <v>Heating Zone 1 - Cooling Zone 2</v>
      </c>
      <c r="B139" s="24" t="str">
        <f t="shared" si="24"/>
        <v>Existing Single Family Home HVAC Upgrade - Central Heat Pump Upgrade to Variable Capacity Central Heat Pump - Heating Zone 1 - Cooling Zone 2</v>
      </c>
      <c r="C139" s="24" t="str">
        <f t="shared" si="34"/>
        <v>Cooling Savings</v>
      </c>
      <c r="D139" s="25">
        <f>D56-D135</f>
        <v>148.1378811331501</v>
      </c>
      <c r="E139" s="25">
        <f t="shared" si="34"/>
        <v>15</v>
      </c>
      <c r="F139" s="25">
        <f>F56-F135</f>
        <v>0</v>
      </c>
      <c r="G139" s="25">
        <f>G56-G135</f>
        <v>0</v>
      </c>
      <c r="H139" s="24" t="str">
        <f t="shared" si="34"/>
        <v>ResCACZ2</v>
      </c>
      <c r="I139" s="25">
        <f>I56-I135</f>
        <v>0</v>
      </c>
      <c r="J139" s="25">
        <f>J56-J135</f>
        <v>0</v>
      </c>
      <c r="K139" s="24">
        <f t="shared" si="34"/>
        <v>0</v>
      </c>
      <c r="L139" s="25">
        <f>L56-L135</f>
        <v>0</v>
      </c>
      <c r="M139" s="24">
        <f t="shared" si="34"/>
        <v>0</v>
      </c>
      <c r="N139" s="25">
        <f>N56-N135</f>
        <v>0</v>
      </c>
      <c r="O139" s="24">
        <f t="shared" si="34"/>
        <v>0</v>
      </c>
      <c r="P139" s="25">
        <f>P56-P135</f>
        <v>0</v>
      </c>
      <c r="Q139" s="24">
        <f t="shared" si="34"/>
        <v>0</v>
      </c>
    </row>
    <row r="140" spans="1:17" ht="25.5">
      <c r="A140" t="str">
        <f t="shared" si="4"/>
        <v>Heating Zone 1 - Cooling Zone 3</v>
      </c>
      <c r="B140" s="24" t="str">
        <f t="shared" si="24"/>
        <v>Existing Single Family Home HVAC Upgrade - Central Heat Pump Upgrade to Variable Capacity Central Heat Pump - Heating Zone 1 - Cooling Zone 3</v>
      </c>
      <c r="C140" s="24" t="str">
        <f t="shared" si="34"/>
        <v>Cooling Savings</v>
      </c>
      <c r="D140" s="25">
        <f>D57-D135</f>
        <v>248.28454951850256</v>
      </c>
      <c r="E140" s="25">
        <f t="shared" si="34"/>
        <v>15</v>
      </c>
      <c r="F140" s="25">
        <f>F57-F135</f>
        <v>0</v>
      </c>
      <c r="G140" s="25">
        <f>G57-G135</f>
        <v>0</v>
      </c>
      <c r="H140" s="24" t="str">
        <f t="shared" si="34"/>
        <v>ResCACZ3</v>
      </c>
      <c r="I140" s="25">
        <f>I57-I135</f>
        <v>0</v>
      </c>
      <c r="J140" s="25">
        <f>J57-J135</f>
        <v>0</v>
      </c>
      <c r="K140" s="24">
        <f t="shared" si="34"/>
        <v>0</v>
      </c>
      <c r="L140" s="25">
        <f>L57-L135</f>
        <v>0</v>
      </c>
      <c r="M140" s="24">
        <f t="shared" si="34"/>
        <v>0</v>
      </c>
      <c r="N140" s="25">
        <f>N57-N135</f>
        <v>0</v>
      </c>
      <c r="O140" s="24">
        <f t="shared" si="34"/>
        <v>0</v>
      </c>
      <c r="P140" s="25">
        <f>P57-P135</f>
        <v>0</v>
      </c>
      <c r="Q140" s="24">
        <f t="shared" si="34"/>
        <v>0</v>
      </c>
    </row>
    <row r="141" spans="1:17" ht="25.5">
      <c r="A141" t="str">
        <f t="shared" si="4"/>
        <v>Heating Zone 2 - Cooling Zone 1</v>
      </c>
      <c r="B141" s="24" t="str">
        <f t="shared" si="24"/>
        <v>Existing Single Family Home HVAC Upgrade - Central Heat Pump Upgrade to Variable Capacity Central Heat Pump - Heating Zone 2 - Cooling Zone 1</v>
      </c>
      <c r="C141" s="24" t="str">
        <f t="shared" si="34"/>
        <v>Cooling Savings</v>
      </c>
      <c r="D141" s="25">
        <f>D58-D136</f>
        <v>63.646904412715216</v>
      </c>
      <c r="E141" s="25">
        <f t="shared" si="34"/>
        <v>15</v>
      </c>
      <c r="F141" s="25">
        <f>F58-F136</f>
        <v>0</v>
      </c>
      <c r="G141" s="25">
        <f>G58-G136</f>
        <v>0</v>
      </c>
      <c r="H141" s="24" t="str">
        <f t="shared" si="34"/>
        <v>ResCACZ1</v>
      </c>
      <c r="I141" s="25">
        <f>I58-I136</f>
        <v>0</v>
      </c>
      <c r="J141" s="25">
        <f>J58-J136</f>
        <v>0</v>
      </c>
      <c r="K141" s="24">
        <f t="shared" si="34"/>
        <v>0</v>
      </c>
      <c r="L141" s="25">
        <f>L58-L136</f>
        <v>0</v>
      </c>
      <c r="M141" s="24">
        <f t="shared" si="34"/>
        <v>0</v>
      </c>
      <c r="N141" s="25">
        <f>N58-N136</f>
        <v>0</v>
      </c>
      <c r="O141" s="24">
        <f t="shared" si="34"/>
        <v>0</v>
      </c>
      <c r="P141" s="25">
        <f>P58-P136</f>
        <v>0</v>
      </c>
      <c r="Q141" s="24">
        <f t="shared" si="34"/>
        <v>0</v>
      </c>
    </row>
    <row r="142" spans="1:17" ht="25.5">
      <c r="A142" t="str">
        <f t="shared" si="4"/>
        <v>Heating Zone 2 - Cooling Zone 2</v>
      </c>
      <c r="B142" s="24" t="str">
        <f t="shared" si="24"/>
        <v>Existing Single Family Home HVAC Upgrade - Central Heat Pump Upgrade to Variable Capacity Central Heat Pump - Heating Zone 2 - Cooling Zone 2</v>
      </c>
      <c r="C142" s="24" t="str">
        <f t="shared" si="34"/>
        <v>Cooling Savings</v>
      </c>
      <c r="D142" s="25">
        <f>D59-D136</f>
        <v>148.1378811331501</v>
      </c>
      <c r="E142" s="25">
        <f t="shared" si="34"/>
        <v>15</v>
      </c>
      <c r="F142" s="25">
        <f>F59-F136</f>
        <v>0</v>
      </c>
      <c r="G142" s="25">
        <f>G59-G136</f>
        <v>0</v>
      </c>
      <c r="H142" s="24" t="str">
        <f t="shared" si="34"/>
        <v>ResCACZ2</v>
      </c>
      <c r="I142" s="25">
        <f>I59-I136</f>
        <v>0</v>
      </c>
      <c r="J142" s="25">
        <f>J59-J136</f>
        <v>0</v>
      </c>
      <c r="K142" s="24">
        <f t="shared" si="34"/>
        <v>0</v>
      </c>
      <c r="L142" s="25">
        <f>L59-L136</f>
        <v>0</v>
      </c>
      <c r="M142" s="24">
        <f t="shared" si="34"/>
        <v>0</v>
      </c>
      <c r="N142" s="25">
        <f>N59-N136</f>
        <v>0</v>
      </c>
      <c r="O142" s="24">
        <f t="shared" si="34"/>
        <v>0</v>
      </c>
      <c r="P142" s="25">
        <f>P59-P136</f>
        <v>0</v>
      </c>
      <c r="Q142" s="24">
        <f t="shared" si="34"/>
        <v>0</v>
      </c>
    </row>
    <row r="143" spans="1:17" ht="25.5">
      <c r="A143" t="str">
        <f t="shared" si="4"/>
        <v>Heating Zone 2 - Cooling Zone 3</v>
      </c>
      <c r="B143" s="24" t="str">
        <f t="shared" si="24"/>
        <v>Existing Single Family Home HVAC Upgrade - Central Heat Pump Upgrade to Variable Capacity Central Heat Pump - Heating Zone 2 - Cooling Zone 3</v>
      </c>
      <c r="C143" s="24" t="str">
        <f t="shared" si="34"/>
        <v>Cooling Savings</v>
      </c>
      <c r="D143" s="25">
        <f>D60-D136</f>
        <v>248.28454951850256</v>
      </c>
      <c r="E143" s="25">
        <f t="shared" si="34"/>
        <v>15</v>
      </c>
      <c r="F143" s="25">
        <f>F60-F136</f>
        <v>0</v>
      </c>
      <c r="G143" s="25">
        <f>G60-G136</f>
        <v>0</v>
      </c>
      <c r="H143" s="24" t="str">
        <f t="shared" si="34"/>
        <v>ResCACZ3</v>
      </c>
      <c r="I143" s="25">
        <f>I60-I136</f>
        <v>0</v>
      </c>
      <c r="J143" s="25">
        <f>J60-J136</f>
        <v>0</v>
      </c>
      <c r="K143" s="24">
        <f t="shared" si="34"/>
        <v>0</v>
      </c>
      <c r="L143" s="25">
        <f>L60-L136</f>
        <v>0</v>
      </c>
      <c r="M143" s="24">
        <f t="shared" si="34"/>
        <v>0</v>
      </c>
      <c r="N143" s="25">
        <f>N60-N136</f>
        <v>0</v>
      </c>
      <c r="O143" s="24">
        <f t="shared" si="34"/>
        <v>0</v>
      </c>
      <c r="P143" s="25">
        <f>P60-P136</f>
        <v>0</v>
      </c>
      <c r="Q143" s="24">
        <f t="shared" si="34"/>
        <v>0</v>
      </c>
    </row>
    <row r="144" spans="1:17" ht="25.5">
      <c r="A144" t="str">
        <f t="shared" si="4"/>
        <v>Heating Zone 3 - Cooling Zone 1</v>
      </c>
      <c r="B144" s="24" t="str">
        <f t="shared" si="24"/>
        <v>Existing Single Family Home HVAC Upgrade - Central Heat Pump Upgrade to Variable Capacity Central Heat Pump - Heating Zone 3 - Cooling Zone 1</v>
      </c>
      <c r="C144" s="24" t="str">
        <f t="shared" si="34"/>
        <v>Cooling Savings</v>
      </c>
      <c r="D144" s="25">
        <f>D61-D137</f>
        <v>63.646904412715216</v>
      </c>
      <c r="E144" s="25">
        <f t="shared" si="34"/>
        <v>15</v>
      </c>
      <c r="F144" s="25">
        <f>F61-F137</f>
        <v>0</v>
      </c>
      <c r="G144" s="25">
        <f>G61-G137</f>
        <v>0</v>
      </c>
      <c r="H144" s="24" t="str">
        <f t="shared" si="34"/>
        <v>ResCACZ1</v>
      </c>
      <c r="I144" s="25">
        <f>I61-I137</f>
        <v>0</v>
      </c>
      <c r="J144" s="25">
        <f>J61-J137</f>
        <v>0</v>
      </c>
      <c r="K144" s="24">
        <f t="shared" si="34"/>
        <v>0</v>
      </c>
      <c r="L144" s="25">
        <f>L61-L137</f>
        <v>0</v>
      </c>
      <c r="M144" s="24">
        <f t="shared" si="34"/>
        <v>0</v>
      </c>
      <c r="N144" s="25">
        <f>N61-N137</f>
        <v>0</v>
      </c>
      <c r="O144" s="24">
        <f t="shared" si="34"/>
        <v>0</v>
      </c>
      <c r="P144" s="25">
        <f>P61-P137</f>
        <v>0</v>
      </c>
      <c r="Q144" s="24">
        <f t="shared" si="34"/>
        <v>0</v>
      </c>
    </row>
    <row r="145" spans="1:17" ht="25.5">
      <c r="A145" t="str">
        <f t="shared" si="4"/>
        <v>Heating Zone 3 - Cooling Zone 2</v>
      </c>
      <c r="B145" s="24" t="str">
        <f t="shared" si="24"/>
        <v>Existing Single Family Home HVAC Upgrade - Central Heat Pump Upgrade to Variable Capacity Central Heat Pump - Heating Zone 3 - Cooling Zone 2</v>
      </c>
      <c r="C145" s="24" t="str">
        <f t="shared" si="34"/>
        <v>Cooling Savings</v>
      </c>
      <c r="D145" s="25">
        <f>D62-D137</f>
        <v>148.1378811331501</v>
      </c>
      <c r="E145" s="25">
        <f t="shared" si="34"/>
        <v>15</v>
      </c>
      <c r="F145" s="25">
        <f>F62-F137</f>
        <v>0</v>
      </c>
      <c r="G145" s="25">
        <f>G62-G137</f>
        <v>0</v>
      </c>
      <c r="H145" s="24" t="str">
        <f t="shared" si="34"/>
        <v>ResCACZ2</v>
      </c>
      <c r="I145" s="25">
        <f>I62-I137</f>
        <v>0</v>
      </c>
      <c r="J145" s="25">
        <f>J62-J137</f>
        <v>0</v>
      </c>
      <c r="K145" s="24">
        <f t="shared" si="34"/>
        <v>0</v>
      </c>
      <c r="L145" s="25">
        <f>L62-L137</f>
        <v>0</v>
      </c>
      <c r="M145" s="24">
        <f t="shared" si="34"/>
        <v>0</v>
      </c>
      <c r="N145" s="25">
        <f>N62-N137</f>
        <v>0</v>
      </c>
      <c r="O145" s="24">
        <f t="shared" si="34"/>
        <v>0</v>
      </c>
      <c r="P145" s="25">
        <f>P62-P137</f>
        <v>0</v>
      </c>
      <c r="Q145" s="24">
        <f t="shared" si="34"/>
        <v>0</v>
      </c>
    </row>
    <row r="146" spans="1:17" ht="25.5">
      <c r="A146" t="str">
        <f t="shared" si="4"/>
        <v>Heating Zone 3 - Cooling Zone 3</v>
      </c>
      <c r="B146" s="24" t="str">
        <f t="shared" si="24"/>
        <v>Existing Single Family Home HVAC Upgrade - Central Heat Pump Upgrade to Variable Capacity Central Heat Pump - Heating Zone 3 - Cooling Zone 3</v>
      </c>
      <c r="C146" s="24" t="str">
        <f t="shared" si="34"/>
        <v>Cooling Savings</v>
      </c>
      <c r="D146" s="25">
        <f>D63-D137</f>
        <v>248.28454951850256</v>
      </c>
      <c r="E146" s="25">
        <f t="shared" si="34"/>
        <v>15</v>
      </c>
      <c r="F146" s="25">
        <f>F63-F137</f>
        <v>0</v>
      </c>
      <c r="G146" s="25">
        <f>G63-G137</f>
        <v>0</v>
      </c>
      <c r="H146" s="24" t="str">
        <f t="shared" si="34"/>
        <v>R-All-HVAC-DHP_cool-All-All-N</v>
      </c>
      <c r="I146" s="25">
        <f>I63-I137</f>
        <v>0</v>
      </c>
      <c r="J146" s="25">
        <f>J63-J137</f>
        <v>0</v>
      </c>
      <c r="K146" s="24">
        <f t="shared" si="34"/>
        <v>0</v>
      </c>
      <c r="L146" s="25">
        <f>L63-L137</f>
        <v>0</v>
      </c>
      <c r="M146" s="24">
        <f t="shared" si="34"/>
        <v>0</v>
      </c>
      <c r="N146" s="25">
        <f>N63-N137</f>
        <v>0</v>
      </c>
      <c r="O146" s="24">
        <f t="shared" si="34"/>
        <v>0</v>
      </c>
      <c r="P146" s="25">
        <f>P63-P137</f>
        <v>0</v>
      </c>
      <c r="Q146" s="24">
        <f t="shared" si="34"/>
        <v>0</v>
      </c>
    </row>
    <row r="147" spans="1:17">
      <c r="A147" t="str">
        <f t="shared" si="4"/>
        <v>HZ1CZ1</v>
      </c>
      <c r="B147" s="24" t="str">
        <f t="shared" si="24"/>
        <v>Zonal to DHP No Screen HZ1CZ1</v>
      </c>
      <c r="C147" s="24" t="str">
        <f t="shared" si="34"/>
        <v>Cooling Savings</v>
      </c>
      <c r="D147" s="25">
        <f>D64</f>
        <v>-32.124417637256897</v>
      </c>
      <c r="E147" s="25">
        <f t="shared" ref="E147:Q147" si="35">E64</f>
        <v>15</v>
      </c>
      <c r="F147" s="25">
        <f t="shared" si="35"/>
        <v>0</v>
      </c>
      <c r="G147" s="25">
        <f t="shared" si="35"/>
        <v>0</v>
      </c>
      <c r="H147" s="25" t="str">
        <f t="shared" si="35"/>
        <v>R-All-HVAC-DHP_cool-All-All-N</v>
      </c>
      <c r="I147" s="25">
        <f t="shared" si="35"/>
        <v>4.2672027323999426</v>
      </c>
      <c r="J147" s="25">
        <f t="shared" si="35"/>
        <v>0</v>
      </c>
      <c r="K147" s="25">
        <f t="shared" si="35"/>
        <v>0</v>
      </c>
      <c r="L147" s="25">
        <f t="shared" si="35"/>
        <v>0</v>
      </c>
      <c r="M147" s="25">
        <f t="shared" si="35"/>
        <v>0</v>
      </c>
      <c r="N147" s="25">
        <f t="shared" si="35"/>
        <v>0</v>
      </c>
      <c r="O147" s="25">
        <f t="shared" si="35"/>
        <v>0</v>
      </c>
      <c r="P147" s="25">
        <f t="shared" si="35"/>
        <v>0</v>
      </c>
      <c r="Q147" s="25">
        <f t="shared" si="35"/>
        <v>0</v>
      </c>
    </row>
    <row r="148" spans="1:17">
      <c r="A148" t="str">
        <f t="shared" si="4"/>
        <v>HZ2CZ1</v>
      </c>
      <c r="B148" s="24" t="str">
        <f t="shared" si="24"/>
        <v>Zonal to DHP No Screen HZ2CZ1</v>
      </c>
      <c r="C148" s="24" t="str">
        <f t="shared" si="34"/>
        <v>Cooling Savings</v>
      </c>
      <c r="D148" s="25">
        <f t="shared" si="34"/>
        <v>-32.124417637256897</v>
      </c>
      <c r="E148" s="25">
        <f t="shared" si="34"/>
        <v>15</v>
      </c>
      <c r="F148" s="25">
        <f t="shared" si="34"/>
        <v>0</v>
      </c>
      <c r="G148" s="25">
        <f t="shared" si="34"/>
        <v>0</v>
      </c>
      <c r="H148" s="25" t="str">
        <f t="shared" si="34"/>
        <v>R-All-HVAC-DHP_cool-All-All-N</v>
      </c>
      <c r="I148" s="25">
        <f t="shared" si="34"/>
        <v>4.2672027323999426</v>
      </c>
      <c r="J148" s="25">
        <f t="shared" si="34"/>
        <v>0</v>
      </c>
      <c r="K148" s="25">
        <f t="shared" si="34"/>
        <v>0</v>
      </c>
      <c r="L148" s="25">
        <f t="shared" si="34"/>
        <v>0</v>
      </c>
      <c r="M148" s="25">
        <f t="shared" si="34"/>
        <v>0</v>
      </c>
      <c r="N148" s="25">
        <f t="shared" si="34"/>
        <v>0</v>
      </c>
      <c r="O148" s="25">
        <f t="shared" si="34"/>
        <v>0</v>
      </c>
      <c r="P148" s="25">
        <f t="shared" si="34"/>
        <v>0</v>
      </c>
      <c r="Q148" s="25">
        <f t="shared" si="34"/>
        <v>0</v>
      </c>
    </row>
    <row r="149" spans="1:17">
      <c r="A149" t="str">
        <f t="shared" si="4"/>
        <v>HZ3CZ1</v>
      </c>
      <c r="B149" s="24" t="str">
        <f t="shared" si="24"/>
        <v>Zonal to DHP No Screen HZ3CZ1</v>
      </c>
      <c r="C149" s="24" t="str">
        <f t="shared" si="34"/>
        <v>Cooling Savings</v>
      </c>
      <c r="D149" s="25">
        <f t="shared" si="34"/>
        <v>-32.124417637256897</v>
      </c>
      <c r="E149" s="25">
        <f t="shared" si="34"/>
        <v>15</v>
      </c>
      <c r="F149" s="25">
        <f t="shared" si="34"/>
        <v>0</v>
      </c>
      <c r="G149" s="25">
        <f t="shared" si="34"/>
        <v>0</v>
      </c>
      <c r="H149" s="25" t="str">
        <f t="shared" si="34"/>
        <v>R-All-HVAC-DHP_cool-All-All-N</v>
      </c>
      <c r="I149" s="25">
        <f t="shared" si="34"/>
        <v>4.2672027323999426</v>
      </c>
      <c r="J149" s="25">
        <f t="shared" si="34"/>
        <v>0</v>
      </c>
      <c r="K149" s="25">
        <f t="shared" si="34"/>
        <v>0</v>
      </c>
      <c r="L149" s="25">
        <f t="shared" si="34"/>
        <v>0</v>
      </c>
      <c r="M149" s="25">
        <f t="shared" si="34"/>
        <v>0</v>
      </c>
      <c r="N149" s="25">
        <f t="shared" si="34"/>
        <v>0</v>
      </c>
      <c r="O149" s="25">
        <f t="shared" si="34"/>
        <v>0</v>
      </c>
      <c r="P149" s="25">
        <f t="shared" si="34"/>
        <v>0</v>
      </c>
      <c r="Q149" s="25">
        <f t="shared" si="34"/>
        <v>0</v>
      </c>
    </row>
    <row r="150" spans="1:17">
      <c r="A150" t="str">
        <f t="shared" si="4"/>
        <v>HZ1CZ2</v>
      </c>
      <c r="B150" s="24" t="str">
        <f t="shared" si="24"/>
        <v>Zonal to DHP No Screen HZ1CZ2</v>
      </c>
      <c r="C150" s="24" t="str">
        <f t="shared" si="34"/>
        <v>Cooling Savings</v>
      </c>
      <c r="D150" s="25">
        <f t="shared" si="34"/>
        <v>117.23903663470225</v>
      </c>
      <c r="E150" s="25">
        <f t="shared" si="34"/>
        <v>15</v>
      </c>
      <c r="F150" s="25">
        <f t="shared" si="34"/>
        <v>0</v>
      </c>
      <c r="G150" s="25">
        <f t="shared" si="34"/>
        <v>0</v>
      </c>
      <c r="H150" s="25" t="str">
        <f t="shared" si="34"/>
        <v>R-All-HVAC-DHP_cool-All-All-N</v>
      </c>
      <c r="I150" s="25">
        <f t="shared" si="34"/>
        <v>5.8134205779960713</v>
      </c>
      <c r="J150" s="25">
        <f t="shared" si="34"/>
        <v>0</v>
      </c>
      <c r="K150" s="25">
        <f t="shared" si="34"/>
        <v>0</v>
      </c>
      <c r="L150" s="25">
        <f t="shared" si="34"/>
        <v>0</v>
      </c>
      <c r="M150" s="25">
        <f t="shared" si="34"/>
        <v>0</v>
      </c>
      <c r="N150" s="25">
        <f t="shared" si="34"/>
        <v>0</v>
      </c>
      <c r="O150" s="25">
        <f t="shared" si="34"/>
        <v>0</v>
      </c>
      <c r="P150" s="25">
        <f t="shared" si="34"/>
        <v>0</v>
      </c>
      <c r="Q150" s="25">
        <f t="shared" si="34"/>
        <v>0</v>
      </c>
    </row>
    <row r="151" spans="1:17">
      <c r="A151" t="str">
        <f t="shared" si="4"/>
        <v>HZ2CZ2</v>
      </c>
      <c r="B151" s="24" t="str">
        <f t="shared" si="24"/>
        <v>Zonal to DHP No Screen HZ2CZ2</v>
      </c>
      <c r="C151" s="24" t="str">
        <f>C68</f>
        <v>Cooling Savings</v>
      </c>
      <c r="D151" s="25">
        <f t="shared" ref="D151:Q151" si="36">D68</f>
        <v>117.23903663470225</v>
      </c>
      <c r="E151" s="25">
        <f t="shared" si="36"/>
        <v>15</v>
      </c>
      <c r="F151" s="25">
        <f t="shared" si="36"/>
        <v>0</v>
      </c>
      <c r="G151" s="25">
        <f t="shared" si="36"/>
        <v>0</v>
      </c>
      <c r="H151" s="25" t="str">
        <f t="shared" si="36"/>
        <v>R-All-HVAC-DHP_cool-All-All-N</v>
      </c>
      <c r="I151" s="25">
        <f t="shared" si="36"/>
        <v>5.8134205779960713</v>
      </c>
      <c r="J151" s="25">
        <f t="shared" si="36"/>
        <v>0</v>
      </c>
      <c r="K151" s="25">
        <f t="shared" si="36"/>
        <v>0</v>
      </c>
      <c r="L151" s="25">
        <f t="shared" si="36"/>
        <v>0</v>
      </c>
      <c r="M151" s="25">
        <f t="shared" si="36"/>
        <v>0</v>
      </c>
      <c r="N151" s="25">
        <f t="shared" si="36"/>
        <v>0</v>
      </c>
      <c r="O151" s="25">
        <f t="shared" si="36"/>
        <v>0</v>
      </c>
      <c r="P151" s="25">
        <f t="shared" si="36"/>
        <v>0</v>
      </c>
      <c r="Q151" s="25">
        <f t="shared" si="36"/>
        <v>0</v>
      </c>
    </row>
    <row r="152" spans="1:17">
      <c r="A152" t="str">
        <f t="shared" si="4"/>
        <v>HZ3CZ2</v>
      </c>
      <c r="B152" s="24" t="str">
        <f t="shared" si="24"/>
        <v>Zonal to DHP No Screen HZ3CZ2</v>
      </c>
      <c r="C152" s="24" t="str">
        <f>C69</f>
        <v>Cooling Savings</v>
      </c>
      <c r="D152" s="25">
        <f t="shared" ref="D152:Q152" si="37">D69</f>
        <v>117.23903663470225</v>
      </c>
      <c r="E152" s="25">
        <f t="shared" si="37"/>
        <v>15</v>
      </c>
      <c r="F152" s="25">
        <f t="shared" si="37"/>
        <v>0</v>
      </c>
      <c r="G152" s="25">
        <f t="shared" si="37"/>
        <v>0</v>
      </c>
      <c r="H152" s="25" t="str">
        <f t="shared" si="37"/>
        <v>R-All-HVAC-DHP_cool-All-All-N</v>
      </c>
      <c r="I152" s="25">
        <f t="shared" si="37"/>
        <v>5.8134205779960713</v>
      </c>
      <c r="J152" s="25">
        <f t="shared" si="37"/>
        <v>0</v>
      </c>
      <c r="K152" s="25">
        <f t="shared" si="37"/>
        <v>0</v>
      </c>
      <c r="L152" s="25">
        <f t="shared" si="37"/>
        <v>0</v>
      </c>
      <c r="M152" s="25">
        <f t="shared" si="37"/>
        <v>0</v>
      </c>
      <c r="N152" s="25">
        <f t="shared" si="37"/>
        <v>0</v>
      </c>
      <c r="O152" s="25">
        <f t="shared" si="37"/>
        <v>0</v>
      </c>
      <c r="P152" s="25">
        <f t="shared" si="37"/>
        <v>0</v>
      </c>
      <c r="Q152" s="25">
        <f t="shared" si="37"/>
        <v>0</v>
      </c>
    </row>
    <row r="153" spans="1:17">
      <c r="A153" t="str">
        <f t="shared" si="4"/>
        <v>HZ1CZ3</v>
      </c>
      <c r="B153" s="24" t="str">
        <f t="shared" si="24"/>
        <v>Zonal to DHP No Screen HZ1CZ3</v>
      </c>
      <c r="C153" s="24" t="str">
        <f>C70</f>
        <v>Cooling Savings</v>
      </c>
      <c r="D153" s="25">
        <f t="shared" ref="D153:Q153" si="38">D70</f>
        <v>412</v>
      </c>
      <c r="E153" s="25">
        <f t="shared" si="38"/>
        <v>15</v>
      </c>
      <c r="F153" s="25">
        <f t="shared" si="38"/>
        <v>0</v>
      </c>
      <c r="G153" s="25">
        <f t="shared" si="38"/>
        <v>0</v>
      </c>
      <c r="H153" s="25" t="str">
        <f t="shared" si="38"/>
        <v>R-All-HVAC-DHP_cool-All-All-N</v>
      </c>
      <c r="I153" s="25">
        <f t="shared" si="38"/>
        <v>0</v>
      </c>
      <c r="J153" s="25">
        <f t="shared" si="38"/>
        <v>0</v>
      </c>
      <c r="K153" s="25">
        <f t="shared" si="38"/>
        <v>0</v>
      </c>
      <c r="L153" s="25">
        <f t="shared" si="38"/>
        <v>0</v>
      </c>
      <c r="M153" s="25">
        <f t="shared" si="38"/>
        <v>0</v>
      </c>
      <c r="N153" s="25">
        <f t="shared" si="38"/>
        <v>0</v>
      </c>
      <c r="O153" s="25">
        <f t="shared" si="38"/>
        <v>0</v>
      </c>
      <c r="P153" s="25">
        <f t="shared" si="38"/>
        <v>0</v>
      </c>
      <c r="Q153" s="25">
        <f t="shared" si="38"/>
        <v>0</v>
      </c>
    </row>
    <row r="154" spans="1:17">
      <c r="A154" t="str">
        <f t="shared" si="4"/>
        <v>HZ2CZ3</v>
      </c>
      <c r="B154" s="24" t="str">
        <f t="shared" ref="B154:B155" si="39">B71</f>
        <v>Zonal to DHP No Screen HZ2CZ3</v>
      </c>
      <c r="C154" s="24" t="str">
        <f>C71</f>
        <v>Cooling Savings</v>
      </c>
      <c r="D154" s="25">
        <f t="shared" ref="D154:Q154" si="40">D71</f>
        <v>412</v>
      </c>
      <c r="E154" s="25">
        <f t="shared" si="40"/>
        <v>15</v>
      </c>
      <c r="F154" s="25">
        <f t="shared" si="40"/>
        <v>0</v>
      </c>
      <c r="G154" s="25">
        <f t="shared" si="40"/>
        <v>0</v>
      </c>
      <c r="H154" s="25" t="str">
        <f t="shared" si="40"/>
        <v>R-All-HVAC-DHP_cool-All-All-N</v>
      </c>
      <c r="I154" s="25">
        <f t="shared" si="40"/>
        <v>0</v>
      </c>
      <c r="J154" s="25">
        <f t="shared" si="40"/>
        <v>0</v>
      </c>
      <c r="K154" s="25">
        <f t="shared" si="40"/>
        <v>0</v>
      </c>
      <c r="L154" s="25">
        <f t="shared" si="40"/>
        <v>0</v>
      </c>
      <c r="M154" s="25">
        <f t="shared" si="40"/>
        <v>0</v>
      </c>
      <c r="N154" s="25">
        <f t="shared" si="40"/>
        <v>0</v>
      </c>
      <c r="O154" s="25">
        <f t="shared" si="40"/>
        <v>0</v>
      </c>
      <c r="P154" s="25">
        <f t="shared" si="40"/>
        <v>0</v>
      </c>
      <c r="Q154" s="25">
        <f t="shared" si="40"/>
        <v>0</v>
      </c>
    </row>
    <row r="155" spans="1:17">
      <c r="A155" t="str">
        <f t="shared" ref="A155" si="41">IF(LEFT(B155,4)="Exis",RIGHT(B155,LEN(B155)-FIND("- Heating",B155)-1),RIGHT(B155,LEN(B155)-FIND("HZ",B155)+1))</f>
        <v>HZ3CZ3</v>
      </c>
      <c r="B155" s="24" t="str">
        <f t="shared" si="39"/>
        <v>Zonal to DHP No Screen HZ3CZ3</v>
      </c>
      <c r="C155" s="24" t="str">
        <f>C72</f>
        <v>Cooling Savings</v>
      </c>
      <c r="D155" s="25">
        <f t="shared" ref="D155:Q155" si="42">D72</f>
        <v>412</v>
      </c>
      <c r="E155" s="25">
        <f t="shared" si="42"/>
        <v>15</v>
      </c>
      <c r="F155" s="25">
        <f t="shared" si="42"/>
        <v>0</v>
      </c>
      <c r="G155" s="25">
        <f t="shared" si="42"/>
        <v>0</v>
      </c>
      <c r="H155" s="25" t="str">
        <f t="shared" si="42"/>
        <v>R-All-HVAC-DHP_cool-All-All-N</v>
      </c>
      <c r="I155" s="25">
        <f t="shared" si="42"/>
        <v>0</v>
      </c>
      <c r="J155" s="25">
        <f t="shared" si="42"/>
        <v>0</v>
      </c>
      <c r="K155" s="25">
        <f t="shared" si="42"/>
        <v>0</v>
      </c>
      <c r="L155" s="25">
        <f t="shared" si="42"/>
        <v>0</v>
      </c>
      <c r="M155" s="25">
        <f t="shared" si="42"/>
        <v>0</v>
      </c>
      <c r="N155" s="25">
        <f t="shared" si="42"/>
        <v>0</v>
      </c>
      <c r="O155" s="25">
        <f t="shared" si="42"/>
        <v>0</v>
      </c>
      <c r="P155" s="25">
        <f t="shared" si="42"/>
        <v>0</v>
      </c>
      <c r="Q155" s="25">
        <f t="shared" si="42"/>
        <v>0</v>
      </c>
    </row>
    <row r="156" spans="1:17">
      <c r="B156" s="24"/>
      <c r="C156" s="24"/>
      <c r="D156" s="25"/>
      <c r="E156" s="25"/>
      <c r="F156" s="25"/>
      <c r="G156" s="25"/>
      <c r="H156" s="24"/>
      <c r="I156" s="26"/>
      <c r="J156" s="26"/>
      <c r="K156" s="24"/>
      <c r="L156" s="26"/>
      <c r="M156" s="24"/>
      <c r="N156" s="26"/>
      <c r="O156" s="24"/>
      <c r="P156" s="26"/>
      <c r="Q156" s="24"/>
    </row>
    <row r="157" spans="1:17">
      <c r="B157" s="24"/>
      <c r="C157" s="24"/>
      <c r="D157" s="25"/>
      <c r="E157" s="25"/>
      <c r="F157" s="25"/>
      <c r="G157" s="25"/>
      <c r="H157" s="24"/>
      <c r="I157" s="26"/>
      <c r="J157" s="26"/>
      <c r="K157" s="24"/>
      <c r="L157" s="26"/>
      <c r="M157" s="24"/>
      <c r="N157" s="26"/>
      <c r="O157" s="24"/>
      <c r="P157" s="26"/>
      <c r="Q157" s="24"/>
    </row>
    <row r="158" spans="1:17">
      <c r="B158" s="24"/>
      <c r="C158" s="24"/>
      <c r="D158" s="25"/>
      <c r="E158" s="25"/>
      <c r="F158" s="25"/>
      <c r="G158" s="25"/>
      <c r="H158" s="24"/>
      <c r="I158" s="26"/>
      <c r="J158" s="26"/>
      <c r="K158" s="24"/>
      <c r="L158" s="26"/>
      <c r="M158" s="24"/>
      <c r="N158" s="26"/>
      <c r="O158" s="24"/>
      <c r="P158" s="26"/>
      <c r="Q158" s="24"/>
    </row>
    <row r="159" spans="1:17">
      <c r="B159" s="24"/>
      <c r="C159" s="24"/>
      <c r="D159" s="25"/>
      <c r="E159" s="25"/>
      <c r="F159" s="25"/>
      <c r="G159" s="25"/>
      <c r="H159" s="24"/>
      <c r="I159" s="26"/>
      <c r="J159" s="26"/>
      <c r="K159" s="24"/>
      <c r="L159" s="26"/>
      <c r="M159" s="24"/>
      <c r="N159" s="26"/>
      <c r="O159" s="24"/>
      <c r="P159" s="26"/>
      <c r="Q159" s="24"/>
    </row>
    <row r="160" spans="1:17">
      <c r="B160" s="24"/>
      <c r="C160" s="24"/>
      <c r="D160" s="25"/>
      <c r="E160" s="25"/>
      <c r="F160" s="25"/>
      <c r="G160" s="25"/>
      <c r="H160" s="24"/>
      <c r="I160" s="26"/>
      <c r="J160" s="26"/>
      <c r="K160" s="24"/>
      <c r="L160" s="26"/>
      <c r="M160" s="24"/>
      <c r="N160" s="26"/>
      <c r="O160" s="24"/>
      <c r="P160" s="26"/>
      <c r="Q160" s="24"/>
    </row>
    <row r="161" spans="2:17">
      <c r="B161" s="24"/>
      <c r="C161" s="24"/>
      <c r="D161" s="25"/>
      <c r="E161" s="25"/>
      <c r="F161" s="25"/>
      <c r="G161" s="25"/>
      <c r="H161" s="24"/>
      <c r="I161" s="26"/>
      <c r="J161" s="26"/>
      <c r="K161" s="24"/>
      <c r="L161" s="26"/>
      <c r="M161" s="24"/>
      <c r="N161" s="26"/>
      <c r="O161" s="24"/>
      <c r="P161" s="26"/>
      <c r="Q161" s="24"/>
    </row>
    <row r="162" spans="2:17">
      <c r="B162" s="24"/>
      <c r="C162" s="24"/>
      <c r="D162" s="25"/>
      <c r="E162" s="25"/>
      <c r="F162" s="25"/>
      <c r="G162" s="25"/>
      <c r="H162" s="24"/>
      <c r="I162" s="26"/>
      <c r="J162" s="26"/>
      <c r="K162" s="24"/>
      <c r="L162" s="26"/>
      <c r="M162" s="24"/>
      <c r="N162" s="26"/>
      <c r="O162" s="24"/>
      <c r="P162" s="26"/>
      <c r="Q162" s="24"/>
    </row>
    <row r="163" spans="2:17">
      <c r="B163" s="24"/>
      <c r="C163" s="24"/>
      <c r="D163" s="25"/>
      <c r="E163" s="25"/>
      <c r="F163" s="25"/>
      <c r="G163" s="25"/>
      <c r="H163" s="24"/>
      <c r="I163" s="26"/>
      <c r="J163" s="26"/>
      <c r="K163" s="24"/>
      <c r="L163" s="26"/>
      <c r="M163" s="24"/>
      <c r="N163" s="26"/>
      <c r="O163" s="24"/>
      <c r="P163" s="26"/>
      <c r="Q163" s="24"/>
    </row>
    <row r="164" spans="2:17">
      <c r="B164" s="24"/>
      <c r="C164" s="24"/>
      <c r="D164" s="25"/>
      <c r="E164" s="25"/>
      <c r="F164" s="25"/>
      <c r="G164" s="25"/>
      <c r="H164" s="24"/>
      <c r="I164" s="26"/>
      <c r="J164" s="26"/>
      <c r="K164" s="24"/>
      <c r="L164" s="26"/>
      <c r="M164" s="24"/>
      <c r="N164" s="26"/>
      <c r="O164" s="24"/>
      <c r="P164" s="26"/>
      <c r="Q164" s="24"/>
    </row>
    <row r="165" spans="2:17">
      <c r="B165" s="24"/>
      <c r="C165" s="24"/>
      <c r="D165" s="25"/>
      <c r="E165" s="25"/>
      <c r="F165" s="25"/>
      <c r="G165" s="25"/>
      <c r="H165" s="24"/>
      <c r="I165" s="26"/>
      <c r="J165" s="26"/>
      <c r="K165" s="24"/>
      <c r="L165" s="26"/>
      <c r="M165" s="24"/>
      <c r="N165" s="26"/>
      <c r="O165" s="24"/>
      <c r="P165" s="26"/>
      <c r="Q165" s="24"/>
    </row>
    <row r="166" spans="2:17">
      <c r="B166" s="24"/>
      <c r="C166" s="24"/>
      <c r="D166" s="25"/>
      <c r="E166" s="25"/>
      <c r="F166" s="25"/>
      <c r="G166" s="25"/>
      <c r="H166" s="24"/>
      <c r="I166" s="26"/>
      <c r="J166" s="26"/>
      <c r="K166" s="24"/>
      <c r="L166" s="26"/>
      <c r="M166" s="24"/>
      <c r="N166" s="26"/>
      <c r="O166" s="24"/>
      <c r="P166" s="26"/>
      <c r="Q166" s="24"/>
    </row>
    <row r="167" spans="2:17">
      <c r="B167" s="24"/>
      <c r="C167" s="24"/>
      <c r="D167" s="25"/>
      <c r="E167" s="25"/>
      <c r="F167" s="25"/>
      <c r="G167" s="25"/>
      <c r="H167" s="24"/>
      <c r="I167" s="26"/>
      <c r="J167" s="26"/>
      <c r="K167" s="24"/>
      <c r="L167" s="26"/>
      <c r="M167" s="24"/>
      <c r="N167" s="26"/>
      <c r="O167" s="24"/>
      <c r="P167" s="26"/>
      <c r="Q167" s="24"/>
    </row>
    <row r="168" spans="2:17">
      <c r="B168" s="24"/>
      <c r="C168" s="24"/>
      <c r="D168" s="25"/>
      <c r="E168" s="25"/>
      <c r="F168" s="25"/>
      <c r="G168" s="25"/>
      <c r="H168" s="24"/>
      <c r="I168" s="26"/>
      <c r="J168" s="26"/>
      <c r="K168" s="24"/>
      <c r="L168" s="26"/>
      <c r="M168" s="24"/>
      <c r="N168" s="26"/>
      <c r="O168" s="24"/>
      <c r="P168" s="26"/>
      <c r="Q168" s="24"/>
    </row>
    <row r="169" spans="2:17">
      <c r="B169" s="24"/>
      <c r="C169" s="24"/>
      <c r="D169" s="25"/>
      <c r="E169" s="25"/>
      <c r="F169" s="25"/>
      <c r="G169" s="25"/>
      <c r="H169" s="24"/>
      <c r="I169" s="26"/>
      <c r="J169" s="26"/>
      <c r="K169" s="24"/>
      <c r="L169" s="26"/>
      <c r="M169" s="24"/>
      <c r="N169" s="26"/>
      <c r="O169" s="24"/>
      <c r="P169" s="26"/>
      <c r="Q169" s="24"/>
    </row>
    <row r="170" spans="2:17">
      <c r="B170" s="24"/>
      <c r="C170" s="24"/>
      <c r="D170" s="25"/>
      <c r="E170" s="25"/>
      <c r="F170" s="25"/>
      <c r="G170" s="25"/>
      <c r="H170" s="24"/>
      <c r="I170" s="26"/>
      <c r="J170" s="26"/>
      <c r="K170" s="24"/>
      <c r="L170" s="26"/>
      <c r="M170" s="24"/>
      <c r="N170" s="26"/>
      <c r="O170" s="24"/>
      <c r="P170" s="26"/>
      <c r="Q170" s="24"/>
    </row>
    <row r="171" spans="2:17">
      <c r="B171" s="24"/>
      <c r="C171" s="24"/>
      <c r="D171" s="25"/>
      <c r="E171" s="25"/>
      <c r="F171" s="25"/>
      <c r="G171" s="25"/>
      <c r="H171" s="24"/>
      <c r="I171" s="26"/>
      <c r="J171" s="26"/>
      <c r="K171" s="24"/>
      <c r="L171" s="26"/>
      <c r="M171" s="24"/>
      <c r="N171" s="26"/>
      <c r="O171" s="24"/>
      <c r="P171" s="26"/>
      <c r="Q171" s="24"/>
    </row>
    <row r="172" spans="2:17">
      <c r="B172" s="24"/>
      <c r="C172" s="24"/>
      <c r="D172" s="25"/>
      <c r="E172" s="25"/>
      <c r="F172" s="25"/>
      <c r="G172" s="25"/>
      <c r="H172" s="24"/>
      <c r="I172" s="26"/>
      <c r="J172" s="26"/>
      <c r="K172" s="24"/>
      <c r="L172" s="26"/>
      <c r="M172" s="24"/>
      <c r="N172" s="26"/>
      <c r="O172" s="24"/>
      <c r="P172" s="26"/>
      <c r="Q172" s="24"/>
    </row>
    <row r="173" spans="2:17">
      <c r="B173" s="24"/>
      <c r="C173" s="24"/>
      <c r="D173" s="25"/>
      <c r="E173" s="25"/>
      <c r="F173" s="25"/>
      <c r="G173" s="25"/>
      <c r="H173" s="24"/>
      <c r="I173" s="26"/>
      <c r="J173" s="26"/>
      <c r="K173" s="24"/>
      <c r="L173" s="26"/>
      <c r="M173" s="24"/>
      <c r="N173" s="26"/>
      <c r="O173" s="24"/>
      <c r="P173" s="26"/>
      <c r="Q173" s="24"/>
    </row>
    <row r="174" spans="2:17">
      <c r="B174" s="24"/>
      <c r="C174" s="24"/>
      <c r="D174" s="25"/>
      <c r="E174" s="25"/>
      <c r="F174" s="25"/>
      <c r="G174" s="25"/>
      <c r="H174" s="24"/>
      <c r="I174" s="26"/>
      <c r="J174" s="26"/>
      <c r="K174" s="24"/>
      <c r="L174" s="26"/>
      <c r="M174" s="24"/>
      <c r="N174" s="26"/>
      <c r="O174" s="24"/>
      <c r="P174" s="26"/>
      <c r="Q174" s="24"/>
    </row>
    <row r="175" spans="2:17">
      <c r="B175" s="24"/>
      <c r="C175" s="24"/>
      <c r="D175" s="25"/>
      <c r="E175" s="25"/>
      <c r="F175" s="25"/>
      <c r="G175" s="25"/>
      <c r="H175" s="24"/>
      <c r="I175" s="26"/>
      <c r="J175" s="26"/>
      <c r="K175" s="24"/>
      <c r="L175" s="26"/>
      <c r="M175" s="24"/>
      <c r="N175" s="26"/>
      <c r="O175" s="24"/>
      <c r="P175" s="26"/>
      <c r="Q175" s="24"/>
    </row>
    <row r="176" spans="2:17">
      <c r="B176" s="24"/>
      <c r="C176" s="24"/>
      <c r="D176" s="25"/>
      <c r="E176" s="25"/>
      <c r="F176" s="25"/>
      <c r="G176" s="25"/>
      <c r="H176" s="24"/>
      <c r="I176" s="26"/>
      <c r="J176" s="26"/>
      <c r="K176" s="24"/>
      <c r="L176" s="26"/>
      <c r="M176" s="24"/>
      <c r="N176" s="26"/>
      <c r="O176" s="24"/>
      <c r="P176" s="26"/>
      <c r="Q176" s="24"/>
    </row>
    <row r="177" spans="2:17">
      <c r="B177" s="24"/>
      <c r="C177" s="24"/>
      <c r="D177" s="25"/>
      <c r="E177" s="25"/>
      <c r="F177" s="25"/>
      <c r="G177" s="25"/>
      <c r="H177" s="24"/>
      <c r="I177" s="26"/>
      <c r="J177" s="26"/>
      <c r="K177" s="24"/>
      <c r="L177" s="26"/>
      <c r="M177" s="24"/>
      <c r="N177" s="26"/>
      <c r="O177" s="24"/>
      <c r="P177" s="26"/>
      <c r="Q177" s="24"/>
    </row>
    <row r="178" spans="2:17">
      <c r="B178" s="24"/>
      <c r="C178" s="24"/>
      <c r="D178" s="25"/>
      <c r="E178" s="25"/>
      <c r="F178" s="25"/>
      <c r="G178" s="25"/>
      <c r="H178" s="24"/>
      <c r="I178" s="26"/>
      <c r="J178" s="26"/>
      <c r="K178" s="24"/>
      <c r="L178" s="26"/>
      <c r="M178" s="24"/>
      <c r="N178" s="26"/>
      <c r="O178" s="24"/>
      <c r="P178" s="26"/>
      <c r="Q178" s="24"/>
    </row>
    <row r="179" spans="2:17">
      <c r="B179" s="24"/>
      <c r="C179" s="24"/>
      <c r="D179" s="25"/>
      <c r="E179" s="25"/>
      <c r="F179" s="25"/>
      <c r="G179" s="25"/>
      <c r="H179" s="24"/>
      <c r="I179" s="26"/>
      <c r="J179" s="26"/>
      <c r="K179" s="24"/>
      <c r="L179" s="26"/>
      <c r="M179" s="24"/>
      <c r="N179" s="26"/>
      <c r="O179" s="24"/>
      <c r="P179" s="26"/>
      <c r="Q179" s="24"/>
    </row>
    <row r="180" spans="2:17">
      <c r="B180" s="24"/>
      <c r="C180" s="24"/>
      <c r="D180" s="25"/>
      <c r="E180" s="25"/>
      <c r="F180" s="25"/>
      <c r="G180" s="25"/>
      <c r="H180" s="24"/>
      <c r="I180" s="26"/>
      <c r="J180" s="26"/>
      <c r="K180" s="24"/>
      <c r="L180" s="26"/>
      <c r="M180" s="24"/>
      <c r="N180" s="26"/>
      <c r="O180" s="24"/>
      <c r="P180" s="26"/>
      <c r="Q180" s="24"/>
    </row>
    <row r="181" spans="2:17">
      <c r="B181" s="24"/>
      <c r="C181" s="24"/>
      <c r="D181" s="25"/>
      <c r="E181" s="25"/>
      <c r="F181" s="25"/>
      <c r="G181" s="25"/>
      <c r="H181" s="24"/>
      <c r="I181" s="26"/>
      <c r="J181" s="26"/>
      <c r="K181" s="24"/>
      <c r="L181" s="26"/>
      <c r="M181" s="24"/>
      <c r="N181" s="26"/>
      <c r="O181" s="24"/>
      <c r="P181" s="26"/>
      <c r="Q181" s="24"/>
    </row>
    <row r="182" spans="2:17">
      <c r="B182" s="24"/>
      <c r="C182" s="24"/>
      <c r="D182" s="25"/>
      <c r="E182" s="25"/>
      <c r="F182" s="25"/>
      <c r="G182" s="25"/>
      <c r="H182" s="24"/>
      <c r="I182" s="26"/>
      <c r="J182" s="26"/>
      <c r="K182" s="24"/>
      <c r="L182" s="26"/>
      <c r="M182" s="24"/>
      <c r="N182" s="26"/>
      <c r="O182" s="24"/>
      <c r="P182" s="26"/>
      <c r="Q182" s="24"/>
    </row>
    <row r="183" spans="2:17">
      <c r="B183" s="24"/>
      <c r="C183" s="24"/>
      <c r="D183" s="25"/>
      <c r="E183" s="25"/>
      <c r="F183" s="25"/>
      <c r="G183" s="25"/>
      <c r="H183" s="24"/>
      <c r="I183" s="26"/>
      <c r="J183" s="26"/>
      <c r="K183" s="24"/>
      <c r="L183" s="26"/>
      <c r="M183" s="24"/>
      <c r="N183" s="26"/>
      <c r="O183" s="24"/>
      <c r="P183" s="26"/>
      <c r="Q183" s="24"/>
    </row>
    <row r="184" spans="2:17">
      <c r="B184" s="24"/>
      <c r="C184" s="24"/>
      <c r="D184" s="25"/>
      <c r="E184" s="25"/>
      <c r="F184" s="25"/>
      <c r="G184" s="25"/>
      <c r="H184" s="24"/>
      <c r="I184" s="26"/>
      <c r="J184" s="26"/>
      <c r="K184" s="24"/>
      <c r="L184" s="26"/>
      <c r="M184" s="24"/>
      <c r="N184" s="26"/>
      <c r="O184" s="24"/>
      <c r="P184" s="26"/>
      <c r="Q184" s="24"/>
    </row>
    <row r="185" spans="2:17">
      <c r="B185" s="24"/>
      <c r="C185" s="24"/>
      <c r="D185" s="25"/>
      <c r="E185" s="25"/>
      <c r="F185" s="25"/>
      <c r="G185" s="25"/>
      <c r="H185" s="24"/>
      <c r="I185" s="26"/>
      <c r="J185" s="26"/>
      <c r="K185" s="24"/>
      <c r="L185" s="26"/>
      <c r="M185" s="24"/>
      <c r="N185" s="26"/>
      <c r="O185" s="24"/>
      <c r="P185" s="26"/>
      <c r="Q185" s="24"/>
    </row>
    <row r="186" spans="2:17">
      <c r="B186" s="24"/>
      <c r="C186" s="24"/>
      <c r="D186" s="25"/>
      <c r="E186" s="25"/>
      <c r="F186" s="25"/>
      <c r="G186" s="25"/>
      <c r="H186" s="24"/>
      <c r="I186" s="26"/>
      <c r="J186" s="26"/>
      <c r="K186" s="24"/>
      <c r="L186" s="26"/>
      <c r="M186" s="24"/>
      <c r="N186" s="26"/>
      <c r="O186" s="24"/>
      <c r="P186" s="26"/>
      <c r="Q186" s="24"/>
    </row>
    <row r="187" spans="2:17">
      <c r="B187" s="24"/>
      <c r="C187" s="24"/>
      <c r="D187" s="25"/>
      <c r="E187" s="25"/>
      <c r="F187" s="25"/>
      <c r="G187" s="25"/>
      <c r="H187" s="24"/>
      <c r="I187" s="26"/>
      <c r="J187" s="26"/>
      <c r="K187" s="24"/>
      <c r="L187" s="26"/>
      <c r="M187" s="24"/>
      <c r="N187" s="26"/>
      <c r="O187" s="24"/>
      <c r="P187" s="26"/>
      <c r="Q187" s="24"/>
    </row>
    <row r="188" spans="2:17">
      <c r="B188" s="24"/>
      <c r="C188" s="24"/>
      <c r="D188" s="25"/>
      <c r="E188" s="25"/>
      <c r="F188" s="25"/>
      <c r="G188" s="25"/>
      <c r="H188" s="24"/>
      <c r="I188" s="26"/>
      <c r="J188" s="26"/>
      <c r="K188" s="24"/>
      <c r="L188" s="26"/>
      <c r="M188" s="24"/>
      <c r="N188" s="26"/>
      <c r="O188" s="24"/>
      <c r="P188" s="26"/>
      <c r="Q188" s="24"/>
    </row>
    <row r="189" spans="2:17">
      <c r="B189" s="24"/>
      <c r="C189" s="24"/>
      <c r="D189" s="25"/>
      <c r="E189" s="25"/>
      <c r="F189" s="25"/>
      <c r="G189" s="25"/>
      <c r="H189" s="24"/>
      <c r="I189" s="26"/>
      <c r="J189" s="26"/>
      <c r="K189" s="24"/>
      <c r="L189" s="26"/>
      <c r="M189" s="24"/>
      <c r="N189" s="26"/>
      <c r="O189" s="24"/>
      <c r="P189" s="26"/>
      <c r="Q189" s="24"/>
    </row>
    <row r="190" spans="2:17">
      <c r="B190" s="24"/>
      <c r="C190" s="24"/>
      <c r="D190" s="25"/>
      <c r="E190" s="25"/>
      <c r="F190" s="25"/>
      <c r="G190" s="25"/>
      <c r="H190" s="24"/>
      <c r="I190" s="26"/>
      <c r="J190" s="26"/>
      <c r="K190" s="24"/>
      <c r="L190" s="26"/>
      <c r="M190" s="24"/>
      <c r="N190" s="26"/>
      <c r="O190" s="24"/>
      <c r="P190" s="26"/>
      <c r="Q190" s="24"/>
    </row>
    <row r="191" spans="2:17">
      <c r="B191" s="24"/>
      <c r="C191" s="24"/>
      <c r="D191" s="25"/>
      <c r="E191" s="25"/>
      <c r="F191" s="25"/>
      <c r="G191" s="25"/>
      <c r="H191" s="24"/>
      <c r="I191" s="26"/>
      <c r="J191" s="26"/>
      <c r="K191" s="24"/>
      <c r="L191" s="26"/>
      <c r="M191" s="24"/>
      <c r="N191" s="26"/>
      <c r="O191" s="24"/>
      <c r="P191" s="26"/>
      <c r="Q191" s="24"/>
    </row>
    <row r="192" spans="2:17">
      <c r="B192" s="24"/>
      <c r="C192" s="24"/>
      <c r="D192" s="25"/>
      <c r="E192" s="25"/>
      <c r="F192" s="25"/>
      <c r="G192" s="25"/>
      <c r="H192" s="24"/>
      <c r="I192" s="26"/>
      <c r="J192" s="26"/>
      <c r="K192" s="24"/>
      <c r="L192" s="26"/>
      <c r="M192" s="24"/>
      <c r="N192" s="26"/>
      <c r="O192" s="24"/>
      <c r="P192" s="26"/>
      <c r="Q192" s="24"/>
    </row>
    <row r="193" spans="2:17">
      <c r="B193" s="24"/>
      <c r="C193" s="24"/>
      <c r="D193" s="25"/>
      <c r="E193" s="25"/>
      <c r="F193" s="25"/>
      <c r="G193" s="25"/>
      <c r="H193" s="24"/>
      <c r="I193" s="26"/>
      <c r="J193" s="26"/>
      <c r="K193" s="24"/>
      <c r="L193" s="26"/>
      <c r="M193" s="24"/>
      <c r="N193" s="26"/>
      <c r="O193" s="24"/>
      <c r="P193" s="26"/>
      <c r="Q193" s="24"/>
    </row>
    <row r="194" spans="2:17">
      <c r="B194" s="24"/>
      <c r="C194" s="24"/>
      <c r="D194" s="25"/>
      <c r="E194" s="25"/>
      <c r="F194" s="25"/>
      <c r="G194" s="25"/>
      <c r="H194" s="24"/>
      <c r="I194" s="26"/>
      <c r="J194" s="26"/>
      <c r="K194" s="24"/>
      <c r="L194" s="26"/>
      <c r="M194" s="24"/>
      <c r="N194" s="26"/>
      <c r="O194" s="24"/>
      <c r="P194" s="26"/>
      <c r="Q194" s="24"/>
    </row>
    <row r="195" spans="2:17">
      <c r="B195" s="24"/>
      <c r="C195" s="24"/>
      <c r="D195" s="25"/>
      <c r="E195" s="25"/>
      <c r="F195" s="25"/>
      <c r="G195" s="25"/>
      <c r="H195" s="24"/>
      <c r="I195" s="26"/>
      <c r="J195" s="26"/>
      <c r="K195" s="24"/>
      <c r="L195" s="26"/>
      <c r="M195" s="24"/>
      <c r="N195" s="26"/>
      <c r="O195" s="24"/>
      <c r="P195" s="26"/>
      <c r="Q195" s="24"/>
    </row>
    <row r="196" spans="2:17">
      <c r="B196" s="24"/>
      <c r="C196" s="24"/>
      <c r="D196" s="25"/>
      <c r="E196" s="25"/>
      <c r="F196" s="25"/>
      <c r="G196" s="25"/>
      <c r="H196" s="24"/>
      <c r="I196" s="26"/>
      <c r="J196" s="26"/>
      <c r="K196" s="24"/>
      <c r="L196" s="26"/>
      <c r="M196" s="24"/>
      <c r="N196" s="26"/>
      <c r="O196" s="24"/>
      <c r="P196" s="26"/>
      <c r="Q196" s="24"/>
    </row>
    <row r="197" spans="2:17">
      <c r="B197" s="24"/>
      <c r="C197" s="24"/>
      <c r="D197" s="25"/>
      <c r="E197" s="25"/>
      <c r="F197" s="25"/>
      <c r="G197" s="25"/>
      <c r="H197" s="24"/>
      <c r="I197" s="26"/>
      <c r="J197" s="26"/>
      <c r="K197" s="24"/>
      <c r="L197" s="26"/>
      <c r="M197" s="24"/>
      <c r="N197" s="26"/>
      <c r="O197" s="24"/>
      <c r="P197" s="26"/>
      <c r="Q197" s="24"/>
    </row>
    <row r="198" spans="2:17">
      <c r="B198" s="24"/>
      <c r="C198" s="24"/>
      <c r="D198" s="25"/>
      <c r="E198" s="25"/>
      <c r="F198" s="25"/>
      <c r="G198" s="25"/>
      <c r="H198" s="24"/>
      <c r="I198" s="26"/>
      <c r="J198" s="26"/>
      <c r="K198" s="24"/>
      <c r="L198" s="26"/>
      <c r="M198" s="24"/>
      <c r="N198" s="26"/>
      <c r="O198" s="24"/>
      <c r="P198" s="26"/>
      <c r="Q198" s="24"/>
    </row>
    <row r="199" spans="2:17">
      <c r="B199" s="24"/>
      <c r="C199" s="24"/>
      <c r="D199" s="25"/>
      <c r="E199" s="25"/>
      <c r="F199" s="25"/>
      <c r="G199" s="25"/>
      <c r="H199" s="24"/>
      <c r="I199" s="26"/>
      <c r="J199" s="26"/>
      <c r="K199" s="24"/>
      <c r="L199" s="26"/>
      <c r="M199" s="24"/>
      <c r="N199" s="26"/>
      <c r="O199" s="24"/>
      <c r="P199" s="26"/>
      <c r="Q199" s="24"/>
    </row>
    <row r="200" spans="2:17">
      <c r="B200" s="24"/>
      <c r="C200" s="24"/>
      <c r="D200" s="25"/>
      <c r="E200" s="25"/>
      <c r="F200" s="25"/>
      <c r="G200" s="25"/>
      <c r="H200" s="24"/>
      <c r="I200" s="26"/>
      <c r="J200" s="26"/>
      <c r="K200" s="24"/>
      <c r="L200" s="26"/>
      <c r="M200" s="24"/>
      <c r="N200" s="26"/>
      <c r="O200" s="24"/>
      <c r="P200" s="26"/>
      <c r="Q200" s="24"/>
    </row>
    <row r="201" spans="2:17">
      <c r="B201" s="24"/>
      <c r="C201" s="24"/>
      <c r="D201" s="25"/>
      <c r="E201" s="25"/>
      <c r="F201" s="25"/>
      <c r="G201" s="25"/>
      <c r="H201" s="24"/>
      <c r="I201" s="26"/>
      <c r="J201" s="26"/>
      <c r="K201" s="24"/>
      <c r="L201" s="26"/>
      <c r="M201" s="24"/>
      <c r="N201" s="26"/>
      <c r="O201" s="24"/>
      <c r="P201" s="26"/>
      <c r="Q201" s="24"/>
    </row>
    <row r="202" spans="2:17">
      <c r="B202" s="24"/>
      <c r="C202" s="24"/>
      <c r="D202" s="25"/>
      <c r="E202" s="25"/>
      <c r="F202" s="25"/>
      <c r="G202" s="25"/>
      <c r="H202" s="24"/>
      <c r="I202" s="26"/>
      <c r="J202" s="26"/>
      <c r="K202" s="24"/>
      <c r="L202" s="26"/>
      <c r="M202" s="24"/>
      <c r="N202" s="26"/>
      <c r="O202" s="24"/>
      <c r="P202" s="26"/>
      <c r="Q202" s="24"/>
    </row>
    <row r="203" spans="2:17">
      <c r="B203" s="24"/>
      <c r="C203" s="24"/>
      <c r="D203" s="25"/>
      <c r="E203" s="25"/>
      <c r="F203" s="25"/>
      <c r="G203" s="25"/>
      <c r="H203" s="24"/>
      <c r="I203" s="26"/>
      <c r="J203" s="26"/>
      <c r="K203" s="24"/>
      <c r="L203" s="26"/>
      <c r="M203" s="24"/>
      <c r="N203" s="26"/>
      <c r="O203" s="24"/>
      <c r="P203" s="26"/>
      <c r="Q203" s="24"/>
    </row>
    <row r="204" spans="2:17">
      <c r="B204" s="24"/>
      <c r="C204" s="24"/>
      <c r="D204" s="25"/>
      <c r="E204" s="25"/>
      <c r="F204" s="25"/>
      <c r="G204" s="25"/>
      <c r="H204" s="24"/>
      <c r="I204" s="26"/>
      <c r="J204" s="26"/>
      <c r="K204" s="24"/>
      <c r="L204" s="26"/>
      <c r="M204" s="24"/>
      <c r="N204" s="26"/>
      <c r="O204" s="24"/>
      <c r="P204" s="26"/>
      <c r="Q204" s="24"/>
    </row>
    <row r="205" spans="2:17">
      <c r="B205" s="24"/>
      <c r="C205" s="24"/>
      <c r="D205" s="25"/>
      <c r="E205" s="25"/>
      <c r="F205" s="25"/>
      <c r="G205" s="25"/>
      <c r="H205" s="24"/>
      <c r="I205" s="26"/>
      <c r="J205" s="26"/>
      <c r="K205" s="24"/>
      <c r="L205" s="26"/>
      <c r="M205" s="24"/>
      <c r="N205" s="26"/>
      <c r="O205" s="24"/>
      <c r="P205" s="26"/>
      <c r="Q205" s="24"/>
    </row>
    <row r="206" spans="2:17">
      <c r="B206" s="24"/>
      <c r="C206" s="24"/>
      <c r="D206" s="25"/>
      <c r="E206" s="25"/>
      <c r="F206" s="25"/>
      <c r="G206" s="25"/>
      <c r="H206" s="24"/>
      <c r="I206" s="26"/>
      <c r="J206" s="26"/>
      <c r="K206" s="24"/>
      <c r="L206" s="26"/>
      <c r="M206" s="24"/>
      <c r="N206" s="26"/>
      <c r="O206" s="24"/>
      <c r="P206" s="26"/>
      <c r="Q206" s="24"/>
    </row>
    <row r="207" spans="2:17">
      <c r="B207" s="24"/>
      <c r="C207" s="24"/>
      <c r="D207" s="25"/>
      <c r="E207" s="25"/>
      <c r="F207" s="25"/>
      <c r="G207" s="25"/>
      <c r="H207" s="24"/>
      <c r="I207" s="26"/>
      <c r="J207" s="26"/>
      <c r="K207" s="24"/>
      <c r="L207" s="26"/>
      <c r="M207" s="24"/>
      <c r="N207" s="26"/>
      <c r="O207" s="24"/>
      <c r="P207" s="26"/>
      <c r="Q207" s="24"/>
    </row>
    <row r="208" spans="2:17">
      <c r="B208" s="24"/>
      <c r="C208" s="24"/>
      <c r="D208" s="25"/>
      <c r="E208" s="25"/>
      <c r="F208" s="25"/>
      <c r="G208" s="25"/>
      <c r="H208" s="24"/>
      <c r="I208" s="26"/>
      <c r="J208" s="26"/>
      <c r="K208" s="24"/>
      <c r="L208" s="26"/>
      <c r="M208" s="24"/>
      <c r="N208" s="26"/>
      <c r="O208" s="24"/>
      <c r="P208" s="26"/>
      <c r="Q208" s="24"/>
    </row>
    <row r="209" spans="2:17">
      <c r="B209" s="24"/>
      <c r="C209" s="24"/>
      <c r="D209" s="25"/>
      <c r="E209" s="25"/>
      <c r="F209" s="25"/>
      <c r="G209" s="25"/>
      <c r="H209" s="24"/>
      <c r="I209" s="26"/>
      <c r="J209" s="26"/>
      <c r="K209" s="24"/>
      <c r="L209" s="26"/>
      <c r="M209" s="24"/>
      <c r="N209" s="26"/>
      <c r="O209" s="24"/>
      <c r="P209" s="26"/>
      <c r="Q209" s="24"/>
    </row>
    <row r="210" spans="2:17">
      <c r="B210" s="24"/>
      <c r="C210" s="24"/>
      <c r="D210" s="25"/>
      <c r="E210" s="25"/>
      <c r="F210" s="25"/>
      <c r="G210" s="25"/>
      <c r="H210" s="24"/>
      <c r="I210" s="26"/>
      <c r="J210" s="26"/>
      <c r="K210" s="24"/>
      <c r="L210" s="26"/>
      <c r="M210" s="24"/>
      <c r="N210" s="26"/>
      <c r="O210" s="24"/>
      <c r="P210" s="26"/>
      <c r="Q210" s="24"/>
    </row>
    <row r="211" spans="2:17">
      <c r="B211" s="24"/>
      <c r="C211" s="24"/>
      <c r="D211" s="25"/>
      <c r="E211" s="25"/>
      <c r="F211" s="25"/>
      <c r="G211" s="25"/>
      <c r="H211" s="24"/>
      <c r="I211" s="26"/>
      <c r="J211" s="26"/>
      <c r="K211" s="24"/>
      <c r="L211" s="26"/>
      <c r="M211" s="24"/>
      <c r="N211" s="26"/>
      <c r="O211" s="24"/>
      <c r="P211" s="26"/>
      <c r="Q211" s="24"/>
    </row>
    <row r="212" spans="2:17">
      <c r="B212" s="24"/>
      <c r="C212" s="24"/>
      <c r="D212" s="25"/>
      <c r="E212" s="25"/>
      <c r="F212" s="25"/>
      <c r="G212" s="25"/>
      <c r="H212" s="24"/>
      <c r="I212" s="26"/>
      <c r="J212" s="26"/>
      <c r="K212" s="24"/>
      <c r="L212" s="26"/>
      <c r="M212" s="24"/>
      <c r="N212" s="26"/>
      <c r="O212" s="24"/>
      <c r="P212" s="26"/>
      <c r="Q212" s="24"/>
    </row>
  </sheetData>
  <mergeCells count="4">
    <mergeCell ref="J5:O5"/>
    <mergeCell ref="P5:Q5"/>
    <mergeCell ref="J88:O88"/>
    <mergeCell ref="P88:Q88"/>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sheetPr codeName="Sheet10"/>
  <dimension ref="A1:DA475"/>
  <sheetViews>
    <sheetView topLeftCell="A142" workbookViewId="0">
      <selection activeCell="G167" sqref="G167"/>
    </sheetView>
  </sheetViews>
  <sheetFormatPr defaultRowHeight="12.75"/>
  <cols>
    <col min="1" max="1" width="121.28515625" style="7" customWidth="1"/>
    <col min="2" max="2" width="22.140625" style="7" customWidth="1"/>
    <col min="3" max="3" width="17.28515625" style="7" bestFit="1" customWidth="1"/>
    <col min="4" max="4" width="12" style="7" bestFit="1" customWidth="1"/>
    <col min="5" max="5" width="12.5703125" style="7" customWidth="1"/>
    <col min="6" max="6" width="13.7109375" style="7" customWidth="1"/>
    <col min="7" max="7" width="17.28515625" style="7" bestFit="1" customWidth="1"/>
    <col min="8" max="8" width="15.5703125" style="7" bestFit="1" customWidth="1"/>
    <col min="9" max="9" width="15.28515625" style="7" bestFit="1" customWidth="1"/>
    <col min="10" max="10" width="14.28515625" style="7" bestFit="1" customWidth="1"/>
    <col min="11" max="11" width="14.28515625" style="7" customWidth="1"/>
    <col min="12" max="12" width="12.5703125" style="7" customWidth="1"/>
    <col min="13" max="13" width="10.28515625" style="7" bestFit="1" customWidth="1"/>
    <col min="14" max="15" width="10.85546875" style="7" bestFit="1" customWidth="1"/>
    <col min="16" max="16" width="13.42578125" style="7" customWidth="1"/>
    <col min="17" max="17" width="11.85546875" style="7" bestFit="1" customWidth="1"/>
    <col min="18" max="18" width="11" style="7" bestFit="1" customWidth="1"/>
    <col min="19" max="19" width="14.28515625" bestFit="1" customWidth="1"/>
    <col min="20" max="20" width="10.7109375" customWidth="1"/>
    <col min="21" max="21" width="13.85546875" bestFit="1" customWidth="1"/>
    <col min="22" max="22" width="11.7109375" bestFit="1" customWidth="1"/>
    <col min="23" max="23" width="15.28515625" bestFit="1" customWidth="1"/>
    <col min="24" max="26" width="12.28515625" bestFit="1" customWidth="1"/>
    <col min="27" max="27" width="12.5703125" bestFit="1" customWidth="1"/>
    <col min="28" max="30" width="14.28515625" bestFit="1" customWidth="1"/>
    <col min="31" max="31" width="13.7109375" bestFit="1" customWidth="1"/>
    <col min="32" max="32" width="14" bestFit="1" customWidth="1"/>
    <col min="33" max="33" width="12.85546875" bestFit="1" customWidth="1"/>
    <col min="34" max="34" width="15.28515625" bestFit="1" customWidth="1"/>
    <col min="35" max="35" width="12.28515625" bestFit="1" customWidth="1"/>
    <col min="36" max="36" width="10.85546875" bestFit="1" customWidth="1"/>
    <col min="37" max="37" width="12.28515625" bestFit="1" customWidth="1"/>
    <col min="38" max="38" width="12.5703125" bestFit="1" customWidth="1"/>
    <col min="39" max="43" width="12.85546875" customWidth="1"/>
    <col min="44" max="44" width="12.5703125" customWidth="1"/>
    <col min="45" max="45" width="12.28515625" customWidth="1"/>
    <col min="46" max="46" width="12.7109375" customWidth="1"/>
    <col min="47" max="47" width="11.85546875" customWidth="1"/>
    <col min="48" max="48" width="12.5703125" bestFit="1" customWidth="1"/>
    <col min="49" max="49" width="13.42578125" customWidth="1"/>
    <col min="50" max="50" width="15.7109375" bestFit="1" customWidth="1"/>
    <col min="51" max="51" width="11" style="7" bestFit="1" customWidth="1"/>
    <col min="52" max="52" width="14.28515625" style="7" bestFit="1" customWidth="1"/>
    <col min="53" max="53" width="14.7109375" style="7" bestFit="1" customWidth="1"/>
    <col min="54" max="54" width="15" style="7" bestFit="1" customWidth="1"/>
    <col min="55" max="55" width="12.5703125" style="7" bestFit="1" customWidth="1"/>
    <col min="56" max="56" width="13.5703125" style="7" customWidth="1"/>
    <col min="57" max="58" width="14.5703125" style="7" bestFit="1" customWidth="1"/>
    <col min="59" max="59" width="14.85546875" style="7" bestFit="1" customWidth="1"/>
    <col min="60" max="60" width="12.5703125" style="7" bestFit="1" customWidth="1"/>
    <col min="61" max="61" width="13.28515625" style="7" bestFit="1" customWidth="1"/>
    <col min="62" max="62" width="14" style="7" bestFit="1" customWidth="1"/>
    <col min="63" max="63" width="13.28515625" style="7" bestFit="1" customWidth="1"/>
    <col min="64" max="64" width="11.140625" style="7" bestFit="1" customWidth="1"/>
    <col min="65" max="65" width="16.85546875" style="7" bestFit="1" customWidth="1"/>
    <col min="66" max="66" width="14.7109375" style="7" customWidth="1"/>
    <col min="67" max="67" width="12" style="7" customWidth="1"/>
    <col min="68" max="68" width="14" style="7" customWidth="1"/>
    <col min="69" max="69" width="12.5703125" style="7" customWidth="1"/>
    <col min="70" max="70" width="11.28515625" style="7" customWidth="1"/>
    <col min="71" max="71" width="14.42578125" style="7" customWidth="1"/>
    <col min="72" max="72" width="15.7109375" style="7" customWidth="1"/>
    <col min="73" max="73" width="12.85546875" style="7" customWidth="1"/>
    <col min="74" max="74" width="13" style="7" customWidth="1"/>
    <col min="75" max="75" width="11.7109375" style="7" customWidth="1"/>
    <col min="76" max="76" width="14" style="7" customWidth="1"/>
    <col min="77" max="77" width="14.85546875" style="7" customWidth="1"/>
    <col min="78" max="78" width="11.85546875" style="7" customWidth="1"/>
    <col min="79" max="79" width="13.85546875" style="7" customWidth="1"/>
    <col min="80" max="80" width="13.7109375" style="7" customWidth="1"/>
    <col min="81" max="81" width="13" style="7" customWidth="1"/>
    <col min="82" max="82" width="12.42578125" style="7" customWidth="1"/>
    <col min="83" max="83" width="13" style="7" customWidth="1"/>
    <col min="84" max="84" width="12.7109375" style="7" hidden="1" customWidth="1"/>
    <col min="85" max="85" width="12.42578125" style="7" hidden="1" customWidth="1"/>
    <col min="86" max="86" width="10.28515625" style="7" hidden="1" customWidth="1"/>
    <col min="87" max="90" width="9.85546875" style="7" hidden="1" customWidth="1"/>
    <col min="91" max="91" width="9.85546875" style="7" customWidth="1"/>
    <col min="92" max="99" width="10.7109375" style="7" customWidth="1"/>
    <col min="100" max="100" width="16.5703125" style="7" customWidth="1"/>
    <col min="101" max="105" width="10.7109375" style="7" customWidth="1"/>
    <col min="106" max="16384" width="9.140625" style="7"/>
  </cols>
  <sheetData>
    <row r="1" spans="1:105">
      <c r="A1" s="1" t="s">
        <v>0</v>
      </c>
      <c r="B1" s="2" t="s">
        <v>451</v>
      </c>
      <c r="C1" s="2"/>
      <c r="D1" s="2"/>
      <c r="E1" s="2"/>
      <c r="F1" s="2"/>
      <c r="G1" s="2"/>
      <c r="H1" s="3"/>
      <c r="I1" s="4"/>
      <c r="J1" s="4"/>
      <c r="K1" s="4"/>
      <c r="L1" s="4"/>
      <c r="M1" s="4"/>
      <c r="N1" s="5"/>
      <c r="O1" s="6"/>
      <c r="P1" s="5"/>
      <c r="Q1" s="5"/>
      <c r="R1" s="5"/>
      <c r="AY1" s="3"/>
      <c r="AZ1" s="3"/>
      <c r="BA1" s="3"/>
      <c r="BB1" s="3"/>
      <c r="BC1" s="3"/>
      <c r="BD1" s="3"/>
      <c r="BE1" s="3"/>
      <c r="BF1" s="3"/>
      <c r="BG1" s="3"/>
      <c r="BH1" s="3"/>
      <c r="BI1" s="3"/>
      <c r="BJ1" s="3"/>
      <c r="BK1" s="3"/>
      <c r="BL1" s="3"/>
      <c r="BM1" s="135"/>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134"/>
      <c r="CQ1" s="3"/>
      <c r="CR1" s="3"/>
      <c r="CS1" s="3"/>
      <c r="CT1" s="3"/>
      <c r="CU1" s="3"/>
      <c r="CV1" s="3"/>
      <c r="CW1" s="3"/>
      <c r="CX1" s="3"/>
      <c r="CY1" s="3"/>
      <c r="CZ1" s="3"/>
      <c r="DA1" s="3"/>
    </row>
    <row r="2" spans="1:105">
      <c r="A2" s="8" t="s">
        <v>1</v>
      </c>
      <c r="B2" s="3"/>
      <c r="C2" s="3"/>
      <c r="D2" s="3"/>
      <c r="E2" s="3"/>
      <c r="F2" s="3"/>
      <c r="G2" s="3"/>
      <c r="H2" s="3"/>
      <c r="I2" s="4"/>
      <c r="J2" s="4"/>
      <c r="K2" s="4"/>
      <c r="L2" s="4"/>
      <c r="M2" s="4"/>
      <c r="N2" s="5"/>
      <c r="O2" s="5"/>
      <c r="P2" s="5"/>
      <c r="Q2" s="5"/>
      <c r="R2" s="5"/>
      <c r="AY2" s="3"/>
      <c r="AZ2" s="3"/>
      <c r="BA2" s="3"/>
      <c r="BB2" s="134"/>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row>
    <row r="3" spans="1:105">
      <c r="A3" s="8" t="s">
        <v>2</v>
      </c>
      <c r="C3" s="8">
        <v>2012</v>
      </c>
      <c r="J3" s="9"/>
      <c r="K3" s="10"/>
      <c r="CO3" s="10"/>
      <c r="CP3" s="10"/>
    </row>
    <row r="5" spans="1:105">
      <c r="A5" s="11">
        <v>1</v>
      </c>
      <c r="B5" s="11">
        <v>2</v>
      </c>
      <c r="C5" s="11">
        <v>3</v>
      </c>
      <c r="D5" s="11">
        <v>4</v>
      </c>
      <c r="E5" s="11">
        <v>5</v>
      </c>
      <c r="F5" s="11">
        <v>6</v>
      </c>
      <c r="G5" s="11">
        <v>7</v>
      </c>
      <c r="H5" s="11">
        <v>8</v>
      </c>
      <c r="I5" s="11">
        <v>9</v>
      </c>
      <c r="J5" s="11">
        <v>10</v>
      </c>
      <c r="K5" s="11">
        <v>11</v>
      </c>
      <c r="L5" s="11">
        <v>12</v>
      </c>
      <c r="M5" s="11">
        <v>13</v>
      </c>
      <c r="N5" s="11">
        <v>14</v>
      </c>
      <c r="O5" s="11">
        <v>15</v>
      </c>
      <c r="P5" s="11">
        <v>16</v>
      </c>
      <c r="Q5" s="11">
        <v>17</v>
      </c>
      <c r="R5" s="11">
        <v>18</v>
      </c>
      <c r="AY5" s="11">
        <v>51</v>
      </c>
      <c r="AZ5" s="11">
        <v>52</v>
      </c>
      <c r="BA5" s="11">
        <v>53</v>
      </c>
      <c r="BB5" s="11">
        <v>54</v>
      </c>
      <c r="BC5" s="11">
        <v>55</v>
      </c>
      <c r="BD5" s="11">
        <v>56</v>
      </c>
      <c r="BE5" s="11">
        <v>57</v>
      </c>
      <c r="BF5" s="11">
        <v>58</v>
      </c>
      <c r="BG5" s="11">
        <v>59</v>
      </c>
      <c r="BH5" s="11">
        <v>60</v>
      </c>
      <c r="BI5" s="11">
        <v>61</v>
      </c>
      <c r="BJ5" s="11">
        <v>62</v>
      </c>
      <c r="BK5" s="11">
        <v>63</v>
      </c>
      <c r="BL5" s="11">
        <v>64</v>
      </c>
      <c r="BM5" s="11">
        <v>65</v>
      </c>
      <c r="BN5" s="11">
        <v>66</v>
      </c>
      <c r="BO5" s="11">
        <v>67</v>
      </c>
      <c r="BP5" s="11">
        <v>68</v>
      </c>
      <c r="BQ5" s="11">
        <v>69</v>
      </c>
      <c r="BR5" s="11">
        <v>70</v>
      </c>
      <c r="BS5" s="11">
        <v>71</v>
      </c>
      <c r="BT5" s="11">
        <v>72</v>
      </c>
      <c r="BU5" s="11">
        <v>73</v>
      </c>
      <c r="BV5" s="11">
        <v>74</v>
      </c>
      <c r="BW5" s="11">
        <v>75</v>
      </c>
      <c r="BX5" s="11">
        <v>76</v>
      </c>
      <c r="BY5" s="11">
        <v>77</v>
      </c>
      <c r="BZ5" s="11">
        <v>78</v>
      </c>
      <c r="CA5" s="11">
        <v>79</v>
      </c>
      <c r="CB5" s="11">
        <v>80</v>
      </c>
      <c r="CC5" s="11">
        <v>81</v>
      </c>
      <c r="CD5" s="11">
        <v>82</v>
      </c>
      <c r="CE5" s="11">
        <v>83</v>
      </c>
      <c r="CF5" s="11">
        <v>84</v>
      </c>
      <c r="CG5" s="11">
        <v>85</v>
      </c>
      <c r="CH5" s="11">
        <v>86</v>
      </c>
      <c r="CI5" s="11">
        <v>87</v>
      </c>
      <c r="CJ5" s="11">
        <v>88</v>
      </c>
      <c r="CK5" s="11">
        <v>89</v>
      </c>
      <c r="CL5" s="11">
        <v>90</v>
      </c>
      <c r="CM5" s="11">
        <v>91</v>
      </c>
      <c r="CN5" s="11">
        <v>92</v>
      </c>
      <c r="CO5" s="11">
        <v>93</v>
      </c>
      <c r="CP5" s="11">
        <v>94</v>
      </c>
      <c r="CQ5" s="11">
        <v>95</v>
      </c>
      <c r="CR5" s="11">
        <v>96</v>
      </c>
      <c r="CS5" s="11">
        <v>97</v>
      </c>
      <c r="CT5" s="11">
        <v>98</v>
      </c>
      <c r="CU5" s="11">
        <v>99</v>
      </c>
      <c r="CV5" s="11">
        <v>100</v>
      </c>
      <c r="CW5" s="11">
        <v>101</v>
      </c>
      <c r="CX5" s="11">
        <v>102</v>
      </c>
      <c r="CY5" s="11">
        <v>103</v>
      </c>
      <c r="CZ5" s="11">
        <v>104</v>
      </c>
      <c r="DA5" s="11">
        <v>105</v>
      </c>
    </row>
    <row r="6" spans="1:105">
      <c r="A6" s="12" t="s">
        <v>3</v>
      </c>
      <c r="B6" s="13"/>
      <c r="C6" s="13"/>
      <c r="D6" s="13"/>
      <c r="E6" s="13"/>
      <c r="F6" s="13"/>
      <c r="G6" s="14"/>
      <c r="H6" s="86"/>
      <c r="I6" s="454" t="s">
        <v>4</v>
      </c>
      <c r="J6" s="455"/>
      <c r="K6" s="455"/>
      <c r="L6" s="455"/>
      <c r="M6" s="455"/>
      <c r="N6" s="456"/>
      <c r="O6" s="459" t="s">
        <v>5</v>
      </c>
      <c r="P6" s="460"/>
      <c r="Q6" s="16"/>
      <c r="R6" s="17"/>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row>
    <row r="7" spans="1:105" ht="25.5">
      <c r="A7" s="21" t="s">
        <v>6</v>
      </c>
      <c r="B7" s="21" t="s">
        <v>7</v>
      </c>
      <c r="C7" s="21" t="s">
        <v>8</v>
      </c>
      <c r="D7" s="21" t="s">
        <v>9</v>
      </c>
      <c r="E7" s="21" t="s">
        <v>10</v>
      </c>
      <c r="F7" s="87" t="s">
        <v>11</v>
      </c>
      <c r="G7" s="21" t="s">
        <v>12</v>
      </c>
      <c r="H7" s="88" t="s">
        <v>13</v>
      </c>
      <c r="I7" s="88" t="s">
        <v>14</v>
      </c>
      <c r="J7" s="88" t="s">
        <v>15</v>
      </c>
      <c r="K7" s="88" t="s">
        <v>16</v>
      </c>
      <c r="L7" s="88" t="s">
        <v>17</v>
      </c>
      <c r="M7" s="88" t="s">
        <v>18</v>
      </c>
      <c r="N7" s="88" t="s">
        <v>19</v>
      </c>
      <c r="O7" s="89" t="s">
        <v>20</v>
      </c>
      <c r="P7" s="88" t="s">
        <v>12</v>
      </c>
      <c r="Q7" s="23"/>
      <c r="R7" s="2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row>
    <row r="8" spans="1:105">
      <c r="A8" s="136" t="s">
        <v>391</v>
      </c>
      <c r="B8" s="137" t="s">
        <v>386</v>
      </c>
      <c r="C8" s="138">
        <v>2610.3529019871903</v>
      </c>
      <c r="D8" s="139">
        <v>15</v>
      </c>
      <c r="E8" s="140">
        <v>2600.2754841327342</v>
      </c>
      <c r="F8" s="139"/>
      <c r="G8" s="141" t="s">
        <v>338</v>
      </c>
      <c r="H8" s="140">
        <v>41.534869287695713</v>
      </c>
      <c r="P8" s="142"/>
      <c r="R8" s="33"/>
    </row>
    <row r="9" spans="1:105">
      <c r="A9" s="136" t="s">
        <v>392</v>
      </c>
      <c r="B9" s="137" t="s">
        <v>386</v>
      </c>
      <c r="C9" s="143">
        <v>2688.7510694825951</v>
      </c>
      <c r="D9" s="139">
        <v>15</v>
      </c>
      <c r="E9" s="140">
        <v>2621.3121997483149</v>
      </c>
      <c r="F9" s="139"/>
      <c r="G9" s="141" t="s">
        <v>339</v>
      </c>
      <c r="H9" s="140">
        <v>31.283284032448492</v>
      </c>
      <c r="P9" s="142"/>
      <c r="R9" s="33"/>
    </row>
    <row r="10" spans="1:105">
      <c r="A10" s="136" t="s">
        <v>393</v>
      </c>
      <c r="B10" s="137" t="s">
        <v>386</v>
      </c>
      <c r="C10" s="143">
        <v>2318.9213380538454</v>
      </c>
      <c r="D10" s="139">
        <v>15</v>
      </c>
      <c r="E10" s="140">
        <v>2647.3940324231553</v>
      </c>
      <c r="F10" s="139"/>
      <c r="G10" s="141" t="s">
        <v>340</v>
      </c>
      <c r="H10" s="140">
        <v>27.443333338878478</v>
      </c>
      <c r="P10" s="142"/>
      <c r="R10" s="33"/>
    </row>
    <row r="11" spans="1:105">
      <c r="A11" s="136" t="s">
        <v>394</v>
      </c>
      <c r="B11" s="137" t="s">
        <v>386</v>
      </c>
      <c r="C11" s="143">
        <v>4815.1875654178348</v>
      </c>
      <c r="D11" s="139">
        <v>15</v>
      </c>
      <c r="E11" s="140">
        <v>2832.9306587253695</v>
      </c>
      <c r="F11" s="139"/>
      <c r="G11" s="141" t="s">
        <v>338</v>
      </c>
      <c r="H11" s="140">
        <v>74.86910297887006</v>
      </c>
    </row>
    <row r="12" spans="1:105">
      <c r="A12" s="136" t="s">
        <v>395</v>
      </c>
      <c r="B12" s="137" t="s">
        <v>386</v>
      </c>
      <c r="C12" s="143">
        <v>5224.7894393837105</v>
      </c>
      <c r="D12" s="139">
        <v>15</v>
      </c>
      <c r="E12" s="140">
        <v>2808.7501382460728</v>
      </c>
      <c r="F12" s="139"/>
      <c r="G12" s="141" t="s">
        <v>339</v>
      </c>
      <c r="H12" s="140">
        <v>61.588588902351681</v>
      </c>
    </row>
    <row r="13" spans="1:105">
      <c r="A13" s="136" t="s">
        <v>396</v>
      </c>
      <c r="B13" s="137" t="s">
        <v>386</v>
      </c>
      <c r="C13" s="143">
        <v>4894.3168641322009</v>
      </c>
      <c r="D13" s="139">
        <v>15</v>
      </c>
      <c r="E13" s="140">
        <v>2831.5586272614005</v>
      </c>
      <c r="F13" s="139"/>
      <c r="G13" s="141" t="s">
        <v>340</v>
      </c>
      <c r="H13" s="140">
        <v>55.671915299652703</v>
      </c>
      <c r="I13" s="29"/>
      <c r="J13" s="29"/>
      <c r="K13" s="29"/>
      <c r="L13" s="29"/>
      <c r="M13" s="29"/>
      <c r="N13" s="29"/>
      <c r="O13" s="29"/>
      <c r="P13" s="29"/>
      <c r="Q13" s="29"/>
      <c r="R13" s="29"/>
    </row>
    <row r="14" spans="1:105">
      <c r="A14" s="136" t="s">
        <v>397</v>
      </c>
      <c r="B14" s="137" t="s">
        <v>386</v>
      </c>
      <c r="C14" s="143">
        <v>7020.0222288484783</v>
      </c>
      <c r="D14" s="139">
        <v>15</v>
      </c>
      <c r="E14" s="140">
        <v>3138.5457258934644</v>
      </c>
      <c r="F14" s="139"/>
      <c r="G14" s="141" t="s">
        <v>338</v>
      </c>
      <c r="H14" s="140">
        <v>110.9906284231203</v>
      </c>
      <c r="I14" s="29"/>
      <c r="J14" s="29"/>
      <c r="K14" s="29"/>
      <c r="L14" s="29"/>
      <c r="M14" s="29"/>
      <c r="N14" s="29"/>
      <c r="O14" s="29"/>
      <c r="P14" s="29"/>
      <c r="Q14" s="29"/>
      <c r="R14" s="29"/>
    </row>
    <row r="15" spans="1:105">
      <c r="A15" s="136" t="s">
        <v>398</v>
      </c>
      <c r="B15" s="137" t="s">
        <v>386</v>
      </c>
      <c r="C15" s="143">
        <v>7760.827809284825</v>
      </c>
      <c r="D15" s="139">
        <v>15</v>
      </c>
      <c r="E15" s="140">
        <v>3164.482348304577</v>
      </c>
      <c r="F15" s="139"/>
      <c r="G15" s="141" t="s">
        <v>339</v>
      </c>
      <c r="H15" s="140">
        <v>93.89506950023889</v>
      </c>
      <c r="I15" s="29"/>
      <c r="J15" s="29"/>
      <c r="K15" s="29"/>
      <c r="L15" s="29"/>
      <c r="M15" s="29"/>
      <c r="N15" s="29"/>
      <c r="O15" s="29"/>
      <c r="P15" s="29"/>
      <c r="Q15" s="29"/>
      <c r="R15" s="29"/>
    </row>
    <row r="16" spans="1:105">
      <c r="A16" s="136" t="s">
        <v>399</v>
      </c>
      <c r="B16" s="137" t="s">
        <v>386</v>
      </c>
      <c r="C16" s="143">
        <v>7469.7123902105577</v>
      </c>
      <c r="D16" s="139">
        <v>15</v>
      </c>
      <c r="E16" s="140">
        <v>3166.7608045754446</v>
      </c>
      <c r="F16" s="139"/>
      <c r="G16" s="141" t="s">
        <v>340</v>
      </c>
      <c r="H16" s="140">
        <v>90.673341551586844</v>
      </c>
      <c r="I16" s="29"/>
      <c r="J16" s="29"/>
      <c r="K16" s="29"/>
      <c r="L16" s="29"/>
      <c r="M16" s="29"/>
      <c r="N16" s="29"/>
      <c r="O16" s="29"/>
      <c r="P16" s="29"/>
      <c r="Q16" s="29"/>
      <c r="R16" s="29"/>
    </row>
    <row r="17" spans="1:101">
      <c r="A17" s="136" t="s">
        <v>400</v>
      </c>
      <c r="B17" s="137" t="s">
        <v>386</v>
      </c>
      <c r="C17" s="143">
        <v>2610.3529019871903</v>
      </c>
      <c r="D17" s="139">
        <v>15</v>
      </c>
      <c r="E17" s="140">
        <v>3980.0714644354944</v>
      </c>
      <c r="F17" s="144"/>
      <c r="G17" s="141" t="s">
        <v>338</v>
      </c>
      <c r="H17" s="140">
        <v>41.534869287695713</v>
      </c>
      <c r="I17" s="29"/>
      <c r="J17" s="29"/>
      <c r="K17" s="29"/>
      <c r="L17" s="29"/>
      <c r="M17" s="29"/>
      <c r="N17" s="29"/>
      <c r="O17" s="29"/>
      <c r="P17" s="29"/>
      <c r="Q17" s="29"/>
      <c r="R17" s="29"/>
    </row>
    <row r="18" spans="1:101">
      <c r="A18" s="136" t="s">
        <v>401</v>
      </c>
      <c r="B18" s="137" t="s">
        <v>386</v>
      </c>
      <c r="C18" s="143">
        <v>2610.3529019871903</v>
      </c>
      <c r="D18" s="139">
        <v>15</v>
      </c>
      <c r="E18" s="140">
        <v>3170.6314461390416</v>
      </c>
      <c r="F18" s="144"/>
      <c r="G18" s="141" t="s">
        <v>338</v>
      </c>
      <c r="H18" s="140">
        <v>41.534869287695713</v>
      </c>
      <c r="I18" s="29"/>
      <c r="J18" s="29"/>
      <c r="K18" s="29"/>
      <c r="L18" s="29"/>
      <c r="M18" s="29"/>
      <c r="N18" s="29"/>
      <c r="O18" s="29"/>
      <c r="P18" s="29"/>
      <c r="Q18" s="29"/>
      <c r="R18" s="29"/>
    </row>
    <row r="19" spans="1:101">
      <c r="A19" s="136" t="s">
        <v>402</v>
      </c>
      <c r="B19" s="137" t="s">
        <v>386</v>
      </c>
      <c r="C19" s="143">
        <v>2610.3529019871903</v>
      </c>
      <c r="D19" s="139">
        <v>15</v>
      </c>
      <c r="E19" s="140">
        <v>2600.2754841327342</v>
      </c>
      <c r="F19" s="145"/>
      <c r="G19" s="141" t="s">
        <v>338</v>
      </c>
      <c r="H19" s="140">
        <v>41.534869287695713</v>
      </c>
      <c r="I19" s="29"/>
      <c r="J19" s="29"/>
      <c r="K19" s="29"/>
      <c r="L19" s="29"/>
      <c r="M19" s="29"/>
      <c r="N19" s="29"/>
      <c r="O19" s="29"/>
      <c r="P19" s="29"/>
      <c r="Q19" s="29"/>
      <c r="R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row>
    <row r="20" spans="1:101">
      <c r="A20" s="136" t="s">
        <v>403</v>
      </c>
      <c r="B20" s="137" t="s">
        <v>386</v>
      </c>
      <c r="C20" s="143">
        <v>2688.7510694825951</v>
      </c>
      <c r="D20" s="139">
        <v>15</v>
      </c>
      <c r="E20" s="140">
        <v>4017.2726086418138</v>
      </c>
      <c r="F20" s="145"/>
      <c r="G20" s="141" t="s">
        <v>339</v>
      </c>
      <c r="H20" s="140">
        <v>31.283284032448492</v>
      </c>
      <c r="I20" s="29"/>
      <c r="J20" s="29"/>
      <c r="K20" s="29"/>
      <c r="L20" s="29"/>
      <c r="M20" s="29"/>
      <c r="N20" s="29"/>
      <c r="O20" s="29"/>
      <c r="P20" s="29"/>
      <c r="Q20" s="29"/>
      <c r="R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row>
    <row r="21" spans="1:101">
      <c r="A21" s="136" t="s">
        <v>404</v>
      </c>
      <c r="B21" s="137" t="s">
        <v>386</v>
      </c>
      <c r="C21" s="143">
        <v>2688.7510694825951</v>
      </c>
      <c r="D21" s="139">
        <v>15</v>
      </c>
      <c r="E21" s="140">
        <v>3200.5938571159036</v>
      </c>
      <c r="F21" s="145"/>
      <c r="G21" s="141" t="s">
        <v>339</v>
      </c>
      <c r="H21" s="140">
        <v>31.283284032448492</v>
      </c>
      <c r="I21" s="29"/>
      <c r="J21" s="29"/>
      <c r="K21" s="29"/>
      <c r="L21" s="29"/>
      <c r="M21" s="29"/>
      <c r="N21" s="29"/>
      <c r="O21" s="29"/>
      <c r="P21" s="29"/>
      <c r="Q21" s="29"/>
      <c r="R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row>
    <row r="22" spans="1:101">
      <c r="A22" s="136" t="s">
        <v>405</v>
      </c>
      <c r="B22" s="137" t="s">
        <v>386</v>
      </c>
      <c r="C22" s="143">
        <v>2688.7510694825951</v>
      </c>
      <c r="D22" s="139">
        <v>15</v>
      </c>
      <c r="E22" s="140">
        <v>2621.3121997483149</v>
      </c>
      <c r="F22" s="145"/>
      <c r="G22" s="141" t="s">
        <v>339</v>
      </c>
      <c r="H22" s="140">
        <v>31.283284032448492</v>
      </c>
      <c r="I22" s="29"/>
      <c r="J22" s="29"/>
      <c r="K22" s="29"/>
      <c r="L22" s="29"/>
      <c r="M22" s="29"/>
      <c r="N22" s="29"/>
      <c r="O22" s="29"/>
      <c r="P22" s="29"/>
      <c r="Q22" s="29"/>
      <c r="R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row>
    <row r="23" spans="1:101">
      <c r="A23" s="136" t="s">
        <v>406</v>
      </c>
      <c r="B23" s="137" t="s">
        <v>386</v>
      </c>
      <c r="C23" s="143">
        <v>2318.9213380538454</v>
      </c>
      <c r="D23" s="139">
        <v>15</v>
      </c>
      <c r="E23" s="140">
        <v>4063.3954938028023</v>
      </c>
      <c r="F23" s="145"/>
      <c r="G23" s="141" t="s">
        <v>340</v>
      </c>
      <c r="H23" s="140">
        <v>27.443333338878478</v>
      </c>
      <c r="I23" s="29"/>
      <c r="J23" s="29"/>
      <c r="K23" s="29"/>
      <c r="L23" s="29"/>
      <c r="M23" s="29"/>
      <c r="N23" s="29"/>
      <c r="O23" s="29"/>
      <c r="P23" s="29"/>
      <c r="Q23" s="29"/>
      <c r="R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row>
    <row r="24" spans="1:101">
      <c r="A24" s="136" t="s">
        <v>407</v>
      </c>
      <c r="B24" s="137" t="s">
        <v>386</v>
      </c>
      <c r="C24" s="143">
        <v>2318.9213380538454</v>
      </c>
      <c r="D24" s="139">
        <v>15</v>
      </c>
      <c r="E24" s="140">
        <v>3237.7419844145638</v>
      </c>
      <c r="F24" s="145"/>
      <c r="G24" s="141" t="s">
        <v>340</v>
      </c>
      <c r="H24" s="140">
        <v>27.443333338878478</v>
      </c>
      <c r="I24" s="29"/>
      <c r="J24" s="29"/>
      <c r="K24" s="29"/>
      <c r="L24" s="29"/>
      <c r="M24" s="29"/>
      <c r="N24" s="29"/>
      <c r="O24" s="29"/>
      <c r="P24" s="29"/>
      <c r="Q24" s="29"/>
      <c r="R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row>
    <row r="25" spans="1:101">
      <c r="A25" s="136" t="s">
        <v>408</v>
      </c>
      <c r="B25" s="137" t="s">
        <v>386</v>
      </c>
      <c r="C25" s="143">
        <v>2318.9213380538454</v>
      </c>
      <c r="D25" s="139">
        <v>15</v>
      </c>
      <c r="E25" s="140">
        <v>2647.3940324231553</v>
      </c>
      <c r="F25" s="145"/>
      <c r="G25" s="141" t="s">
        <v>340</v>
      </c>
      <c r="H25" s="140">
        <v>27.443333338878478</v>
      </c>
      <c r="I25" s="29"/>
      <c r="J25" s="29"/>
      <c r="K25" s="29"/>
      <c r="L25" s="29"/>
      <c r="M25" s="29"/>
      <c r="N25" s="29"/>
      <c r="O25" s="29"/>
      <c r="P25" s="29"/>
      <c r="Q25" s="29"/>
      <c r="R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row>
    <row r="26" spans="1:101">
      <c r="A26" s="136" t="s">
        <v>409</v>
      </c>
      <c r="B26" s="137" t="s">
        <v>386</v>
      </c>
      <c r="C26" s="143">
        <v>4815.1875654178348</v>
      </c>
      <c r="D26" s="139">
        <v>15</v>
      </c>
      <c r="E26" s="140">
        <v>4437.2942097564019</v>
      </c>
      <c r="F26" s="145"/>
      <c r="G26" s="141" t="s">
        <v>338</v>
      </c>
      <c r="H26" s="140">
        <v>74.86910297887006</v>
      </c>
      <c r="I26" s="29"/>
      <c r="J26" s="29"/>
      <c r="K26" s="29"/>
      <c r="L26" s="29"/>
      <c r="M26" s="29"/>
      <c r="N26" s="29"/>
      <c r="O26" s="29"/>
      <c r="P26" s="29"/>
      <c r="Q26" s="29"/>
      <c r="R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row>
    <row r="27" spans="1:101">
      <c r="A27" s="136" t="s">
        <v>410</v>
      </c>
      <c r="B27" s="137" t="s">
        <v>386</v>
      </c>
      <c r="C27" s="143">
        <v>4815.1875654178348</v>
      </c>
      <c r="D27" s="139">
        <v>15</v>
      </c>
      <c r="E27" s="140">
        <v>3527.2886362122599</v>
      </c>
      <c r="F27" s="145"/>
      <c r="G27" s="141" t="s">
        <v>338</v>
      </c>
      <c r="H27" s="140">
        <v>74.86910297887006</v>
      </c>
      <c r="I27" s="29"/>
      <c r="J27" s="29"/>
      <c r="K27" s="29"/>
      <c r="L27" s="29"/>
      <c r="M27" s="29"/>
      <c r="N27" s="29"/>
      <c r="O27" s="29"/>
      <c r="P27" s="29"/>
      <c r="Q27" s="29"/>
      <c r="R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row>
    <row r="28" spans="1:101">
      <c r="A28" s="136" t="s">
        <v>411</v>
      </c>
      <c r="B28" s="137" t="s">
        <v>386</v>
      </c>
      <c r="C28" s="143">
        <v>4815.1875654178348</v>
      </c>
      <c r="D28" s="139">
        <v>15</v>
      </c>
      <c r="E28" s="140">
        <v>2832.9306587253695</v>
      </c>
      <c r="F28" s="145"/>
      <c r="G28" s="141" t="s">
        <v>338</v>
      </c>
      <c r="H28" s="140">
        <v>74.86910297887006</v>
      </c>
      <c r="I28" s="29"/>
      <c r="J28" s="29"/>
      <c r="K28" s="29"/>
      <c r="L28" s="29"/>
      <c r="M28" s="29"/>
      <c r="N28" s="29"/>
      <c r="O28" s="29"/>
      <c r="P28" s="29"/>
      <c r="Q28" s="29"/>
      <c r="R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row>
    <row r="29" spans="1:101">
      <c r="A29" s="136" t="s">
        <v>412</v>
      </c>
      <c r="B29" s="137" t="s">
        <v>386</v>
      </c>
      <c r="C29" s="143">
        <v>5224.7894393837105</v>
      </c>
      <c r="D29" s="139">
        <v>15</v>
      </c>
      <c r="E29" s="140">
        <v>4553.4365707478646</v>
      </c>
      <c r="F29" s="145"/>
      <c r="G29" s="141" t="s">
        <v>339</v>
      </c>
      <c r="H29" s="140">
        <v>61.588588902351681</v>
      </c>
      <c r="I29" s="29"/>
      <c r="J29" s="29"/>
      <c r="K29" s="29"/>
      <c r="L29" s="29"/>
      <c r="M29" s="29"/>
      <c r="N29" s="29"/>
      <c r="O29" s="29"/>
      <c r="P29" s="29"/>
      <c r="Q29" s="29"/>
      <c r="R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row>
    <row r="30" spans="1:101">
      <c r="A30" s="136" t="s">
        <v>413</v>
      </c>
      <c r="B30" s="137" t="s">
        <v>386</v>
      </c>
      <c r="C30" s="143">
        <v>5224.7894393837105</v>
      </c>
      <c r="D30" s="139">
        <v>15</v>
      </c>
      <c r="E30" s="140">
        <v>3580.5917883041534</v>
      </c>
      <c r="F30" s="145"/>
      <c r="G30" s="141" t="s">
        <v>339</v>
      </c>
      <c r="H30" s="140">
        <v>61.588588902351681</v>
      </c>
      <c r="I30" s="29"/>
      <c r="J30" s="29"/>
      <c r="K30" s="29"/>
      <c r="L30" s="29"/>
      <c r="M30" s="29"/>
      <c r="N30" s="29"/>
      <c r="O30" s="29"/>
      <c r="P30" s="29"/>
      <c r="Q30" s="29"/>
      <c r="R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c r="CO30" s="29"/>
      <c r="CP30" s="29"/>
      <c r="CQ30" s="29"/>
      <c r="CR30" s="29"/>
      <c r="CS30" s="29"/>
      <c r="CT30" s="29"/>
      <c r="CU30" s="29"/>
      <c r="CV30" s="29"/>
      <c r="CW30" s="29"/>
    </row>
    <row r="31" spans="1:101">
      <c r="A31" s="136" t="s">
        <v>414</v>
      </c>
      <c r="B31" s="137" t="s">
        <v>386</v>
      </c>
      <c r="C31" s="143">
        <v>5224.7894393837105</v>
      </c>
      <c r="D31" s="139">
        <v>15</v>
      </c>
      <c r="E31" s="140">
        <v>2808.7501382460728</v>
      </c>
      <c r="F31" s="145"/>
      <c r="G31" s="141" t="s">
        <v>339</v>
      </c>
      <c r="H31" s="140">
        <v>61.588588902351681</v>
      </c>
      <c r="I31" s="29"/>
      <c r="J31" s="29"/>
      <c r="K31" s="29"/>
      <c r="L31" s="29"/>
      <c r="M31" s="29"/>
      <c r="N31" s="29"/>
      <c r="O31" s="29"/>
      <c r="P31" s="29"/>
      <c r="Q31" s="29"/>
      <c r="R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c r="CH31" s="29"/>
      <c r="CI31" s="29"/>
      <c r="CJ31" s="29"/>
      <c r="CK31" s="29"/>
      <c r="CL31" s="29"/>
      <c r="CM31" s="29"/>
      <c r="CN31" s="29"/>
      <c r="CO31" s="29"/>
      <c r="CP31" s="29"/>
      <c r="CQ31" s="29"/>
      <c r="CR31" s="29"/>
      <c r="CS31" s="29"/>
      <c r="CT31" s="29"/>
      <c r="CU31" s="29"/>
      <c r="CV31" s="29"/>
      <c r="CW31" s="29"/>
    </row>
    <row r="32" spans="1:101">
      <c r="A32" s="136" t="s">
        <v>415</v>
      </c>
      <c r="B32" s="137" t="s">
        <v>386</v>
      </c>
      <c r="C32" s="143">
        <v>4894.3168641322009</v>
      </c>
      <c r="D32" s="139">
        <v>15</v>
      </c>
      <c r="E32" s="140">
        <v>4593.7709035635344</v>
      </c>
      <c r="F32" s="145"/>
      <c r="G32" s="141" t="s">
        <v>340</v>
      </c>
      <c r="H32" s="140">
        <v>55.671915299652703</v>
      </c>
      <c r="I32" s="29"/>
      <c r="J32" s="29"/>
      <c r="K32" s="29"/>
      <c r="L32" s="29"/>
      <c r="M32" s="29"/>
      <c r="N32" s="29"/>
      <c r="O32" s="29"/>
      <c r="P32" s="29"/>
      <c r="Q32" s="29"/>
      <c r="R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29"/>
      <c r="CU32" s="29"/>
      <c r="CV32" s="29"/>
      <c r="CW32" s="29"/>
    </row>
    <row r="33" spans="1:101">
      <c r="A33" s="136" t="s">
        <v>416</v>
      </c>
      <c r="B33" s="137" t="s">
        <v>386</v>
      </c>
      <c r="C33" s="143">
        <v>4894.3168641322009</v>
      </c>
      <c r="D33" s="139">
        <v>15</v>
      </c>
      <c r="E33" s="140">
        <v>3613.0777207152146</v>
      </c>
      <c r="F33" s="145"/>
      <c r="G33" s="141" t="s">
        <v>340</v>
      </c>
      <c r="H33" s="140">
        <v>55.671915299652703</v>
      </c>
      <c r="I33" s="29"/>
      <c r="J33" s="29"/>
      <c r="K33" s="29"/>
      <c r="L33" s="29"/>
      <c r="M33" s="29"/>
      <c r="N33" s="29"/>
      <c r="O33" s="29"/>
      <c r="P33" s="29"/>
      <c r="Q33" s="29"/>
      <c r="R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row>
    <row r="34" spans="1:101">
      <c r="A34" s="136" t="s">
        <v>417</v>
      </c>
      <c r="B34" s="137" t="s">
        <v>386</v>
      </c>
      <c r="C34" s="143">
        <v>4894.3168641322009</v>
      </c>
      <c r="D34" s="139">
        <v>15</v>
      </c>
      <c r="E34" s="140">
        <v>2831.5586272614005</v>
      </c>
      <c r="F34" s="145"/>
      <c r="G34" s="141" t="s">
        <v>340</v>
      </c>
      <c r="H34" s="140">
        <v>55.671915299652703</v>
      </c>
      <c r="I34" s="29"/>
      <c r="J34" s="29"/>
      <c r="K34" s="29"/>
      <c r="L34" s="29"/>
      <c r="M34" s="29"/>
      <c r="N34" s="29"/>
      <c r="O34" s="29"/>
      <c r="P34" s="29"/>
      <c r="Q34" s="29"/>
      <c r="R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row>
    <row r="35" spans="1:101">
      <c r="A35" s="136" t="s">
        <v>418</v>
      </c>
      <c r="B35" s="137" t="s">
        <v>386</v>
      </c>
      <c r="C35" s="143">
        <v>7020.0222288484783</v>
      </c>
      <c r="D35" s="139">
        <v>15</v>
      </c>
      <c r="E35" s="140">
        <v>5218.5243475707284</v>
      </c>
      <c r="F35" s="145"/>
      <c r="G35" s="141" t="s">
        <v>338</v>
      </c>
      <c r="H35" s="140">
        <v>110.9906284231203</v>
      </c>
      <c r="I35" s="29"/>
      <c r="J35" s="29"/>
      <c r="K35" s="29"/>
      <c r="L35" s="29"/>
      <c r="M35" s="29"/>
      <c r="N35" s="29"/>
      <c r="O35" s="29"/>
      <c r="P35" s="29"/>
      <c r="Q35" s="29"/>
      <c r="R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row>
    <row r="36" spans="1:101">
      <c r="A36" s="136" t="s">
        <v>419</v>
      </c>
      <c r="B36" s="137" t="s">
        <v>386</v>
      </c>
      <c r="C36" s="143">
        <v>7020.0222288484783</v>
      </c>
      <c r="D36" s="139">
        <v>15</v>
      </c>
      <c r="E36" s="140">
        <v>4095.5294563410748</v>
      </c>
      <c r="F36" s="145"/>
      <c r="G36" s="141" t="s">
        <v>338</v>
      </c>
      <c r="H36" s="140">
        <v>110.9906284231203</v>
      </c>
      <c r="I36" s="29"/>
      <c r="J36" s="29"/>
      <c r="K36" s="29"/>
      <c r="L36" s="29"/>
      <c r="M36" s="29"/>
      <c r="N36" s="29"/>
      <c r="O36" s="29"/>
      <c r="P36" s="29"/>
      <c r="Q36" s="29"/>
      <c r="R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row>
    <row r="37" spans="1:101">
      <c r="A37" s="136" t="s">
        <v>420</v>
      </c>
      <c r="B37" s="137" t="s">
        <v>386</v>
      </c>
      <c r="C37" s="143">
        <v>7020.0222288484783</v>
      </c>
      <c r="D37" s="139">
        <v>15</v>
      </c>
      <c r="E37" s="140">
        <v>3138.5457258934644</v>
      </c>
      <c r="F37" s="145"/>
      <c r="G37" s="141" t="s">
        <v>338</v>
      </c>
      <c r="H37" s="140">
        <v>110.9906284231203</v>
      </c>
      <c r="I37" s="29"/>
      <c r="J37" s="29"/>
      <c r="K37" s="29"/>
      <c r="L37" s="29"/>
      <c r="M37" s="29"/>
      <c r="N37" s="29"/>
      <c r="O37" s="29"/>
      <c r="P37" s="29"/>
      <c r="Q37" s="29"/>
      <c r="R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row>
    <row r="38" spans="1:101">
      <c r="A38" s="136" t="s">
        <v>421</v>
      </c>
      <c r="B38" s="137" t="s">
        <v>386</v>
      </c>
      <c r="C38" s="143">
        <v>7760.827809284825</v>
      </c>
      <c r="D38" s="139">
        <v>15</v>
      </c>
      <c r="E38" s="140">
        <v>5264.3904441692885</v>
      </c>
      <c r="F38" s="145"/>
      <c r="G38" s="141" t="s">
        <v>339</v>
      </c>
      <c r="H38" s="140">
        <v>93.89506950023889</v>
      </c>
      <c r="I38" s="29"/>
      <c r="J38" s="29"/>
      <c r="K38" s="29"/>
      <c r="L38" s="29"/>
      <c r="M38" s="29"/>
      <c r="N38" s="29"/>
      <c r="O38" s="29"/>
      <c r="P38" s="29"/>
      <c r="Q38" s="29"/>
      <c r="R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c r="CP38" s="29"/>
      <c r="CQ38" s="29"/>
      <c r="CR38" s="29"/>
      <c r="CS38" s="29"/>
      <c r="CT38" s="29"/>
      <c r="CU38" s="29"/>
      <c r="CV38" s="29"/>
      <c r="CW38" s="29"/>
    </row>
    <row r="39" spans="1:101">
      <c r="A39" s="136" t="s">
        <v>422</v>
      </c>
      <c r="B39" s="137" t="s">
        <v>386</v>
      </c>
      <c r="C39" s="143">
        <v>7760.827809284825</v>
      </c>
      <c r="D39" s="139">
        <v>15</v>
      </c>
      <c r="E39" s="140">
        <v>4132.4707619248165</v>
      </c>
      <c r="F39" s="145"/>
      <c r="G39" s="141" t="s">
        <v>339</v>
      </c>
      <c r="H39" s="140">
        <v>93.89506950023889</v>
      </c>
      <c r="I39" s="29"/>
      <c r="J39" s="29"/>
      <c r="K39" s="29"/>
      <c r="L39" s="29"/>
      <c r="M39" s="29"/>
      <c r="N39" s="29"/>
      <c r="O39" s="29"/>
      <c r="P39" s="29"/>
      <c r="Q39" s="29"/>
      <c r="R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c r="CV39" s="29"/>
      <c r="CW39" s="29"/>
    </row>
    <row r="40" spans="1:101">
      <c r="A40" s="136" t="s">
        <v>423</v>
      </c>
      <c r="B40" s="137" t="s">
        <v>386</v>
      </c>
      <c r="C40" s="143">
        <v>7760.827809284825</v>
      </c>
      <c r="D40" s="139">
        <v>15</v>
      </c>
      <c r="E40" s="140">
        <v>3164.482348304577</v>
      </c>
      <c r="F40" s="145"/>
      <c r="G40" s="141" t="s">
        <v>339</v>
      </c>
      <c r="H40" s="140">
        <v>93.89506950023889</v>
      </c>
      <c r="I40" s="29"/>
      <c r="J40" s="29"/>
      <c r="K40" s="29"/>
      <c r="L40" s="29"/>
      <c r="M40" s="29"/>
      <c r="N40" s="29"/>
      <c r="O40" s="29"/>
      <c r="P40" s="29"/>
      <c r="Q40" s="29"/>
      <c r="R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c r="CO40" s="29"/>
      <c r="CP40" s="29"/>
      <c r="CQ40" s="29"/>
      <c r="CR40" s="29"/>
      <c r="CS40" s="29"/>
      <c r="CT40" s="29"/>
      <c r="CU40" s="29"/>
      <c r="CV40" s="29"/>
      <c r="CW40" s="29"/>
    </row>
    <row r="41" spans="1:101">
      <c r="A41" s="136" t="s">
        <v>424</v>
      </c>
      <c r="B41" s="137" t="s">
        <v>386</v>
      </c>
      <c r="C41" s="143">
        <v>7469.7123902105577</v>
      </c>
      <c r="D41" s="139">
        <v>15</v>
      </c>
      <c r="E41" s="140">
        <v>5268.4196463436783</v>
      </c>
      <c r="F41" s="145"/>
      <c r="G41" s="141" t="s">
        <v>340</v>
      </c>
      <c r="H41" s="140">
        <v>90.673341551586844</v>
      </c>
      <c r="I41" s="29"/>
      <c r="J41" s="29"/>
      <c r="K41" s="29"/>
      <c r="L41" s="29"/>
      <c r="M41" s="29"/>
      <c r="N41" s="29"/>
      <c r="O41" s="29"/>
      <c r="P41" s="29"/>
      <c r="Q41" s="29"/>
      <c r="R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c r="CH41" s="29"/>
      <c r="CI41" s="29"/>
      <c r="CJ41" s="29"/>
      <c r="CK41" s="29"/>
      <c r="CL41" s="29"/>
      <c r="CM41" s="29"/>
      <c r="CN41" s="29"/>
      <c r="CO41" s="29"/>
      <c r="CP41" s="29"/>
      <c r="CQ41" s="29"/>
      <c r="CR41" s="29"/>
      <c r="CS41" s="29"/>
      <c r="CT41" s="29"/>
      <c r="CU41" s="29"/>
      <c r="CV41" s="29"/>
      <c r="CW41" s="29"/>
    </row>
    <row r="42" spans="1:101">
      <c r="A42" s="136" t="s">
        <v>425</v>
      </c>
      <c r="B42" s="137" t="s">
        <v>386</v>
      </c>
      <c r="C42" s="143">
        <v>7469.7123902105577</v>
      </c>
      <c r="D42" s="139">
        <v>15</v>
      </c>
      <c r="E42" s="140">
        <v>4135.715947362889</v>
      </c>
      <c r="F42" s="145"/>
      <c r="G42" s="141" t="s">
        <v>340</v>
      </c>
      <c r="H42" s="140">
        <v>90.673341551586844</v>
      </c>
      <c r="I42" s="29"/>
      <c r="J42" s="29"/>
      <c r="K42" s="29"/>
      <c r="L42" s="29"/>
      <c r="M42" s="29"/>
      <c r="N42" s="29"/>
      <c r="O42" s="29"/>
      <c r="P42" s="29"/>
      <c r="Q42" s="29"/>
      <c r="R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c r="CH42" s="29"/>
      <c r="CI42" s="29"/>
      <c r="CJ42" s="29"/>
      <c r="CK42" s="29"/>
      <c r="CL42" s="29"/>
      <c r="CM42" s="29"/>
      <c r="CN42" s="29"/>
      <c r="CO42" s="29"/>
      <c r="CP42" s="29"/>
      <c r="CQ42" s="29"/>
      <c r="CR42" s="29"/>
      <c r="CS42" s="29"/>
      <c r="CT42" s="29"/>
      <c r="CU42" s="29"/>
      <c r="CV42" s="29"/>
      <c r="CW42" s="29"/>
    </row>
    <row r="43" spans="1:101">
      <c r="A43" s="136" t="s">
        <v>426</v>
      </c>
      <c r="B43" s="137" t="s">
        <v>386</v>
      </c>
      <c r="C43" s="143">
        <v>7469.7123902105577</v>
      </c>
      <c r="D43" s="139">
        <v>15</v>
      </c>
      <c r="E43" s="140">
        <v>3166.7608045754446</v>
      </c>
      <c r="F43" s="145"/>
      <c r="G43" s="141" t="s">
        <v>340</v>
      </c>
      <c r="H43" s="140">
        <v>90.673341551586844</v>
      </c>
      <c r="I43" s="29"/>
      <c r="J43" s="29"/>
      <c r="K43" s="29"/>
      <c r="L43" s="29"/>
      <c r="M43" s="29"/>
      <c r="N43" s="29"/>
      <c r="O43" s="29"/>
      <c r="P43" s="29"/>
      <c r="Q43" s="29"/>
      <c r="R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c r="CH43" s="29"/>
      <c r="CI43" s="29"/>
      <c r="CJ43" s="29"/>
      <c r="CK43" s="29"/>
      <c r="CL43" s="29"/>
      <c r="CM43" s="29"/>
      <c r="CN43" s="29"/>
      <c r="CO43" s="29"/>
      <c r="CP43" s="29"/>
      <c r="CQ43" s="29"/>
      <c r="CR43" s="29"/>
      <c r="CS43" s="29"/>
      <c r="CT43" s="29"/>
      <c r="CU43" s="29"/>
      <c r="CV43" s="29"/>
      <c r="CW43" s="29"/>
    </row>
    <row r="44" spans="1:101">
      <c r="A44" s="136" t="s">
        <v>427</v>
      </c>
      <c r="B44" s="137" t="s">
        <v>386</v>
      </c>
      <c r="C44" s="143">
        <v>115.19308595364367</v>
      </c>
      <c r="D44" s="139">
        <v>15</v>
      </c>
      <c r="E44" s="140">
        <v>80.823411921055197</v>
      </c>
      <c r="F44" s="145"/>
      <c r="G44" s="141" t="s">
        <v>338</v>
      </c>
      <c r="H44" s="140">
        <v>1.6807132651285106</v>
      </c>
      <c r="I44" s="29"/>
      <c r="J44" s="29"/>
      <c r="K44" s="29"/>
      <c r="L44" s="29"/>
      <c r="M44" s="29"/>
      <c r="N44" s="29"/>
      <c r="O44" s="29"/>
      <c r="P44" s="29"/>
      <c r="Q44" s="29"/>
      <c r="R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c r="CO44" s="29"/>
      <c r="CP44" s="29"/>
      <c r="CQ44" s="29"/>
      <c r="CR44" s="29"/>
      <c r="CS44" s="29"/>
      <c r="CT44" s="29"/>
      <c r="CU44" s="29"/>
      <c r="CV44" s="29"/>
      <c r="CW44" s="29"/>
    </row>
    <row r="45" spans="1:101">
      <c r="A45" s="136" t="s">
        <v>428</v>
      </c>
      <c r="B45" s="137" t="s">
        <v>386</v>
      </c>
      <c r="C45" s="143">
        <v>86.645648827051815</v>
      </c>
      <c r="D45" s="139">
        <v>15</v>
      </c>
      <c r="E45" s="140">
        <v>80.823411921055197</v>
      </c>
      <c r="F45" s="145"/>
      <c r="G45" s="141" t="s">
        <v>339</v>
      </c>
      <c r="H45" s="140">
        <v>1.0348229224589816</v>
      </c>
      <c r="I45" s="29"/>
      <c r="J45" s="29"/>
      <c r="K45" s="29"/>
      <c r="L45" s="29"/>
      <c r="M45" s="29"/>
      <c r="N45" s="29"/>
      <c r="O45" s="29"/>
      <c r="P45" s="29"/>
      <c r="Q45" s="29"/>
      <c r="R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c r="CH45" s="29"/>
      <c r="CI45" s="29"/>
      <c r="CJ45" s="29"/>
      <c r="CK45" s="29"/>
      <c r="CL45" s="29"/>
      <c r="CM45" s="29"/>
      <c r="CN45" s="29"/>
      <c r="CO45" s="29"/>
      <c r="CP45" s="29"/>
      <c r="CQ45" s="29"/>
      <c r="CR45" s="29"/>
      <c r="CS45" s="29"/>
      <c r="CT45" s="29"/>
      <c r="CU45" s="29"/>
      <c r="CV45" s="29"/>
      <c r="CW45" s="29"/>
    </row>
    <row r="46" spans="1:101">
      <c r="A46" s="136" t="s">
        <v>429</v>
      </c>
      <c r="B46" s="137" t="s">
        <v>386</v>
      </c>
      <c r="C46" s="143">
        <v>68.790667006913637</v>
      </c>
      <c r="D46" s="139">
        <v>15</v>
      </c>
      <c r="E46" s="140">
        <v>80.823411921055197</v>
      </c>
      <c r="F46" s="145"/>
      <c r="G46" s="141" t="s">
        <v>340</v>
      </c>
      <c r="H46" s="140">
        <v>0.78438556977170426</v>
      </c>
      <c r="I46" s="29"/>
      <c r="J46" s="29"/>
      <c r="K46" s="29"/>
      <c r="L46" s="29"/>
      <c r="M46" s="29"/>
      <c r="N46" s="29"/>
      <c r="O46" s="29"/>
      <c r="P46" s="29"/>
      <c r="Q46" s="29"/>
      <c r="R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29"/>
      <c r="CP46" s="29"/>
      <c r="CQ46" s="29"/>
      <c r="CR46" s="29"/>
      <c r="CS46" s="29"/>
      <c r="CT46" s="29"/>
      <c r="CU46" s="29"/>
      <c r="CV46" s="29"/>
      <c r="CW46" s="29"/>
    </row>
    <row r="47" spans="1:101">
      <c r="A47" s="136" t="s">
        <v>430</v>
      </c>
      <c r="B47" s="137" t="s">
        <v>386</v>
      </c>
      <c r="C47" s="143">
        <v>574.96857481092184</v>
      </c>
      <c r="D47" s="139">
        <v>15</v>
      </c>
      <c r="E47" s="140">
        <v>4919.8894737852088</v>
      </c>
      <c r="F47" s="145"/>
      <c r="G47" s="141" t="s">
        <v>338</v>
      </c>
      <c r="H47" s="140">
        <v>8.1511106646902238</v>
      </c>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c r="CH47" s="29"/>
      <c r="CI47" s="29"/>
      <c r="CJ47" s="29"/>
      <c r="CK47" s="29"/>
      <c r="CL47" s="29"/>
      <c r="CM47" s="29"/>
      <c r="CN47" s="29"/>
      <c r="CO47" s="29"/>
      <c r="CP47" s="29"/>
      <c r="CQ47" s="29"/>
      <c r="CR47" s="29"/>
      <c r="CS47" s="29"/>
      <c r="CT47" s="29"/>
      <c r="CU47" s="29"/>
      <c r="CV47" s="29"/>
      <c r="CW47" s="29"/>
    </row>
    <row r="48" spans="1:101">
      <c r="A48" s="136" t="s">
        <v>431</v>
      </c>
      <c r="B48" s="137" t="s">
        <v>386</v>
      </c>
      <c r="C48" s="143">
        <v>574.96857481092184</v>
      </c>
      <c r="D48" s="139">
        <v>15</v>
      </c>
      <c r="E48" s="140">
        <v>4919.8894737852088</v>
      </c>
      <c r="F48" s="145"/>
      <c r="G48" s="141" t="s">
        <v>338</v>
      </c>
      <c r="H48" s="140">
        <v>8.1511106646902238</v>
      </c>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c r="CO48" s="29"/>
      <c r="CP48" s="29"/>
      <c r="CQ48" s="29"/>
      <c r="CR48" s="29"/>
      <c r="CS48" s="29"/>
      <c r="CT48" s="29"/>
      <c r="CU48" s="29"/>
      <c r="CV48" s="29"/>
      <c r="CW48" s="29"/>
    </row>
    <row r="49" spans="1:101">
      <c r="A49" s="136" t="s">
        <v>432</v>
      </c>
      <c r="B49" s="137" t="s">
        <v>386</v>
      </c>
      <c r="C49" s="143">
        <v>574.96857481092184</v>
      </c>
      <c r="D49" s="139">
        <v>15</v>
      </c>
      <c r="E49" s="140">
        <v>4919.8894737852088</v>
      </c>
      <c r="F49" s="145"/>
      <c r="G49" s="141" t="s">
        <v>338</v>
      </c>
      <c r="H49" s="140">
        <v>8.1511106646902238</v>
      </c>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c r="CO49" s="29"/>
      <c r="CP49" s="29"/>
      <c r="CQ49" s="29"/>
      <c r="CR49" s="29"/>
      <c r="CS49" s="29"/>
      <c r="CT49" s="29"/>
      <c r="CU49" s="29"/>
      <c r="CV49" s="29"/>
      <c r="CW49" s="29"/>
    </row>
    <row r="50" spans="1:101">
      <c r="A50" s="136" t="s">
        <v>433</v>
      </c>
      <c r="B50" s="137" t="s">
        <v>386</v>
      </c>
      <c r="C50" s="143">
        <v>681.88274160213484</v>
      </c>
      <c r="D50" s="139">
        <v>15</v>
      </c>
      <c r="E50" s="140">
        <v>4919.8894737852088</v>
      </c>
      <c r="F50" s="145"/>
      <c r="G50" s="141" t="s">
        <v>339</v>
      </c>
      <c r="H50" s="140">
        <v>8.0972631546315021</v>
      </c>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c r="CH50" s="29"/>
      <c r="CI50" s="29"/>
      <c r="CJ50" s="29"/>
      <c r="CK50" s="29"/>
      <c r="CL50" s="29"/>
      <c r="CM50" s="29"/>
      <c r="CN50" s="29"/>
      <c r="CO50" s="29"/>
      <c r="CP50" s="29"/>
      <c r="CQ50" s="29"/>
      <c r="CR50" s="29"/>
      <c r="CS50" s="29"/>
      <c r="CT50" s="29"/>
      <c r="CU50" s="29"/>
      <c r="CV50" s="29"/>
      <c r="CW50" s="29"/>
    </row>
    <row r="51" spans="1:101">
      <c r="A51" s="136" t="s">
        <v>434</v>
      </c>
      <c r="B51" s="137" t="s">
        <v>386</v>
      </c>
      <c r="C51" s="143">
        <v>681.88274160213484</v>
      </c>
      <c r="D51" s="139">
        <v>15</v>
      </c>
      <c r="E51" s="140">
        <v>4919.8894737852088</v>
      </c>
      <c r="F51" s="145"/>
      <c r="G51" s="141" t="s">
        <v>339</v>
      </c>
      <c r="H51" s="140">
        <v>8.0972631546315021</v>
      </c>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c r="CH51" s="29"/>
      <c r="CI51" s="29"/>
      <c r="CJ51" s="29"/>
      <c r="CK51" s="29"/>
      <c r="CL51" s="29"/>
      <c r="CM51" s="29"/>
      <c r="CN51" s="29"/>
      <c r="CO51" s="29"/>
      <c r="CP51" s="29"/>
      <c r="CQ51" s="29"/>
      <c r="CR51" s="29"/>
      <c r="CS51" s="29"/>
      <c r="CT51" s="29"/>
      <c r="CU51" s="29"/>
      <c r="CV51" s="29"/>
      <c r="CW51" s="29"/>
    </row>
    <row r="52" spans="1:101">
      <c r="A52" s="136" t="s">
        <v>435</v>
      </c>
      <c r="B52" s="137" t="s">
        <v>386</v>
      </c>
      <c r="C52" s="143">
        <v>681.88274160213484</v>
      </c>
      <c r="D52" s="139">
        <v>15</v>
      </c>
      <c r="E52" s="140">
        <v>4919.8894737852088</v>
      </c>
      <c r="F52" s="145"/>
      <c r="G52" s="141" t="s">
        <v>339</v>
      </c>
      <c r="H52" s="140">
        <v>8.0972631546315021</v>
      </c>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row>
    <row r="53" spans="1:101">
      <c r="A53" s="136" t="s">
        <v>436</v>
      </c>
      <c r="B53" s="137" t="s">
        <v>386</v>
      </c>
      <c r="C53" s="143">
        <v>854.99367812508422</v>
      </c>
      <c r="D53" s="139">
        <v>15</v>
      </c>
      <c r="E53" s="140">
        <v>4919.8894737852088</v>
      </c>
      <c r="F53" s="145"/>
      <c r="G53" s="141" t="s">
        <v>340</v>
      </c>
      <c r="H53" s="140">
        <v>10.190688628695909</v>
      </c>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c r="CH53" s="29"/>
      <c r="CI53" s="29"/>
      <c r="CJ53" s="29"/>
      <c r="CK53" s="29"/>
      <c r="CL53" s="29"/>
      <c r="CM53" s="29"/>
      <c r="CN53" s="29"/>
      <c r="CO53" s="29"/>
      <c r="CP53" s="29"/>
      <c r="CQ53" s="29"/>
      <c r="CR53" s="29"/>
      <c r="CS53" s="29"/>
      <c r="CT53" s="29"/>
      <c r="CU53" s="29"/>
      <c r="CV53" s="29"/>
      <c r="CW53" s="29"/>
    </row>
    <row r="54" spans="1:101">
      <c r="A54" s="136" t="s">
        <v>437</v>
      </c>
      <c r="B54" s="137" t="s">
        <v>386</v>
      </c>
      <c r="C54" s="143">
        <v>854.99367812508422</v>
      </c>
      <c r="D54" s="139">
        <v>15</v>
      </c>
      <c r="E54" s="140">
        <v>4919.8894737852088</v>
      </c>
      <c r="F54" s="145"/>
      <c r="G54" s="141" t="s">
        <v>340</v>
      </c>
      <c r="H54" s="140">
        <v>10.190688628695909</v>
      </c>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row>
    <row r="55" spans="1:101">
      <c r="A55" s="136" t="s">
        <v>438</v>
      </c>
      <c r="B55" s="137" t="s">
        <v>386</v>
      </c>
      <c r="C55" s="143">
        <v>854.99367812508422</v>
      </c>
      <c r="D55" s="139">
        <v>15</v>
      </c>
      <c r="E55" s="140">
        <v>4919.8894737852088</v>
      </c>
      <c r="F55" s="145"/>
      <c r="G55" s="141" t="s">
        <v>340</v>
      </c>
      <c r="H55" s="140">
        <v>10.190688628695909</v>
      </c>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c r="CH55" s="29"/>
      <c r="CI55" s="29"/>
      <c r="CJ55" s="29"/>
      <c r="CK55" s="29"/>
      <c r="CL55" s="29"/>
      <c r="CM55" s="29"/>
      <c r="CN55" s="29"/>
      <c r="CO55" s="29"/>
      <c r="CP55" s="29"/>
      <c r="CQ55" s="29"/>
      <c r="CR55" s="29"/>
      <c r="CS55" s="29"/>
      <c r="CT55" s="29"/>
      <c r="CU55" s="29"/>
      <c r="CV55" s="29"/>
      <c r="CW55" s="29"/>
    </row>
    <row r="56" spans="1:101" ht="15">
      <c r="A56" s="136" t="s">
        <v>439</v>
      </c>
      <c r="B56" s="137" t="s">
        <v>386</v>
      </c>
      <c r="C56" s="143">
        <v>2240.0588630952484</v>
      </c>
      <c r="D56" s="139">
        <v>15</v>
      </c>
      <c r="E56" s="140">
        <v>3536.4882564234663</v>
      </c>
      <c r="F56" s="145"/>
      <c r="G56" s="481" t="s">
        <v>917</v>
      </c>
      <c r="H56" s="140">
        <v>26.167052040603416</v>
      </c>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c r="CH56" s="29"/>
      <c r="CI56" s="29"/>
      <c r="CJ56" s="29"/>
      <c r="CK56" s="29"/>
      <c r="CL56" s="29"/>
      <c r="CM56" s="29"/>
      <c r="CN56" s="29"/>
      <c r="CO56" s="29"/>
      <c r="CP56" s="29"/>
      <c r="CQ56" s="29"/>
      <c r="CR56" s="29"/>
      <c r="CS56" s="29"/>
      <c r="CT56" s="29"/>
      <c r="CU56" s="29"/>
      <c r="CV56" s="29"/>
      <c r="CW56" s="29"/>
    </row>
    <row r="57" spans="1:101" ht="15">
      <c r="A57" s="136" t="s">
        <v>440</v>
      </c>
      <c r="B57" s="137" t="s">
        <v>386</v>
      </c>
      <c r="C57" s="143">
        <v>2340.8526501212446</v>
      </c>
      <c r="D57" s="139">
        <v>15</v>
      </c>
      <c r="E57" s="140">
        <v>3356.0832919228974</v>
      </c>
      <c r="F57" s="145"/>
      <c r="G57" s="481" t="s">
        <v>918</v>
      </c>
      <c r="H57" s="140">
        <v>20.734656195868322</v>
      </c>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c r="CH57" s="29"/>
      <c r="CI57" s="29"/>
      <c r="CJ57" s="29"/>
      <c r="CK57" s="29"/>
      <c r="CL57" s="29"/>
      <c r="CM57" s="29"/>
      <c r="CN57" s="29"/>
      <c r="CO57" s="29"/>
      <c r="CP57" s="29"/>
      <c r="CQ57" s="29"/>
      <c r="CR57" s="29"/>
      <c r="CS57" s="29"/>
      <c r="CT57" s="29"/>
      <c r="CU57" s="29"/>
      <c r="CV57" s="29"/>
      <c r="CW57" s="29"/>
    </row>
    <row r="58" spans="1:101" ht="15">
      <c r="A58" s="136" t="s">
        <v>441</v>
      </c>
      <c r="B58" s="137" t="s">
        <v>386</v>
      </c>
      <c r="C58" s="143">
        <v>1516.8330854793242</v>
      </c>
      <c r="D58" s="139">
        <v>15</v>
      </c>
      <c r="E58" s="140">
        <v>3158.0097999712416</v>
      </c>
      <c r="F58" s="145"/>
      <c r="G58" s="481" t="s">
        <v>919</v>
      </c>
      <c r="H58" s="140">
        <v>64.293352560997064</v>
      </c>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c r="CV58" s="29"/>
      <c r="CW58" s="29"/>
    </row>
    <row r="59" spans="1:101" ht="15">
      <c r="A59" s="136" t="s">
        <v>442</v>
      </c>
      <c r="B59" s="137" t="s">
        <v>386</v>
      </c>
      <c r="C59" s="143">
        <v>2240.0588630952484</v>
      </c>
      <c r="D59" s="139">
        <v>15</v>
      </c>
      <c r="E59" s="140">
        <v>3359.2571631877186</v>
      </c>
      <c r="F59" s="145"/>
      <c r="G59" s="481" t="s">
        <v>917</v>
      </c>
      <c r="H59" s="140">
        <v>26.167052040603416</v>
      </c>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row>
    <row r="60" spans="1:101" ht="15">
      <c r="A60" s="136" t="s">
        <v>443</v>
      </c>
      <c r="B60" s="137" t="s">
        <v>386</v>
      </c>
      <c r="C60" s="143">
        <v>2340.8526501212446</v>
      </c>
      <c r="D60" s="139">
        <v>15</v>
      </c>
      <c r="E60" s="140">
        <v>3178.8521986871497</v>
      </c>
      <c r="F60" s="145"/>
      <c r="G60" s="481" t="s">
        <v>918</v>
      </c>
      <c r="H60" s="140">
        <v>20.734656195868322</v>
      </c>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c r="CV60" s="29"/>
      <c r="CW60" s="29"/>
    </row>
    <row r="61" spans="1:101" ht="15">
      <c r="A61" s="136" t="s">
        <v>444</v>
      </c>
      <c r="B61" s="137" t="s">
        <v>386</v>
      </c>
      <c r="C61" s="143">
        <v>1516.8330854793242</v>
      </c>
      <c r="D61" s="139">
        <v>15</v>
      </c>
      <c r="E61" s="140">
        <v>2980.7787067354939</v>
      </c>
      <c r="F61" s="145"/>
      <c r="G61" s="481" t="s">
        <v>919</v>
      </c>
      <c r="H61" s="140">
        <v>64.293352560997064</v>
      </c>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c r="CH61" s="29"/>
      <c r="CI61" s="29"/>
      <c r="CJ61" s="29"/>
      <c r="CK61" s="29"/>
      <c r="CL61" s="29"/>
      <c r="CM61" s="29"/>
      <c r="CN61" s="29"/>
      <c r="CO61" s="29"/>
      <c r="CP61" s="29"/>
      <c r="CQ61" s="29"/>
      <c r="CR61" s="29"/>
      <c r="CS61" s="29"/>
      <c r="CT61" s="29"/>
      <c r="CU61" s="29"/>
      <c r="CV61" s="29"/>
      <c r="CW61" s="29"/>
    </row>
    <row r="62" spans="1:101" ht="15">
      <c r="A62" s="136" t="s">
        <v>445</v>
      </c>
      <c r="B62" s="137" t="s">
        <v>386</v>
      </c>
      <c r="C62" s="143">
        <v>2240.0588630952484</v>
      </c>
      <c r="D62" s="139">
        <v>15</v>
      </c>
      <c r="E62" s="140">
        <v>3190.5640886672813</v>
      </c>
      <c r="F62" s="145"/>
      <c r="G62" s="481" t="s">
        <v>917</v>
      </c>
      <c r="H62" s="140">
        <v>26.167052040603416</v>
      </c>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c r="CV62" s="29"/>
      <c r="CW62" s="29"/>
    </row>
    <row r="63" spans="1:101" ht="15">
      <c r="A63" s="136" t="s">
        <v>446</v>
      </c>
      <c r="B63" s="137" t="s">
        <v>386</v>
      </c>
      <c r="C63" s="143">
        <v>2340.8526501212446</v>
      </c>
      <c r="D63" s="139">
        <v>15</v>
      </c>
      <c r="E63" s="140">
        <v>3010.1591241667124</v>
      </c>
      <c r="F63" s="145"/>
      <c r="G63" s="481" t="s">
        <v>918</v>
      </c>
      <c r="H63" s="140">
        <v>20.734656195868322</v>
      </c>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c r="CH63" s="29"/>
      <c r="CI63" s="29"/>
      <c r="CJ63" s="29"/>
      <c r="CK63" s="29"/>
      <c r="CL63" s="29"/>
      <c r="CM63" s="29"/>
      <c r="CN63" s="29"/>
      <c r="CO63" s="29"/>
      <c r="CP63" s="29"/>
      <c r="CQ63" s="29"/>
      <c r="CR63" s="29"/>
      <c r="CS63" s="29"/>
      <c r="CT63" s="29"/>
      <c r="CU63" s="29"/>
      <c r="CV63" s="29"/>
      <c r="CW63" s="29"/>
    </row>
    <row r="64" spans="1:101" ht="15">
      <c r="A64" s="146" t="s">
        <v>447</v>
      </c>
      <c r="B64" s="147" t="s">
        <v>386</v>
      </c>
      <c r="C64" s="148">
        <v>1516.8330854793242</v>
      </c>
      <c r="D64" s="149">
        <v>15</v>
      </c>
      <c r="E64" s="140">
        <v>2812.0856322150566</v>
      </c>
      <c r="F64" s="150"/>
      <c r="G64" s="481" t="s">
        <v>919</v>
      </c>
      <c r="H64" s="140">
        <v>64.293352560997064</v>
      </c>
      <c r="I64"/>
      <c r="J64"/>
      <c r="K64"/>
      <c r="L64"/>
      <c r="M64"/>
      <c r="N64"/>
      <c r="O64"/>
      <c r="P64"/>
      <c r="Q64"/>
      <c r="R64"/>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c r="CV64" s="29"/>
      <c r="CW64" s="29"/>
    </row>
    <row r="65" spans="1:101">
      <c r="A65" s="151" t="s">
        <v>391</v>
      </c>
      <c r="B65" s="151" t="s">
        <v>387</v>
      </c>
      <c r="C65" s="152">
        <v>0</v>
      </c>
      <c r="D65" s="153">
        <v>15</v>
      </c>
      <c r="E65" s="154">
        <v>0</v>
      </c>
      <c r="F65" s="155"/>
      <c r="G65" s="156" t="s">
        <v>448</v>
      </c>
      <c r="H65" s="157">
        <v>0</v>
      </c>
      <c r="I65"/>
      <c r="J65"/>
      <c r="K65"/>
      <c r="L65"/>
      <c r="M65"/>
      <c r="N65"/>
      <c r="O65"/>
      <c r="P65"/>
      <c r="Q65"/>
      <c r="R65"/>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c r="CH65" s="29"/>
      <c r="CI65" s="29"/>
      <c r="CJ65" s="29"/>
      <c r="CK65" s="29"/>
      <c r="CL65" s="29"/>
      <c r="CM65" s="29"/>
      <c r="CN65" s="29"/>
      <c r="CO65" s="29"/>
      <c r="CP65" s="29"/>
      <c r="CQ65" s="29"/>
      <c r="CR65" s="29"/>
      <c r="CS65" s="29"/>
      <c r="CT65" s="29"/>
      <c r="CU65" s="29"/>
      <c r="CV65" s="29"/>
      <c r="CW65" s="29"/>
    </row>
    <row r="66" spans="1:101">
      <c r="A66" s="151" t="s">
        <v>392</v>
      </c>
      <c r="B66" s="151" t="s">
        <v>387</v>
      </c>
      <c r="C66" s="152">
        <v>0</v>
      </c>
      <c r="D66" s="153">
        <v>15</v>
      </c>
      <c r="E66" s="154">
        <v>0</v>
      </c>
      <c r="F66" s="155"/>
      <c r="G66" s="156" t="s">
        <v>449</v>
      </c>
      <c r="H66" s="157">
        <v>0</v>
      </c>
      <c r="I66"/>
      <c r="J66"/>
      <c r="K66"/>
      <c r="L66"/>
      <c r="M66"/>
      <c r="N66"/>
      <c r="O66"/>
      <c r="P66"/>
      <c r="Q66"/>
      <c r="R66"/>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row>
    <row r="67" spans="1:101">
      <c r="A67" s="151" t="s">
        <v>393</v>
      </c>
      <c r="B67" s="151" t="s">
        <v>387</v>
      </c>
      <c r="C67" s="152">
        <v>0</v>
      </c>
      <c r="D67" s="153">
        <v>15</v>
      </c>
      <c r="E67" s="154">
        <v>0</v>
      </c>
      <c r="F67" s="155"/>
      <c r="G67" s="156" t="s">
        <v>450</v>
      </c>
      <c r="H67" s="157">
        <v>0</v>
      </c>
      <c r="I67"/>
      <c r="J67"/>
      <c r="K67"/>
      <c r="L67"/>
      <c r="M67"/>
      <c r="N67"/>
      <c r="O67"/>
      <c r="P67"/>
      <c r="Q67"/>
      <c r="R67"/>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c r="CV67" s="29"/>
      <c r="CW67" s="29"/>
    </row>
    <row r="68" spans="1:101">
      <c r="A68" s="151" t="s">
        <v>394</v>
      </c>
      <c r="B68" s="151" t="s">
        <v>387</v>
      </c>
      <c r="C68" s="152">
        <v>0</v>
      </c>
      <c r="D68" s="153">
        <v>15</v>
      </c>
      <c r="E68" s="154">
        <v>0</v>
      </c>
      <c r="F68" s="155"/>
      <c r="G68" s="156" t="s">
        <v>448</v>
      </c>
      <c r="H68" s="157">
        <v>0</v>
      </c>
      <c r="I68"/>
      <c r="J68"/>
      <c r="K68"/>
      <c r="L68"/>
      <c r="M68"/>
      <c r="N68"/>
      <c r="O68"/>
      <c r="P68"/>
      <c r="Q68"/>
      <c r="R68"/>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c r="CT68" s="29"/>
      <c r="CU68" s="29"/>
      <c r="CV68" s="29"/>
      <c r="CW68" s="29"/>
    </row>
    <row r="69" spans="1:101">
      <c r="A69" s="151" t="s">
        <v>395</v>
      </c>
      <c r="B69" s="151" t="s">
        <v>387</v>
      </c>
      <c r="C69" s="152">
        <v>0</v>
      </c>
      <c r="D69" s="153">
        <v>15</v>
      </c>
      <c r="E69" s="154">
        <v>0</v>
      </c>
      <c r="F69" s="155"/>
      <c r="G69" s="156" t="s">
        <v>449</v>
      </c>
      <c r="H69" s="157">
        <v>0</v>
      </c>
      <c r="I69"/>
      <c r="J69"/>
      <c r="K69"/>
      <c r="L69"/>
      <c r="M69"/>
      <c r="N69"/>
      <c r="O69"/>
      <c r="P69"/>
      <c r="Q69"/>
      <c r="R6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row>
    <row r="70" spans="1:101">
      <c r="A70" s="151" t="s">
        <v>396</v>
      </c>
      <c r="B70" s="151" t="s">
        <v>387</v>
      </c>
      <c r="C70" s="152">
        <v>0</v>
      </c>
      <c r="D70" s="153">
        <v>15</v>
      </c>
      <c r="E70" s="154">
        <v>0</v>
      </c>
      <c r="F70" s="155"/>
      <c r="G70" s="156" t="s">
        <v>450</v>
      </c>
      <c r="H70" s="157">
        <v>0</v>
      </c>
      <c r="I70"/>
      <c r="J70"/>
      <c r="K70"/>
      <c r="L70"/>
      <c r="M70"/>
      <c r="N70"/>
      <c r="O70"/>
      <c r="P70"/>
      <c r="Q70"/>
      <c r="R70"/>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29"/>
      <c r="CC70" s="29"/>
      <c r="CD70" s="29"/>
      <c r="CE70" s="29"/>
      <c r="CF70" s="29"/>
      <c r="CG70" s="29"/>
      <c r="CH70" s="29"/>
      <c r="CI70" s="29"/>
      <c r="CJ70" s="29"/>
      <c r="CK70" s="29"/>
      <c r="CL70" s="29"/>
      <c r="CM70" s="29"/>
      <c r="CN70" s="29"/>
      <c r="CO70" s="29"/>
      <c r="CP70" s="29"/>
      <c r="CQ70" s="29"/>
      <c r="CR70" s="29"/>
      <c r="CS70" s="29"/>
      <c r="CT70" s="29"/>
      <c r="CU70" s="29"/>
      <c r="CV70" s="29"/>
      <c r="CW70" s="29"/>
    </row>
    <row r="71" spans="1:101">
      <c r="A71" s="151" t="s">
        <v>397</v>
      </c>
      <c r="B71" s="151" t="s">
        <v>387</v>
      </c>
      <c r="C71" s="152">
        <v>0</v>
      </c>
      <c r="D71" s="153">
        <v>15</v>
      </c>
      <c r="E71" s="154">
        <v>0</v>
      </c>
      <c r="F71" s="155"/>
      <c r="G71" s="156" t="s">
        <v>448</v>
      </c>
      <c r="H71" s="157">
        <v>0</v>
      </c>
      <c r="I71"/>
      <c r="J71"/>
      <c r="K71"/>
      <c r="L71"/>
      <c r="M71"/>
      <c r="N71"/>
      <c r="O71"/>
      <c r="P71"/>
      <c r="Q71"/>
      <c r="R71"/>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c r="CH71" s="29"/>
      <c r="CI71" s="29"/>
      <c r="CJ71" s="29"/>
      <c r="CK71" s="29"/>
      <c r="CL71" s="29"/>
      <c r="CM71" s="29"/>
      <c r="CN71" s="29"/>
      <c r="CO71" s="29"/>
      <c r="CP71" s="29"/>
      <c r="CQ71" s="29"/>
      <c r="CR71" s="29"/>
      <c r="CS71" s="29"/>
      <c r="CT71" s="29"/>
      <c r="CU71" s="29"/>
      <c r="CV71" s="29"/>
      <c r="CW71" s="29"/>
    </row>
    <row r="72" spans="1:101">
      <c r="A72" s="151" t="s">
        <v>398</v>
      </c>
      <c r="B72" s="151" t="s">
        <v>387</v>
      </c>
      <c r="C72" s="152">
        <v>0</v>
      </c>
      <c r="D72" s="153">
        <v>15</v>
      </c>
      <c r="E72" s="154">
        <v>0</v>
      </c>
      <c r="F72" s="155"/>
      <c r="G72" s="156" t="s">
        <v>449</v>
      </c>
      <c r="H72" s="157">
        <v>0</v>
      </c>
      <c r="I72"/>
      <c r="J72"/>
      <c r="K72"/>
      <c r="L72"/>
      <c r="M72"/>
      <c r="N72"/>
      <c r="O72"/>
      <c r="P72"/>
      <c r="Q72"/>
      <c r="R72"/>
      <c r="AY72" s="29"/>
      <c r="AZ72" s="29"/>
      <c r="BA72" s="29"/>
      <c r="BB72" s="29"/>
      <c r="BC72" s="29"/>
      <c r="BD72" s="29"/>
      <c r="BE72" s="29"/>
      <c r="BF72" s="29"/>
      <c r="BG72" s="29"/>
      <c r="BH72" s="29"/>
      <c r="BI72" s="29"/>
      <c r="BJ72" s="29"/>
      <c r="BK72" s="29"/>
      <c r="BL72" s="29"/>
      <c r="BM72" s="29"/>
      <c r="BN72" s="29"/>
      <c r="BO72" s="29"/>
      <c r="BP72" s="29"/>
      <c r="BQ72" s="29"/>
      <c r="BR72" s="29"/>
      <c r="BS72" s="29"/>
      <c r="BT72" s="29"/>
      <c r="BU72" s="29"/>
      <c r="BV72" s="29"/>
      <c r="BW72" s="29"/>
      <c r="BX72" s="29"/>
      <c r="BY72" s="29"/>
      <c r="BZ72" s="29"/>
      <c r="CA72" s="29"/>
      <c r="CB72" s="29"/>
      <c r="CC72" s="29"/>
      <c r="CD72" s="29"/>
      <c r="CE72" s="29"/>
      <c r="CF72" s="29"/>
      <c r="CG72" s="29"/>
      <c r="CH72" s="29"/>
      <c r="CI72" s="29"/>
      <c r="CJ72" s="29"/>
      <c r="CK72" s="29"/>
      <c r="CL72" s="29"/>
      <c r="CM72" s="29"/>
      <c r="CN72" s="29"/>
      <c r="CO72" s="29"/>
      <c r="CP72" s="29"/>
      <c r="CQ72" s="29"/>
      <c r="CR72" s="29"/>
      <c r="CS72" s="29"/>
      <c r="CT72" s="29"/>
      <c r="CU72" s="29"/>
      <c r="CV72" s="29"/>
      <c r="CW72" s="29"/>
    </row>
    <row r="73" spans="1:101">
      <c r="A73" s="151" t="s">
        <v>399</v>
      </c>
      <c r="B73" s="151" t="s">
        <v>387</v>
      </c>
      <c r="C73" s="152">
        <v>0</v>
      </c>
      <c r="D73" s="153">
        <v>15</v>
      </c>
      <c r="E73" s="154">
        <v>0</v>
      </c>
      <c r="F73" s="155"/>
      <c r="G73" s="156" t="s">
        <v>450</v>
      </c>
      <c r="H73" s="157">
        <v>0</v>
      </c>
      <c r="I73"/>
      <c r="J73"/>
      <c r="K73"/>
      <c r="L73"/>
      <c r="M73"/>
      <c r="N73"/>
      <c r="O73"/>
      <c r="P73"/>
      <c r="Q73"/>
      <c r="R73"/>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29"/>
      <c r="CC73" s="29"/>
      <c r="CD73" s="29"/>
      <c r="CE73" s="29"/>
      <c r="CF73" s="29"/>
      <c r="CG73" s="29"/>
      <c r="CH73" s="29"/>
      <c r="CI73" s="29"/>
      <c r="CJ73" s="29"/>
      <c r="CK73" s="29"/>
      <c r="CL73" s="29"/>
      <c r="CM73" s="29"/>
      <c r="CN73" s="29"/>
      <c r="CO73" s="29"/>
      <c r="CP73" s="29"/>
      <c r="CQ73" s="29"/>
      <c r="CR73" s="29"/>
      <c r="CS73" s="29"/>
      <c r="CT73" s="29"/>
      <c r="CU73" s="29"/>
      <c r="CV73" s="29"/>
      <c r="CW73" s="29"/>
    </row>
    <row r="74" spans="1:101">
      <c r="A74" s="158" t="s">
        <v>400</v>
      </c>
      <c r="B74" s="151" t="s">
        <v>387</v>
      </c>
      <c r="C74" s="152">
        <v>-137.82461431953399</v>
      </c>
      <c r="D74" s="153">
        <v>15</v>
      </c>
      <c r="E74" s="154">
        <v>0</v>
      </c>
      <c r="F74" s="155"/>
      <c r="G74" s="156" t="s">
        <v>448</v>
      </c>
      <c r="H74" s="157">
        <v>11.217675837393347</v>
      </c>
      <c r="I74"/>
      <c r="J74"/>
      <c r="K74"/>
      <c r="L74"/>
      <c r="M74"/>
      <c r="N74"/>
      <c r="O74"/>
      <c r="P74"/>
      <c r="Q74"/>
      <c r="R74"/>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X74" s="29"/>
      <c r="BY74" s="29"/>
      <c r="BZ74" s="29"/>
      <c r="CA74" s="29"/>
      <c r="CB74" s="29"/>
      <c r="CC74" s="29"/>
      <c r="CD74" s="29"/>
      <c r="CE74" s="29"/>
      <c r="CF74" s="29"/>
      <c r="CG74" s="29"/>
      <c r="CH74" s="29"/>
      <c r="CI74" s="29"/>
      <c r="CJ74" s="29"/>
      <c r="CK74" s="29"/>
      <c r="CL74" s="29"/>
      <c r="CM74" s="29"/>
      <c r="CN74" s="29"/>
      <c r="CO74" s="29"/>
      <c r="CP74" s="29"/>
      <c r="CQ74" s="29"/>
      <c r="CR74" s="29"/>
      <c r="CS74" s="29"/>
      <c r="CT74" s="29"/>
      <c r="CU74" s="29"/>
      <c r="CV74" s="29"/>
      <c r="CW74" s="29"/>
    </row>
    <row r="75" spans="1:101">
      <c r="A75" s="158" t="s">
        <v>401</v>
      </c>
      <c r="B75" s="151" t="s">
        <v>387</v>
      </c>
      <c r="C75" s="152">
        <v>-113.30920271946417</v>
      </c>
      <c r="D75" s="153">
        <v>15</v>
      </c>
      <c r="E75" s="154">
        <v>0</v>
      </c>
      <c r="F75" s="155"/>
      <c r="G75" s="156" t="s">
        <v>449</v>
      </c>
      <c r="H75" s="157">
        <v>9.2223432786366129</v>
      </c>
      <c r="I75"/>
      <c r="J75"/>
      <c r="K75"/>
      <c r="L75"/>
      <c r="M75"/>
      <c r="N75"/>
      <c r="O75"/>
      <c r="P75"/>
      <c r="Q75"/>
      <c r="R75"/>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c r="CH75" s="29"/>
      <c r="CI75" s="29"/>
      <c r="CJ75" s="29"/>
      <c r="CK75" s="29"/>
      <c r="CL75" s="29"/>
      <c r="CM75" s="29"/>
      <c r="CN75" s="29"/>
      <c r="CO75" s="29"/>
      <c r="CP75" s="29"/>
      <c r="CQ75" s="29"/>
      <c r="CR75" s="29"/>
      <c r="CS75" s="29"/>
      <c r="CT75" s="29"/>
      <c r="CU75" s="29"/>
      <c r="CV75" s="29"/>
      <c r="CW75" s="29"/>
    </row>
    <row r="76" spans="1:101">
      <c r="A76" s="158" t="s">
        <v>402</v>
      </c>
      <c r="B76" s="151" t="s">
        <v>387</v>
      </c>
      <c r="C76" s="152">
        <v>0</v>
      </c>
      <c r="D76" s="153">
        <v>15</v>
      </c>
      <c r="E76" s="154">
        <v>0</v>
      </c>
      <c r="F76" s="155"/>
      <c r="G76" s="156" t="s">
        <v>450</v>
      </c>
      <c r="H76" s="157">
        <v>0</v>
      </c>
      <c r="I76"/>
      <c r="J76"/>
      <c r="K76"/>
      <c r="L76"/>
      <c r="M76"/>
      <c r="N76"/>
      <c r="O76"/>
      <c r="P76"/>
      <c r="Q76"/>
      <c r="R76"/>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c r="CH76" s="29"/>
      <c r="CI76" s="29"/>
      <c r="CJ76" s="29"/>
      <c r="CK76" s="29"/>
      <c r="CL76" s="29"/>
      <c r="CM76" s="29"/>
      <c r="CN76" s="29"/>
      <c r="CO76" s="29"/>
      <c r="CP76" s="29"/>
      <c r="CQ76" s="29"/>
      <c r="CR76" s="29"/>
      <c r="CS76" s="29"/>
      <c r="CT76" s="29"/>
      <c r="CU76" s="29"/>
      <c r="CV76" s="29"/>
      <c r="CW76" s="29"/>
    </row>
    <row r="77" spans="1:101">
      <c r="A77" s="158" t="s">
        <v>403</v>
      </c>
      <c r="B77" s="151" t="s">
        <v>387</v>
      </c>
      <c r="C77" s="152">
        <v>-137.82461431953399</v>
      </c>
      <c r="D77" s="153">
        <v>15</v>
      </c>
      <c r="E77" s="154">
        <v>0</v>
      </c>
      <c r="F77" s="155"/>
      <c r="G77" s="156" t="s">
        <v>448</v>
      </c>
      <c r="H77" s="157">
        <v>11.217675837393347</v>
      </c>
      <c r="I77"/>
      <c r="J77"/>
      <c r="K77"/>
      <c r="L77"/>
      <c r="M77"/>
      <c r="N77"/>
      <c r="O77"/>
      <c r="P77"/>
      <c r="Q77"/>
      <c r="R77"/>
      <c r="AY77" s="29"/>
      <c r="AZ77" s="29"/>
      <c r="BA77" s="29"/>
      <c r="BB77" s="29"/>
      <c r="BC77" s="29"/>
      <c r="BD77" s="29"/>
      <c r="BE77" s="29"/>
      <c r="BF77" s="29"/>
      <c r="BG77" s="29"/>
      <c r="BH77" s="29"/>
      <c r="BI77" s="29"/>
      <c r="BJ77" s="29"/>
      <c r="BK77" s="29"/>
      <c r="BL77" s="29"/>
      <c r="BM77" s="29"/>
      <c r="BN77" s="29"/>
      <c r="BO77" s="29"/>
      <c r="BP77" s="29"/>
      <c r="BQ77" s="29"/>
      <c r="BR77" s="29"/>
      <c r="BS77" s="29"/>
      <c r="BT77" s="29"/>
      <c r="BU77" s="29"/>
      <c r="BV77" s="29"/>
      <c r="BW77" s="29"/>
      <c r="BX77" s="29"/>
      <c r="BY77" s="29"/>
      <c r="BZ77" s="29"/>
      <c r="CA77" s="29"/>
      <c r="CB77" s="29"/>
      <c r="CC77" s="29"/>
      <c r="CD77" s="29"/>
      <c r="CE77" s="29"/>
      <c r="CF77" s="29"/>
      <c r="CG77" s="29"/>
      <c r="CH77" s="29"/>
      <c r="CI77" s="29"/>
      <c r="CJ77" s="29"/>
      <c r="CK77" s="29"/>
      <c r="CL77" s="29"/>
      <c r="CM77" s="29"/>
      <c r="CN77" s="29"/>
      <c r="CO77" s="29"/>
      <c r="CP77" s="29"/>
      <c r="CQ77" s="29"/>
      <c r="CR77" s="29"/>
      <c r="CS77" s="29"/>
      <c r="CT77" s="29"/>
      <c r="CU77" s="29"/>
      <c r="CV77" s="29"/>
      <c r="CW77" s="29"/>
    </row>
    <row r="78" spans="1:101">
      <c r="A78" s="158" t="s">
        <v>404</v>
      </c>
      <c r="B78" s="151" t="s">
        <v>387</v>
      </c>
      <c r="C78" s="152">
        <v>-113.30920271946417</v>
      </c>
      <c r="D78" s="153">
        <v>15</v>
      </c>
      <c r="E78" s="154">
        <v>0</v>
      </c>
      <c r="F78" s="155"/>
      <c r="G78" s="156" t="s">
        <v>449</v>
      </c>
      <c r="H78" s="157">
        <v>9.2223432786366129</v>
      </c>
      <c r="I78"/>
      <c r="J78"/>
      <c r="K78"/>
      <c r="L78"/>
      <c r="M78"/>
      <c r="N78"/>
      <c r="O78"/>
      <c r="P78"/>
      <c r="Q78"/>
      <c r="R78"/>
      <c r="AY78" s="29"/>
      <c r="AZ78" s="29"/>
      <c r="BA78" s="29"/>
      <c r="BB78" s="29"/>
      <c r="BC78" s="29"/>
      <c r="BD78" s="29"/>
      <c r="BE78" s="29"/>
      <c r="BF78" s="29"/>
      <c r="BG78" s="29"/>
      <c r="BH78" s="29"/>
      <c r="BI78" s="29"/>
      <c r="BJ78" s="29"/>
      <c r="BK78" s="29"/>
      <c r="BL78" s="29"/>
      <c r="BM78" s="29"/>
      <c r="BN78" s="29"/>
      <c r="BO78" s="29"/>
      <c r="BP78" s="29"/>
      <c r="BQ78" s="29"/>
      <c r="BR78" s="29"/>
      <c r="BS78" s="29"/>
      <c r="BT78" s="29"/>
      <c r="BU78" s="29"/>
      <c r="BV78" s="29"/>
      <c r="BW78" s="29"/>
      <c r="BX78" s="29"/>
      <c r="BY78" s="29"/>
      <c r="BZ78" s="29"/>
      <c r="CA78" s="29"/>
      <c r="CB78" s="29"/>
      <c r="CC78" s="29"/>
      <c r="CD78" s="29"/>
      <c r="CE78" s="29"/>
      <c r="CF78" s="29"/>
      <c r="CG78" s="29"/>
      <c r="CH78" s="29"/>
      <c r="CI78" s="29"/>
      <c r="CJ78" s="29"/>
      <c r="CK78" s="29"/>
      <c r="CL78" s="29"/>
      <c r="CM78" s="29"/>
      <c r="CN78" s="29"/>
      <c r="CO78" s="29"/>
      <c r="CP78" s="29"/>
      <c r="CQ78" s="29"/>
      <c r="CR78" s="29"/>
      <c r="CS78" s="29"/>
      <c r="CT78" s="29"/>
      <c r="CU78" s="29"/>
      <c r="CV78" s="29"/>
      <c r="CW78" s="29"/>
    </row>
    <row r="79" spans="1:101">
      <c r="A79" s="158" t="s">
        <v>405</v>
      </c>
      <c r="B79" s="151" t="s">
        <v>387</v>
      </c>
      <c r="C79" s="152">
        <v>0</v>
      </c>
      <c r="D79" s="153">
        <v>15</v>
      </c>
      <c r="E79" s="154">
        <v>0</v>
      </c>
      <c r="F79" s="155"/>
      <c r="G79" s="156" t="s">
        <v>450</v>
      </c>
      <c r="H79" s="157">
        <v>0</v>
      </c>
      <c r="I79"/>
      <c r="J79"/>
      <c r="K79"/>
      <c r="L79"/>
      <c r="M79"/>
      <c r="N79"/>
      <c r="O79"/>
      <c r="P79"/>
      <c r="Q79"/>
      <c r="R79"/>
      <c r="AY79" s="29"/>
      <c r="AZ79" s="29"/>
      <c r="BA79" s="29"/>
      <c r="BB79" s="29"/>
      <c r="BC79" s="29"/>
      <c r="BD79" s="29"/>
      <c r="BE79" s="29"/>
      <c r="BF79" s="29"/>
      <c r="BG79" s="29"/>
      <c r="BH79" s="29"/>
      <c r="BI79" s="29"/>
      <c r="BJ79" s="29"/>
      <c r="BK79" s="29"/>
      <c r="BL79" s="29"/>
      <c r="BM79" s="29"/>
      <c r="BN79" s="29"/>
      <c r="BO79" s="29"/>
      <c r="BP79" s="29"/>
      <c r="BQ79" s="29"/>
      <c r="BR79" s="29"/>
      <c r="BS79" s="29"/>
      <c r="BT79" s="29"/>
      <c r="BU79" s="29"/>
      <c r="BV79" s="29"/>
      <c r="BW79" s="29"/>
      <c r="BX79" s="29"/>
      <c r="BY79" s="29"/>
      <c r="BZ79" s="29"/>
      <c r="CA79" s="29"/>
      <c r="CB79" s="29"/>
      <c r="CC79" s="29"/>
      <c r="CD79" s="29"/>
      <c r="CE79" s="29"/>
      <c r="CF79" s="29"/>
      <c r="CG79" s="29"/>
      <c r="CH79" s="29"/>
      <c r="CI79" s="29"/>
      <c r="CJ79" s="29"/>
      <c r="CK79" s="29"/>
      <c r="CL79" s="29"/>
      <c r="CM79" s="29"/>
      <c r="CN79" s="29"/>
      <c r="CO79" s="29"/>
      <c r="CP79" s="29"/>
      <c r="CQ79" s="29"/>
      <c r="CR79" s="29"/>
      <c r="CS79" s="29"/>
      <c r="CT79" s="29"/>
      <c r="CU79" s="29"/>
      <c r="CV79" s="29"/>
      <c r="CW79" s="29"/>
    </row>
    <row r="80" spans="1:101">
      <c r="A80" s="158" t="s">
        <v>406</v>
      </c>
      <c r="B80" s="151" t="s">
        <v>387</v>
      </c>
      <c r="C80" s="152">
        <v>-137.82461431953399</v>
      </c>
      <c r="D80" s="153">
        <v>15</v>
      </c>
      <c r="E80" s="154">
        <v>0</v>
      </c>
      <c r="F80" s="155"/>
      <c r="G80" s="156" t="s">
        <v>448</v>
      </c>
      <c r="H80" s="157">
        <v>11.217675837393347</v>
      </c>
      <c r="I80"/>
      <c r="J80"/>
      <c r="K80"/>
      <c r="L80"/>
      <c r="M80"/>
      <c r="N80"/>
      <c r="O80"/>
      <c r="P80"/>
      <c r="Q80"/>
      <c r="R80"/>
      <c r="AY80" s="29"/>
      <c r="AZ80" s="29"/>
      <c r="BA80" s="29"/>
      <c r="BB80" s="29"/>
      <c r="BC80" s="29"/>
      <c r="BD80" s="29"/>
      <c r="BE80" s="29"/>
      <c r="BF80" s="29"/>
      <c r="BG80" s="29"/>
      <c r="BH80" s="29"/>
      <c r="BI80" s="29"/>
      <c r="BJ80" s="29"/>
      <c r="BK80" s="29"/>
      <c r="BL80" s="29"/>
      <c r="BM80" s="29"/>
      <c r="BN80" s="29"/>
      <c r="BO80" s="29"/>
      <c r="BP80" s="29"/>
      <c r="BQ80" s="29"/>
      <c r="BR80" s="29"/>
      <c r="BS80" s="29"/>
      <c r="BT80" s="29"/>
      <c r="BU80" s="29"/>
      <c r="BV80" s="29"/>
      <c r="BW80" s="29"/>
      <c r="BX80" s="29"/>
      <c r="BY80" s="29"/>
      <c r="BZ80" s="29"/>
      <c r="CA80" s="29"/>
      <c r="CB80" s="29"/>
      <c r="CC80" s="29"/>
      <c r="CD80" s="29"/>
      <c r="CE80" s="29"/>
      <c r="CF80" s="29"/>
      <c r="CG80" s="29"/>
      <c r="CH80" s="29"/>
      <c r="CI80" s="29"/>
      <c r="CJ80" s="29"/>
      <c r="CK80" s="29"/>
      <c r="CL80" s="29"/>
      <c r="CM80" s="29"/>
      <c r="CN80" s="29"/>
      <c r="CO80" s="29"/>
      <c r="CP80" s="29"/>
      <c r="CQ80" s="29"/>
      <c r="CR80" s="29"/>
      <c r="CS80" s="29"/>
      <c r="CT80" s="29"/>
      <c r="CU80" s="29"/>
      <c r="CV80" s="29"/>
      <c r="CW80" s="29"/>
    </row>
    <row r="81" spans="1:101">
      <c r="A81" s="158" t="s">
        <v>407</v>
      </c>
      <c r="B81" s="151" t="s">
        <v>387</v>
      </c>
      <c r="C81" s="152">
        <v>-113.30920271946417</v>
      </c>
      <c r="D81" s="153">
        <v>15</v>
      </c>
      <c r="E81" s="154">
        <v>0</v>
      </c>
      <c r="F81" s="155"/>
      <c r="G81" s="156" t="s">
        <v>449</v>
      </c>
      <c r="H81" s="157">
        <v>9.2223432786366129</v>
      </c>
      <c r="I81"/>
      <c r="J81"/>
      <c r="K81"/>
      <c r="L81"/>
      <c r="M81"/>
      <c r="N81"/>
      <c r="O81"/>
      <c r="P81"/>
      <c r="Q81"/>
      <c r="R81"/>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29"/>
      <c r="CC81" s="29"/>
      <c r="CD81" s="29"/>
      <c r="CE81" s="29"/>
      <c r="CF81" s="29"/>
      <c r="CG81" s="29"/>
      <c r="CH81" s="29"/>
      <c r="CI81" s="29"/>
      <c r="CJ81" s="29"/>
      <c r="CK81" s="29"/>
      <c r="CL81" s="29"/>
      <c r="CM81" s="29"/>
      <c r="CN81" s="29"/>
      <c r="CO81" s="29"/>
      <c r="CP81" s="29"/>
      <c r="CQ81" s="29"/>
      <c r="CR81" s="29"/>
      <c r="CS81" s="29"/>
      <c r="CT81" s="29"/>
      <c r="CU81" s="29"/>
      <c r="CV81" s="29"/>
      <c r="CW81" s="29"/>
    </row>
    <row r="82" spans="1:101">
      <c r="A82" s="158" t="s">
        <v>408</v>
      </c>
      <c r="B82" s="151" t="s">
        <v>387</v>
      </c>
      <c r="C82" s="152">
        <v>0</v>
      </c>
      <c r="D82" s="153">
        <v>15</v>
      </c>
      <c r="E82" s="154">
        <v>0</v>
      </c>
      <c r="F82" s="155"/>
      <c r="G82" s="156" t="s">
        <v>450</v>
      </c>
      <c r="H82" s="157">
        <v>0</v>
      </c>
      <c r="I82"/>
      <c r="J82"/>
      <c r="K82"/>
      <c r="L82"/>
      <c r="M82"/>
      <c r="N82"/>
      <c r="O82"/>
      <c r="P82"/>
      <c r="Q82"/>
      <c r="R82"/>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c r="CH82" s="29"/>
      <c r="CI82" s="29"/>
      <c r="CJ82" s="29"/>
      <c r="CK82" s="29"/>
      <c r="CL82" s="29"/>
      <c r="CM82" s="29"/>
      <c r="CN82" s="29"/>
      <c r="CO82" s="29"/>
      <c r="CP82" s="29"/>
      <c r="CQ82" s="29"/>
      <c r="CR82" s="29"/>
      <c r="CS82" s="29"/>
      <c r="CT82" s="29"/>
      <c r="CU82" s="29"/>
      <c r="CV82" s="29"/>
      <c r="CW82" s="29"/>
    </row>
    <row r="83" spans="1:101">
      <c r="A83" s="158" t="s">
        <v>409</v>
      </c>
      <c r="B83" s="151" t="s">
        <v>387</v>
      </c>
      <c r="C83" s="152">
        <v>-137.82461431953399</v>
      </c>
      <c r="D83" s="153">
        <v>15</v>
      </c>
      <c r="E83" s="154">
        <v>0</v>
      </c>
      <c r="F83" s="159"/>
      <c r="G83" s="156" t="s">
        <v>448</v>
      </c>
      <c r="H83" s="157">
        <v>11.217675837393347</v>
      </c>
      <c r="I83"/>
      <c r="J83"/>
      <c r="K83"/>
      <c r="L83"/>
      <c r="M83"/>
      <c r="N83"/>
      <c r="O83"/>
      <c r="P83"/>
      <c r="Q83"/>
      <c r="R83"/>
    </row>
    <row r="84" spans="1:101">
      <c r="A84" s="158" t="s">
        <v>410</v>
      </c>
      <c r="B84" s="151" t="s">
        <v>387</v>
      </c>
      <c r="C84" s="152">
        <v>-113.30920271946417</v>
      </c>
      <c r="D84" s="153">
        <v>15</v>
      </c>
      <c r="E84" s="154">
        <v>0</v>
      </c>
      <c r="F84" s="159"/>
      <c r="G84" s="156" t="s">
        <v>449</v>
      </c>
      <c r="H84" s="157">
        <v>9.2223432786366129</v>
      </c>
      <c r="I84"/>
      <c r="J84"/>
      <c r="K84"/>
      <c r="L84"/>
      <c r="M84"/>
      <c r="N84"/>
      <c r="O84"/>
      <c r="P84"/>
      <c r="Q84"/>
      <c r="R84"/>
    </row>
    <row r="85" spans="1:101">
      <c r="A85" s="158" t="s">
        <v>411</v>
      </c>
      <c r="B85" s="151" t="s">
        <v>387</v>
      </c>
      <c r="C85" s="152">
        <v>0</v>
      </c>
      <c r="D85" s="153">
        <v>15</v>
      </c>
      <c r="E85" s="154">
        <v>0</v>
      </c>
      <c r="F85" s="159"/>
      <c r="G85" s="156" t="s">
        <v>450</v>
      </c>
      <c r="H85" s="157">
        <v>0</v>
      </c>
      <c r="I85"/>
      <c r="J85"/>
      <c r="K85"/>
      <c r="L85"/>
      <c r="M85"/>
      <c r="N85"/>
      <c r="O85"/>
      <c r="P85"/>
      <c r="Q85"/>
      <c r="R85"/>
    </row>
    <row r="86" spans="1:101">
      <c r="A86" s="158" t="s">
        <v>412</v>
      </c>
      <c r="B86" s="151" t="s">
        <v>387</v>
      </c>
      <c r="C86" s="152">
        <v>-137.82461431953399</v>
      </c>
      <c r="D86" s="153">
        <v>15</v>
      </c>
      <c r="E86" s="154">
        <v>0</v>
      </c>
      <c r="F86" s="159"/>
      <c r="G86" s="156" t="s">
        <v>448</v>
      </c>
      <c r="H86" s="157">
        <v>11.217675837393347</v>
      </c>
      <c r="I86"/>
      <c r="J86"/>
      <c r="K86"/>
      <c r="L86"/>
      <c r="M86"/>
      <c r="N86"/>
      <c r="O86"/>
      <c r="P86"/>
      <c r="Q86"/>
      <c r="R86"/>
    </row>
    <row r="87" spans="1:101">
      <c r="A87" s="158" t="s">
        <v>413</v>
      </c>
      <c r="B87" s="151" t="s">
        <v>387</v>
      </c>
      <c r="C87" s="152">
        <v>-113.30920271946417</v>
      </c>
      <c r="D87" s="153">
        <v>15</v>
      </c>
      <c r="E87" s="154">
        <v>0</v>
      </c>
      <c r="F87" s="159"/>
      <c r="G87" s="156" t="s">
        <v>449</v>
      </c>
      <c r="H87" s="157">
        <v>9.2223432786366129</v>
      </c>
      <c r="I87"/>
      <c r="J87"/>
      <c r="K87"/>
      <c r="L87"/>
      <c r="M87"/>
      <c r="N87"/>
      <c r="O87"/>
      <c r="P87"/>
      <c r="Q87"/>
      <c r="R87"/>
    </row>
    <row r="88" spans="1:101">
      <c r="A88" s="158" t="s">
        <v>414</v>
      </c>
      <c r="B88" s="151" t="s">
        <v>387</v>
      </c>
      <c r="C88" s="152">
        <v>0</v>
      </c>
      <c r="D88" s="153">
        <v>15</v>
      </c>
      <c r="E88" s="154">
        <v>0</v>
      </c>
      <c r="F88" s="159"/>
      <c r="G88" s="156" t="s">
        <v>450</v>
      </c>
      <c r="H88" s="157">
        <v>0</v>
      </c>
      <c r="I88"/>
      <c r="J88"/>
      <c r="K88"/>
      <c r="L88"/>
      <c r="M88"/>
      <c r="N88"/>
      <c r="O88"/>
      <c r="P88"/>
      <c r="Q88"/>
      <c r="R88"/>
    </row>
    <row r="89" spans="1:101">
      <c r="A89" s="158" t="s">
        <v>415</v>
      </c>
      <c r="B89" s="151" t="s">
        <v>387</v>
      </c>
      <c r="C89" s="152">
        <v>-137.82461431953399</v>
      </c>
      <c r="D89" s="153">
        <v>15</v>
      </c>
      <c r="E89" s="154">
        <v>0</v>
      </c>
      <c r="F89" s="159"/>
      <c r="G89" s="156" t="s">
        <v>448</v>
      </c>
      <c r="H89" s="157">
        <v>11.217675837393347</v>
      </c>
      <c r="I89"/>
      <c r="J89"/>
      <c r="K89"/>
      <c r="L89"/>
      <c r="M89"/>
      <c r="N89"/>
      <c r="O89"/>
      <c r="P89"/>
      <c r="Q89"/>
      <c r="R89"/>
    </row>
    <row r="90" spans="1:101">
      <c r="A90" s="158" t="s">
        <v>416</v>
      </c>
      <c r="B90" s="151" t="s">
        <v>387</v>
      </c>
      <c r="C90" s="152">
        <v>-113.30920271946417</v>
      </c>
      <c r="D90" s="153">
        <v>15</v>
      </c>
      <c r="E90" s="154">
        <v>0</v>
      </c>
      <c r="F90" s="159"/>
      <c r="G90" s="156" t="s">
        <v>449</v>
      </c>
      <c r="H90" s="157">
        <v>9.2223432786366129</v>
      </c>
      <c r="I90"/>
      <c r="J90"/>
      <c r="K90"/>
      <c r="L90"/>
      <c r="M90"/>
      <c r="N90"/>
      <c r="O90"/>
      <c r="P90"/>
      <c r="Q90"/>
      <c r="R90"/>
    </row>
    <row r="91" spans="1:101">
      <c r="A91" s="158" t="s">
        <v>417</v>
      </c>
      <c r="B91" s="151" t="s">
        <v>387</v>
      </c>
      <c r="C91" s="152">
        <v>0</v>
      </c>
      <c r="D91" s="153">
        <v>15</v>
      </c>
      <c r="E91" s="154">
        <v>0</v>
      </c>
      <c r="F91" s="159"/>
      <c r="G91" s="156" t="s">
        <v>450</v>
      </c>
      <c r="H91" s="157">
        <v>0</v>
      </c>
      <c r="I91"/>
      <c r="J91"/>
      <c r="K91"/>
      <c r="L91"/>
      <c r="M91"/>
      <c r="N91"/>
      <c r="O91"/>
      <c r="P91"/>
      <c r="Q91"/>
      <c r="R91"/>
    </row>
    <row r="92" spans="1:101">
      <c r="A92" s="158" t="s">
        <v>418</v>
      </c>
      <c r="B92" s="151" t="s">
        <v>387</v>
      </c>
      <c r="C92" s="152">
        <v>-137.82461431953399</v>
      </c>
      <c r="D92" s="153">
        <v>15</v>
      </c>
      <c r="E92" s="154">
        <v>0</v>
      </c>
      <c r="F92" s="159"/>
      <c r="G92" s="156" t="s">
        <v>448</v>
      </c>
      <c r="H92" s="157">
        <v>11.217675837393347</v>
      </c>
      <c r="I92"/>
      <c r="J92"/>
      <c r="K92"/>
      <c r="L92"/>
      <c r="M92"/>
      <c r="N92"/>
      <c r="O92"/>
      <c r="P92"/>
      <c r="Q92"/>
      <c r="R92"/>
    </row>
    <row r="93" spans="1:101">
      <c r="A93" s="158" t="s">
        <v>419</v>
      </c>
      <c r="B93" s="151" t="s">
        <v>387</v>
      </c>
      <c r="C93" s="152">
        <v>-113.30920271946417</v>
      </c>
      <c r="D93" s="153">
        <v>15</v>
      </c>
      <c r="E93" s="154">
        <v>0</v>
      </c>
      <c r="F93" s="159"/>
      <c r="G93" s="156" t="s">
        <v>449</v>
      </c>
      <c r="H93" s="157">
        <v>9.2223432786366129</v>
      </c>
      <c r="I93"/>
      <c r="J93"/>
      <c r="K93"/>
      <c r="L93"/>
      <c r="M93"/>
      <c r="N93"/>
      <c r="O93"/>
      <c r="P93"/>
      <c r="Q93"/>
      <c r="R93"/>
    </row>
    <row r="94" spans="1:101">
      <c r="A94" s="158" t="s">
        <v>420</v>
      </c>
      <c r="B94" s="151" t="s">
        <v>387</v>
      </c>
      <c r="C94" s="152">
        <v>0</v>
      </c>
      <c r="D94" s="153">
        <v>15</v>
      </c>
      <c r="E94" s="154">
        <v>0</v>
      </c>
      <c r="F94" s="159"/>
      <c r="G94" s="156" t="s">
        <v>450</v>
      </c>
      <c r="H94" s="157">
        <v>0</v>
      </c>
      <c r="I94"/>
      <c r="J94"/>
      <c r="K94"/>
      <c r="L94"/>
      <c r="M94"/>
      <c r="N94"/>
      <c r="O94"/>
      <c r="P94"/>
      <c r="Q94"/>
      <c r="R94"/>
    </row>
    <row r="95" spans="1:101">
      <c r="A95" s="158" t="s">
        <v>421</v>
      </c>
      <c r="B95" s="151" t="s">
        <v>387</v>
      </c>
      <c r="C95" s="152">
        <v>-137.82461431953399</v>
      </c>
      <c r="D95" s="153">
        <v>15</v>
      </c>
      <c r="E95" s="154">
        <v>0</v>
      </c>
      <c r="F95" s="159"/>
      <c r="G95" s="156" t="s">
        <v>448</v>
      </c>
      <c r="H95" s="157">
        <v>11.217675837393347</v>
      </c>
      <c r="I95"/>
      <c r="J95"/>
      <c r="K95"/>
      <c r="L95"/>
      <c r="M95"/>
      <c r="N95"/>
      <c r="O95"/>
      <c r="P95"/>
      <c r="Q95"/>
      <c r="R95"/>
    </row>
    <row r="96" spans="1:101">
      <c r="A96" s="158" t="s">
        <v>422</v>
      </c>
      <c r="B96" s="151" t="s">
        <v>387</v>
      </c>
      <c r="C96" s="152">
        <v>-113.30920271946417</v>
      </c>
      <c r="D96" s="153">
        <v>15</v>
      </c>
      <c r="E96" s="154">
        <v>0</v>
      </c>
      <c r="F96" s="159"/>
      <c r="G96" s="156" t="s">
        <v>449</v>
      </c>
      <c r="H96" s="157">
        <v>9.2223432786366129</v>
      </c>
      <c r="I96"/>
      <c r="J96"/>
      <c r="K96"/>
      <c r="L96"/>
      <c r="M96"/>
      <c r="N96"/>
      <c r="O96"/>
      <c r="P96"/>
      <c r="Q96"/>
      <c r="R96"/>
    </row>
    <row r="97" spans="1:18">
      <c r="A97" s="158" t="s">
        <v>423</v>
      </c>
      <c r="B97" s="151" t="s">
        <v>387</v>
      </c>
      <c r="C97" s="152">
        <v>0</v>
      </c>
      <c r="D97" s="153">
        <v>15</v>
      </c>
      <c r="E97" s="154">
        <v>0</v>
      </c>
      <c r="F97" s="159"/>
      <c r="G97" s="156" t="s">
        <v>450</v>
      </c>
      <c r="H97" s="157">
        <v>0</v>
      </c>
      <c r="I97"/>
      <c r="J97"/>
      <c r="K97"/>
      <c r="L97"/>
      <c r="M97"/>
      <c r="N97"/>
      <c r="O97"/>
      <c r="P97"/>
      <c r="Q97"/>
      <c r="R97"/>
    </row>
    <row r="98" spans="1:18">
      <c r="A98" s="158" t="s">
        <v>424</v>
      </c>
      <c r="B98" s="151" t="s">
        <v>387</v>
      </c>
      <c r="C98" s="152">
        <v>-137.82461431953399</v>
      </c>
      <c r="D98" s="153">
        <v>15</v>
      </c>
      <c r="E98" s="154">
        <v>0</v>
      </c>
      <c r="F98" s="159"/>
      <c r="G98" s="156" t="s">
        <v>448</v>
      </c>
      <c r="H98" s="157">
        <v>11.217675837393347</v>
      </c>
      <c r="I98"/>
      <c r="J98"/>
      <c r="K98"/>
      <c r="L98"/>
      <c r="M98"/>
      <c r="N98"/>
      <c r="O98"/>
      <c r="P98"/>
      <c r="Q98"/>
      <c r="R98"/>
    </row>
    <row r="99" spans="1:18">
      <c r="A99" s="158" t="s">
        <v>425</v>
      </c>
      <c r="B99" s="151" t="s">
        <v>387</v>
      </c>
      <c r="C99" s="152">
        <v>-113.30920271946417</v>
      </c>
      <c r="D99" s="153">
        <v>15</v>
      </c>
      <c r="E99" s="154">
        <v>0</v>
      </c>
      <c r="F99" s="159"/>
      <c r="G99" s="156" t="s">
        <v>449</v>
      </c>
      <c r="H99" s="157">
        <v>9.2223432786366129</v>
      </c>
      <c r="I99"/>
      <c r="J99"/>
      <c r="K99"/>
      <c r="L99"/>
      <c r="M99"/>
      <c r="N99"/>
      <c r="O99"/>
      <c r="P99"/>
      <c r="Q99"/>
      <c r="R99"/>
    </row>
    <row r="100" spans="1:18">
      <c r="A100" s="158" t="s">
        <v>426</v>
      </c>
      <c r="B100" s="151" t="s">
        <v>387</v>
      </c>
      <c r="C100" s="152">
        <v>0</v>
      </c>
      <c r="D100" s="153">
        <v>15</v>
      </c>
      <c r="E100" s="154">
        <v>0</v>
      </c>
      <c r="F100" s="159"/>
      <c r="G100" s="156" t="s">
        <v>450</v>
      </c>
      <c r="H100" s="157">
        <v>0</v>
      </c>
      <c r="I100"/>
      <c r="J100"/>
      <c r="K100"/>
      <c r="L100"/>
      <c r="M100"/>
      <c r="N100"/>
      <c r="O100"/>
      <c r="P100"/>
      <c r="Q100"/>
      <c r="R100"/>
    </row>
    <row r="101" spans="1:18">
      <c r="A101" s="158" t="s">
        <v>427</v>
      </c>
      <c r="B101" s="151" t="s">
        <v>387</v>
      </c>
      <c r="C101" s="152">
        <v>0</v>
      </c>
      <c r="D101" s="153">
        <v>15</v>
      </c>
      <c r="E101" s="154">
        <v>0</v>
      </c>
      <c r="F101" s="159"/>
      <c r="G101" s="156" t="s">
        <v>448</v>
      </c>
      <c r="H101" s="157">
        <v>0</v>
      </c>
      <c r="I101"/>
      <c r="J101"/>
      <c r="K101"/>
      <c r="L101"/>
      <c r="M101"/>
      <c r="N101"/>
      <c r="O101"/>
      <c r="P101"/>
      <c r="Q101"/>
      <c r="R101"/>
    </row>
    <row r="102" spans="1:18">
      <c r="A102" s="158" t="s">
        <v>428</v>
      </c>
      <c r="B102" s="151" t="s">
        <v>387</v>
      </c>
      <c r="C102" s="152">
        <v>0</v>
      </c>
      <c r="D102" s="153">
        <v>15</v>
      </c>
      <c r="E102" s="154">
        <v>0</v>
      </c>
      <c r="F102" s="159"/>
      <c r="G102" s="156" t="s">
        <v>449</v>
      </c>
      <c r="H102" s="157">
        <v>0</v>
      </c>
      <c r="I102"/>
      <c r="J102"/>
      <c r="K102"/>
      <c r="L102"/>
      <c r="M102"/>
      <c r="N102"/>
      <c r="O102"/>
      <c r="P102"/>
      <c r="Q102"/>
      <c r="R102"/>
    </row>
    <row r="103" spans="1:18">
      <c r="A103" s="158" t="s">
        <v>429</v>
      </c>
      <c r="B103" s="151" t="s">
        <v>387</v>
      </c>
      <c r="C103" s="152">
        <v>0</v>
      </c>
      <c r="D103" s="153">
        <v>15</v>
      </c>
      <c r="E103" s="154">
        <v>0</v>
      </c>
      <c r="F103" s="159"/>
      <c r="G103" s="156" t="s">
        <v>450</v>
      </c>
      <c r="H103" s="157">
        <v>0</v>
      </c>
      <c r="I103"/>
      <c r="J103"/>
      <c r="K103"/>
      <c r="L103"/>
      <c r="M103"/>
      <c r="N103"/>
      <c r="O103"/>
      <c r="P103"/>
      <c r="Q103"/>
      <c r="R103"/>
    </row>
    <row r="104" spans="1:18">
      <c r="A104" s="158" t="s">
        <v>430</v>
      </c>
      <c r="B104" s="151" t="s">
        <v>387</v>
      </c>
      <c r="C104" s="152">
        <v>63.646904412715216</v>
      </c>
      <c r="D104" s="153">
        <v>15</v>
      </c>
      <c r="E104" s="154">
        <v>0</v>
      </c>
      <c r="F104" s="159"/>
      <c r="G104" s="156" t="s">
        <v>448</v>
      </c>
      <c r="H104" s="157">
        <v>0</v>
      </c>
      <c r="I104"/>
      <c r="J104"/>
      <c r="K104"/>
      <c r="L104"/>
      <c r="M104"/>
      <c r="N104"/>
      <c r="O104"/>
      <c r="P104"/>
      <c r="Q104"/>
      <c r="R104"/>
    </row>
    <row r="105" spans="1:18">
      <c r="A105" s="158" t="s">
        <v>431</v>
      </c>
      <c r="B105" s="151" t="s">
        <v>387</v>
      </c>
      <c r="C105" s="152">
        <v>148.1378811331501</v>
      </c>
      <c r="D105" s="153">
        <v>15</v>
      </c>
      <c r="E105" s="154">
        <v>0</v>
      </c>
      <c r="F105" s="159"/>
      <c r="G105" s="156" t="s">
        <v>449</v>
      </c>
      <c r="H105" s="157">
        <v>0</v>
      </c>
      <c r="I105"/>
      <c r="J105"/>
      <c r="K105"/>
      <c r="L105"/>
      <c r="M105"/>
      <c r="N105"/>
      <c r="O105"/>
      <c r="P105"/>
      <c r="Q105"/>
      <c r="R105"/>
    </row>
    <row r="106" spans="1:18">
      <c r="A106" s="158" t="s">
        <v>432</v>
      </c>
      <c r="B106" s="151" t="s">
        <v>387</v>
      </c>
      <c r="C106" s="152">
        <v>248.28454951850256</v>
      </c>
      <c r="D106" s="153">
        <v>15</v>
      </c>
      <c r="E106" s="154">
        <v>0</v>
      </c>
      <c r="F106" s="159"/>
      <c r="G106" s="156" t="s">
        <v>450</v>
      </c>
      <c r="H106" s="157">
        <v>0</v>
      </c>
      <c r="I106"/>
      <c r="J106"/>
      <c r="K106"/>
      <c r="L106"/>
      <c r="M106"/>
      <c r="N106"/>
      <c r="O106"/>
      <c r="P106"/>
      <c r="Q106"/>
      <c r="R106"/>
    </row>
    <row r="107" spans="1:18">
      <c r="A107" s="158" t="s">
        <v>433</v>
      </c>
      <c r="B107" s="151" t="s">
        <v>387</v>
      </c>
      <c r="C107" s="152">
        <v>63.646904412715216</v>
      </c>
      <c r="D107" s="153">
        <v>15</v>
      </c>
      <c r="E107" s="154">
        <v>0</v>
      </c>
      <c r="F107" s="159"/>
      <c r="G107" s="156" t="s">
        <v>448</v>
      </c>
      <c r="H107" s="157">
        <v>0</v>
      </c>
      <c r="I107"/>
      <c r="J107"/>
      <c r="K107"/>
      <c r="L107"/>
      <c r="M107"/>
      <c r="N107"/>
      <c r="O107"/>
      <c r="P107"/>
      <c r="Q107"/>
      <c r="R107"/>
    </row>
    <row r="108" spans="1:18">
      <c r="A108" s="158" t="s">
        <v>434</v>
      </c>
      <c r="B108" s="151" t="s">
        <v>387</v>
      </c>
      <c r="C108" s="152">
        <v>148.1378811331501</v>
      </c>
      <c r="D108" s="153">
        <v>15</v>
      </c>
      <c r="E108" s="154">
        <v>0</v>
      </c>
      <c r="F108" s="159"/>
      <c r="G108" s="156" t="s">
        <v>449</v>
      </c>
      <c r="H108" s="157">
        <v>0</v>
      </c>
      <c r="I108"/>
      <c r="J108"/>
      <c r="K108"/>
      <c r="L108"/>
      <c r="M108"/>
      <c r="N108"/>
      <c r="O108"/>
      <c r="P108"/>
      <c r="Q108"/>
      <c r="R108"/>
    </row>
    <row r="109" spans="1:18">
      <c r="A109" s="158" t="s">
        <v>435</v>
      </c>
      <c r="B109" s="151" t="s">
        <v>387</v>
      </c>
      <c r="C109" s="152">
        <v>248.28454951850256</v>
      </c>
      <c r="D109" s="153">
        <v>15</v>
      </c>
      <c r="E109" s="154">
        <v>0</v>
      </c>
      <c r="F109" s="159"/>
      <c r="G109" s="156" t="s">
        <v>450</v>
      </c>
      <c r="H109" s="157">
        <v>0</v>
      </c>
      <c r="I109"/>
      <c r="J109"/>
      <c r="K109"/>
      <c r="L109"/>
      <c r="M109"/>
      <c r="N109"/>
      <c r="O109"/>
      <c r="P109"/>
      <c r="Q109"/>
      <c r="R109"/>
    </row>
    <row r="110" spans="1:18">
      <c r="A110" s="158" t="s">
        <v>436</v>
      </c>
      <c r="B110" s="151" t="s">
        <v>387</v>
      </c>
      <c r="C110" s="152">
        <v>63.646904412715216</v>
      </c>
      <c r="D110" s="153">
        <v>15</v>
      </c>
      <c r="E110" s="154">
        <v>0</v>
      </c>
      <c r="F110" s="159"/>
      <c r="G110" s="156" t="s">
        <v>448</v>
      </c>
      <c r="H110" s="157">
        <v>0</v>
      </c>
      <c r="I110"/>
      <c r="J110"/>
      <c r="K110"/>
      <c r="L110"/>
      <c r="M110"/>
      <c r="N110"/>
      <c r="O110"/>
      <c r="P110"/>
      <c r="Q110"/>
      <c r="R110"/>
    </row>
    <row r="111" spans="1:18">
      <c r="A111" s="158" t="s">
        <v>437</v>
      </c>
      <c r="B111" s="151" t="s">
        <v>387</v>
      </c>
      <c r="C111" s="152">
        <v>148.1378811331501</v>
      </c>
      <c r="D111" s="153">
        <v>15</v>
      </c>
      <c r="E111" s="154">
        <v>0</v>
      </c>
      <c r="F111" s="159"/>
      <c r="G111" s="156" t="s">
        <v>449</v>
      </c>
      <c r="H111" s="157">
        <v>0</v>
      </c>
      <c r="I111"/>
      <c r="J111"/>
      <c r="K111"/>
      <c r="L111"/>
      <c r="M111"/>
      <c r="N111"/>
      <c r="O111"/>
      <c r="P111"/>
      <c r="Q111"/>
      <c r="R111"/>
    </row>
    <row r="112" spans="1:18">
      <c r="A112" s="158" t="s">
        <v>438</v>
      </c>
      <c r="B112" s="151" t="s">
        <v>387</v>
      </c>
      <c r="C112" s="152">
        <v>248.28454951850256</v>
      </c>
      <c r="D112" s="153">
        <v>15</v>
      </c>
      <c r="E112" s="154">
        <v>0</v>
      </c>
      <c r="F112" s="159"/>
      <c r="G112" s="156" t="s">
        <v>916</v>
      </c>
      <c r="H112" s="157">
        <v>0</v>
      </c>
      <c r="I112"/>
      <c r="J112"/>
      <c r="K112"/>
      <c r="L112"/>
      <c r="M112"/>
      <c r="N112"/>
      <c r="O112"/>
      <c r="P112"/>
      <c r="Q112"/>
      <c r="R112"/>
    </row>
    <row r="113" spans="1:18">
      <c r="A113" s="158" t="s">
        <v>439</v>
      </c>
      <c r="B113" s="151" t="s">
        <v>387</v>
      </c>
      <c r="C113" s="152">
        <v>-32.124417637256897</v>
      </c>
      <c r="D113" s="153">
        <v>15</v>
      </c>
      <c r="E113" s="154">
        <v>0</v>
      </c>
      <c r="F113" s="159"/>
      <c r="G113" s="156" t="s">
        <v>916</v>
      </c>
      <c r="H113" s="157">
        <v>4.2672027323999426</v>
      </c>
      <c r="I113"/>
      <c r="J113"/>
      <c r="K113"/>
      <c r="L113"/>
      <c r="M113"/>
      <c r="N113"/>
      <c r="O113"/>
      <c r="P113"/>
      <c r="Q113"/>
      <c r="R113"/>
    </row>
    <row r="114" spans="1:18">
      <c r="A114" s="158" t="s">
        <v>440</v>
      </c>
      <c r="B114" s="151" t="s">
        <v>387</v>
      </c>
      <c r="C114" s="152">
        <v>-32.124417637256897</v>
      </c>
      <c r="D114" s="153">
        <v>15</v>
      </c>
      <c r="E114" s="154">
        <v>0</v>
      </c>
      <c r="F114" s="159"/>
      <c r="G114" s="156" t="s">
        <v>916</v>
      </c>
      <c r="H114" s="157">
        <v>4.2672027323999426</v>
      </c>
      <c r="I114"/>
      <c r="J114"/>
      <c r="K114"/>
      <c r="L114"/>
      <c r="M114"/>
      <c r="N114"/>
      <c r="O114"/>
      <c r="P114"/>
      <c r="Q114"/>
      <c r="R114"/>
    </row>
    <row r="115" spans="1:18">
      <c r="A115" s="158" t="s">
        <v>441</v>
      </c>
      <c r="B115" s="151" t="s">
        <v>387</v>
      </c>
      <c r="C115" s="152">
        <v>-32.124417637256897</v>
      </c>
      <c r="D115" s="153">
        <v>15</v>
      </c>
      <c r="E115" s="154">
        <v>0</v>
      </c>
      <c r="F115" s="159"/>
      <c r="G115" s="156" t="s">
        <v>916</v>
      </c>
      <c r="H115" s="157">
        <v>4.2672027323999426</v>
      </c>
      <c r="I115"/>
      <c r="J115"/>
      <c r="K115"/>
      <c r="L115"/>
      <c r="M115"/>
      <c r="N115"/>
      <c r="O115"/>
      <c r="P115"/>
      <c r="Q115"/>
      <c r="R115"/>
    </row>
    <row r="116" spans="1:18">
      <c r="A116" s="158" t="s">
        <v>442</v>
      </c>
      <c r="B116" s="151" t="s">
        <v>387</v>
      </c>
      <c r="C116" s="152">
        <v>117.23903663470225</v>
      </c>
      <c r="D116" s="153">
        <v>15</v>
      </c>
      <c r="E116" s="154">
        <v>0</v>
      </c>
      <c r="F116" s="159"/>
      <c r="G116" s="156" t="s">
        <v>916</v>
      </c>
      <c r="H116" s="157">
        <v>5.8134205779960713</v>
      </c>
      <c r="I116"/>
      <c r="J116"/>
      <c r="K116"/>
      <c r="L116"/>
      <c r="M116"/>
      <c r="N116"/>
      <c r="O116"/>
      <c r="P116"/>
      <c r="Q116"/>
      <c r="R116"/>
    </row>
    <row r="117" spans="1:18">
      <c r="A117" s="158" t="s">
        <v>443</v>
      </c>
      <c r="B117" s="151" t="s">
        <v>387</v>
      </c>
      <c r="C117" s="152">
        <v>117.23903663470225</v>
      </c>
      <c r="D117" s="153">
        <v>15</v>
      </c>
      <c r="E117" s="154">
        <v>0</v>
      </c>
      <c r="F117" s="159"/>
      <c r="G117" s="156" t="s">
        <v>916</v>
      </c>
      <c r="H117" s="157">
        <v>5.8134205779960713</v>
      </c>
      <c r="I117"/>
      <c r="J117"/>
      <c r="K117"/>
      <c r="L117"/>
      <c r="M117"/>
      <c r="N117"/>
      <c r="O117"/>
      <c r="P117"/>
      <c r="Q117"/>
      <c r="R117"/>
    </row>
    <row r="118" spans="1:18">
      <c r="A118" s="158" t="s">
        <v>444</v>
      </c>
      <c r="B118" s="151" t="s">
        <v>387</v>
      </c>
      <c r="C118" s="152">
        <v>117.23903663470225</v>
      </c>
      <c r="D118" s="153">
        <v>15</v>
      </c>
      <c r="E118" s="154">
        <v>0</v>
      </c>
      <c r="F118" s="159"/>
      <c r="G118" s="156" t="s">
        <v>916</v>
      </c>
      <c r="H118" s="157">
        <v>5.8134205779960713</v>
      </c>
      <c r="I118"/>
      <c r="J118"/>
      <c r="K118"/>
      <c r="L118"/>
      <c r="M118"/>
      <c r="N118"/>
      <c r="O118"/>
      <c r="P118"/>
      <c r="Q118"/>
      <c r="R118"/>
    </row>
    <row r="119" spans="1:18">
      <c r="A119" s="158" t="s">
        <v>445</v>
      </c>
      <c r="B119" s="151" t="s">
        <v>387</v>
      </c>
      <c r="C119" s="152">
        <v>412</v>
      </c>
      <c r="D119" s="153">
        <v>15</v>
      </c>
      <c r="E119" s="154">
        <v>0</v>
      </c>
      <c r="F119" s="159"/>
      <c r="G119" s="156" t="s">
        <v>916</v>
      </c>
      <c r="H119" s="157">
        <v>0</v>
      </c>
      <c r="I119"/>
      <c r="J119"/>
      <c r="K119"/>
      <c r="L119"/>
      <c r="M119"/>
      <c r="N119"/>
      <c r="O119"/>
      <c r="P119"/>
      <c r="Q119"/>
      <c r="R119"/>
    </row>
    <row r="120" spans="1:18">
      <c r="A120" s="158" t="s">
        <v>446</v>
      </c>
      <c r="B120" s="151" t="s">
        <v>387</v>
      </c>
      <c r="C120" s="152">
        <v>412</v>
      </c>
      <c r="D120" s="153">
        <v>15</v>
      </c>
      <c r="E120" s="154">
        <v>0</v>
      </c>
      <c r="F120" s="159"/>
      <c r="G120" s="156" t="s">
        <v>916</v>
      </c>
      <c r="H120" s="157">
        <v>0</v>
      </c>
      <c r="I120"/>
      <c r="J120"/>
      <c r="K120"/>
      <c r="L120"/>
      <c r="M120"/>
      <c r="N120"/>
      <c r="O120"/>
      <c r="P120"/>
      <c r="Q120"/>
      <c r="R120"/>
    </row>
    <row r="121" spans="1:18">
      <c r="A121" s="160" t="s">
        <v>447</v>
      </c>
      <c r="B121" s="151" t="s">
        <v>387</v>
      </c>
      <c r="C121" s="159">
        <v>412</v>
      </c>
      <c r="D121" s="153">
        <v>15</v>
      </c>
      <c r="E121" s="154">
        <v>0</v>
      </c>
      <c r="F121" s="159"/>
      <c r="G121" s="156" t="s">
        <v>916</v>
      </c>
      <c r="H121" s="157">
        <v>0</v>
      </c>
      <c r="I121"/>
      <c r="J121"/>
      <c r="K121"/>
      <c r="L121"/>
      <c r="M121"/>
      <c r="N121"/>
      <c r="O121"/>
      <c r="P121"/>
      <c r="Q121"/>
      <c r="R121"/>
    </row>
    <row r="122" spans="1:18">
      <c r="A122" s="278" t="s">
        <v>775</v>
      </c>
      <c r="B122" s="137" t="s">
        <v>386</v>
      </c>
      <c r="C122" s="138">
        <f>'Savings Analysis'!B3</f>
        <v>134.5653139726399</v>
      </c>
      <c r="D122" s="139">
        <v>15</v>
      </c>
      <c r="E122" s="140">
        <f>'Cost Analysis'!J42</f>
        <v>80.823411921055197</v>
      </c>
      <c r="F122" s="139"/>
      <c r="G122" s="141" t="s">
        <v>338</v>
      </c>
      <c r="H122" s="400">
        <f>'Savings Analysis'!G3</f>
        <v>2.1502794320391199</v>
      </c>
      <c r="I122"/>
      <c r="J122"/>
      <c r="K122"/>
      <c r="L122"/>
      <c r="M122"/>
      <c r="N122"/>
      <c r="O122"/>
      <c r="P122"/>
      <c r="Q122"/>
      <c r="R122"/>
    </row>
    <row r="123" spans="1:18">
      <c r="A123" s="286" t="s">
        <v>776</v>
      </c>
      <c r="B123" s="137" t="s">
        <v>386</v>
      </c>
      <c r="C123" s="138">
        <f>'Savings Analysis'!B4</f>
        <v>134.5653139726399</v>
      </c>
      <c r="D123" s="139">
        <v>15</v>
      </c>
      <c r="E123" s="140">
        <f>'Cost Analysis'!J43</f>
        <v>80.823411921055197</v>
      </c>
      <c r="F123" s="139"/>
      <c r="G123" s="141" t="s">
        <v>339</v>
      </c>
      <c r="H123" s="400">
        <f>'Savings Analysis'!G4</f>
        <v>2.1502794320391199</v>
      </c>
      <c r="I123"/>
      <c r="J123"/>
      <c r="K123"/>
      <c r="L123"/>
      <c r="M123"/>
      <c r="N123"/>
      <c r="O123"/>
      <c r="P123"/>
      <c r="Q123"/>
      <c r="R123"/>
    </row>
    <row r="124" spans="1:18">
      <c r="A124" s="286" t="s">
        <v>777</v>
      </c>
      <c r="B124" s="137" t="s">
        <v>386</v>
      </c>
      <c r="C124" s="138">
        <f>'Savings Analysis'!B5</f>
        <v>134.5653139726399</v>
      </c>
      <c r="D124" s="139">
        <v>15</v>
      </c>
      <c r="E124" s="140">
        <f>'Cost Analysis'!J44</f>
        <v>80.823411921055197</v>
      </c>
      <c r="F124" s="139"/>
      <c r="G124" s="141" t="s">
        <v>340</v>
      </c>
      <c r="H124" s="400">
        <f>'Savings Analysis'!G5</f>
        <v>2.1502794320391199</v>
      </c>
      <c r="I124"/>
      <c r="J124"/>
      <c r="K124"/>
      <c r="L124"/>
      <c r="M124"/>
      <c r="N124"/>
      <c r="O124"/>
      <c r="P124"/>
      <c r="Q124"/>
      <c r="R124"/>
    </row>
    <row r="125" spans="1:18">
      <c r="A125" s="286" t="s">
        <v>778</v>
      </c>
      <c r="B125" s="137" t="s">
        <v>386</v>
      </c>
      <c r="C125" s="138">
        <f>'Savings Analysis'!B6</f>
        <v>117.94453152744856</v>
      </c>
      <c r="D125" s="139">
        <v>15</v>
      </c>
      <c r="E125" s="140">
        <f>'Cost Analysis'!J45</f>
        <v>80.823411921055197</v>
      </c>
      <c r="F125" s="144"/>
      <c r="G125" s="141" t="s">
        <v>338</v>
      </c>
      <c r="H125" s="400">
        <f>'Savings Analysis'!G6</f>
        <v>1.4361330725895129</v>
      </c>
      <c r="I125"/>
      <c r="J125"/>
      <c r="K125"/>
      <c r="L125"/>
      <c r="M125"/>
      <c r="N125"/>
      <c r="O125"/>
      <c r="P125"/>
      <c r="Q125"/>
      <c r="R125"/>
    </row>
    <row r="126" spans="1:18">
      <c r="A126" s="286" t="s">
        <v>779</v>
      </c>
      <c r="B126" s="137" t="s">
        <v>386</v>
      </c>
      <c r="C126" s="138">
        <f>'Savings Analysis'!B7</f>
        <v>117.94453152744856</v>
      </c>
      <c r="D126" s="139">
        <v>15</v>
      </c>
      <c r="E126" s="140">
        <f>'Cost Analysis'!J46</f>
        <v>80.823411921055197</v>
      </c>
      <c r="F126" s="144"/>
      <c r="G126" s="141" t="s">
        <v>338</v>
      </c>
      <c r="H126" s="400">
        <f>'Savings Analysis'!G7</f>
        <v>1.4361330725895129</v>
      </c>
      <c r="I126"/>
      <c r="J126"/>
      <c r="K126"/>
      <c r="L126"/>
      <c r="M126"/>
      <c r="N126"/>
      <c r="O126"/>
      <c r="P126"/>
      <c r="Q126"/>
      <c r="R126"/>
    </row>
    <row r="127" spans="1:18">
      <c r="A127" s="286" t="s">
        <v>780</v>
      </c>
      <c r="B127" s="137" t="s">
        <v>386</v>
      </c>
      <c r="C127" s="138">
        <f>'Savings Analysis'!B8</f>
        <v>117.94453152744856</v>
      </c>
      <c r="D127" s="139">
        <v>15</v>
      </c>
      <c r="E127" s="140">
        <f>'Cost Analysis'!J47</f>
        <v>80.823411921055197</v>
      </c>
      <c r="F127" s="145"/>
      <c r="G127" s="141" t="s">
        <v>338</v>
      </c>
      <c r="H127" s="400">
        <f>'Savings Analysis'!G8</f>
        <v>1.4361330725895129</v>
      </c>
      <c r="I127"/>
      <c r="J127"/>
      <c r="K127"/>
      <c r="L127"/>
      <c r="M127"/>
      <c r="N127"/>
      <c r="O127"/>
      <c r="P127"/>
      <c r="Q127"/>
      <c r="R127"/>
    </row>
    <row r="128" spans="1:18">
      <c r="A128" s="286" t="s">
        <v>781</v>
      </c>
      <c r="B128" s="137" t="s">
        <v>386</v>
      </c>
      <c r="C128" s="138">
        <f>'Savings Analysis'!B9</f>
        <v>97.633593264434865</v>
      </c>
      <c r="D128" s="139">
        <v>15</v>
      </c>
      <c r="E128" s="140">
        <f>'Cost Analysis'!J48</f>
        <v>80.823411921055197</v>
      </c>
      <c r="F128" s="145"/>
      <c r="G128" s="141" t="s">
        <v>339</v>
      </c>
      <c r="H128" s="400">
        <f>'Savings Analysis'!G9</f>
        <v>1.1888201213481004</v>
      </c>
      <c r="I128"/>
      <c r="J128"/>
      <c r="K128"/>
      <c r="L128"/>
      <c r="M128"/>
      <c r="N128"/>
      <c r="O128"/>
      <c r="P128"/>
      <c r="Q128"/>
      <c r="R128"/>
    </row>
    <row r="129" spans="1:18">
      <c r="A129" s="286" t="s">
        <v>782</v>
      </c>
      <c r="B129" s="137" t="s">
        <v>386</v>
      </c>
      <c r="C129" s="138">
        <f>'Savings Analysis'!B10</f>
        <v>97.633593264434865</v>
      </c>
      <c r="D129" s="139">
        <v>15</v>
      </c>
      <c r="E129" s="140">
        <f>'Cost Analysis'!J49</f>
        <v>80.823411921055197</v>
      </c>
      <c r="F129" s="145"/>
      <c r="G129" s="141" t="s">
        <v>339</v>
      </c>
      <c r="H129" s="400">
        <f>'Savings Analysis'!G10</f>
        <v>1.1888201213481004</v>
      </c>
      <c r="I129"/>
      <c r="J129"/>
      <c r="K129"/>
      <c r="L129"/>
      <c r="M129"/>
      <c r="N129"/>
      <c r="O129"/>
      <c r="P129"/>
      <c r="Q129"/>
      <c r="R129"/>
    </row>
    <row r="130" spans="1:18">
      <c r="A130" s="296" t="s">
        <v>783</v>
      </c>
      <c r="B130" s="137" t="s">
        <v>386</v>
      </c>
      <c r="C130" s="138">
        <f>'Savings Analysis'!B11</f>
        <v>97.633593264434865</v>
      </c>
      <c r="D130" s="139">
        <v>15</v>
      </c>
      <c r="E130" s="140">
        <f>'Cost Analysis'!J50</f>
        <v>80.823411921055197</v>
      </c>
      <c r="F130" s="145"/>
      <c r="G130" s="141" t="s">
        <v>339</v>
      </c>
      <c r="H130" s="400">
        <f>'Savings Analysis'!G11</f>
        <v>1.1888201213481004</v>
      </c>
      <c r="I130"/>
      <c r="J130"/>
      <c r="K130"/>
      <c r="L130"/>
      <c r="M130"/>
      <c r="N130"/>
      <c r="O130"/>
      <c r="P130"/>
      <c r="Q130"/>
      <c r="R130"/>
    </row>
    <row r="131" spans="1:18">
      <c r="A131" s="278" t="s">
        <v>784</v>
      </c>
      <c r="B131" s="137" t="s">
        <v>386</v>
      </c>
      <c r="C131" s="138">
        <f>'Savings Analysis'!B12</f>
        <v>399.97917299272876</v>
      </c>
      <c r="D131" s="139">
        <v>15</v>
      </c>
      <c r="E131" s="140">
        <f>'Cost Analysis'!J51</f>
        <v>5447.8150000000005</v>
      </c>
      <c r="F131" s="145"/>
      <c r="G131" s="141" t="s">
        <v>340</v>
      </c>
      <c r="H131" s="400">
        <f>'Savings Analysis'!G12</f>
        <v>6.3914463804925932</v>
      </c>
      <c r="I131"/>
      <c r="J131"/>
      <c r="K131"/>
      <c r="L131"/>
      <c r="M131"/>
      <c r="N131"/>
      <c r="O131"/>
      <c r="P131"/>
      <c r="Q131"/>
      <c r="R131"/>
    </row>
    <row r="132" spans="1:18">
      <c r="A132" s="286" t="s">
        <v>785</v>
      </c>
      <c r="B132" s="137" t="s">
        <v>386</v>
      </c>
      <c r="C132" s="138">
        <f>'Savings Analysis'!B13</f>
        <v>399.97917299272876</v>
      </c>
      <c r="D132" s="139">
        <v>15</v>
      </c>
      <c r="E132" s="140">
        <f>'Cost Analysis'!J52</f>
        <v>5447.8150000000005</v>
      </c>
      <c r="F132" s="145"/>
      <c r="G132" s="141" t="s">
        <v>340</v>
      </c>
      <c r="H132" s="400">
        <f>'Savings Analysis'!G13</f>
        <v>6.3914463804925932</v>
      </c>
      <c r="I132"/>
      <c r="J132"/>
      <c r="K132"/>
      <c r="L132"/>
      <c r="M132"/>
      <c r="N132"/>
      <c r="O132"/>
      <c r="P132"/>
      <c r="Q132"/>
      <c r="R132"/>
    </row>
    <row r="133" spans="1:18">
      <c r="A133" s="286" t="s">
        <v>786</v>
      </c>
      <c r="B133" s="137" t="s">
        <v>386</v>
      </c>
      <c r="C133" s="138">
        <f>'Savings Analysis'!B14</f>
        <v>399.97917299272876</v>
      </c>
      <c r="D133" s="139">
        <v>15</v>
      </c>
      <c r="E133" s="140">
        <f>'Cost Analysis'!J53</f>
        <v>5447.8150000000005</v>
      </c>
      <c r="F133" s="145"/>
      <c r="G133" s="141" t="s">
        <v>340</v>
      </c>
      <c r="H133" s="400">
        <f>'Savings Analysis'!G14</f>
        <v>6.3914463804925932</v>
      </c>
      <c r="I133"/>
      <c r="J133"/>
      <c r="K133"/>
      <c r="L133"/>
      <c r="M133"/>
      <c r="N133"/>
      <c r="O133"/>
      <c r="P133"/>
      <c r="Q133"/>
      <c r="R133"/>
    </row>
    <row r="134" spans="1:18">
      <c r="A134" s="286" t="s">
        <v>787</v>
      </c>
      <c r="B134" s="137" t="s">
        <v>386</v>
      </c>
      <c r="C134" s="138">
        <f>'Savings Analysis'!B15</f>
        <v>582.31227378469714</v>
      </c>
      <c r="D134" s="139">
        <v>15</v>
      </c>
      <c r="E134" s="140">
        <f>'Cost Analysis'!J54</f>
        <v>5447.8150000000005</v>
      </c>
      <c r="F134" s="145"/>
      <c r="G134" s="141" t="s">
        <v>338</v>
      </c>
      <c r="H134" s="400">
        <f>'Savings Analysis'!G15</f>
        <v>7.0904339872881206</v>
      </c>
      <c r="I134"/>
      <c r="J134"/>
      <c r="K134"/>
      <c r="L134"/>
      <c r="M134"/>
      <c r="N134"/>
      <c r="O134"/>
      <c r="P134"/>
      <c r="Q134"/>
      <c r="R134"/>
    </row>
    <row r="135" spans="1:18">
      <c r="A135" s="286" t="s">
        <v>788</v>
      </c>
      <c r="B135" s="137" t="s">
        <v>386</v>
      </c>
      <c r="C135" s="138">
        <f>'Savings Analysis'!B16</f>
        <v>582.31227378469714</v>
      </c>
      <c r="D135" s="139">
        <v>15</v>
      </c>
      <c r="E135" s="140">
        <f>'Cost Analysis'!J55</f>
        <v>5447.8150000000005</v>
      </c>
      <c r="F135" s="145"/>
      <c r="G135" s="141" t="s">
        <v>339</v>
      </c>
      <c r="H135" s="400">
        <f>'Savings Analysis'!G16</f>
        <v>7.0904339872881206</v>
      </c>
      <c r="I135"/>
      <c r="J135"/>
      <c r="K135"/>
      <c r="L135"/>
      <c r="M135"/>
      <c r="N135"/>
      <c r="O135"/>
      <c r="P135"/>
      <c r="Q135"/>
      <c r="R135"/>
    </row>
    <row r="136" spans="1:18">
      <c r="A136" s="286" t="s">
        <v>789</v>
      </c>
      <c r="B136" s="137" t="s">
        <v>386</v>
      </c>
      <c r="C136" s="138">
        <f>'Savings Analysis'!B17</f>
        <v>582.31227378469714</v>
      </c>
      <c r="D136" s="139">
        <v>15</v>
      </c>
      <c r="E136" s="140">
        <f>'Cost Analysis'!J56</f>
        <v>5447.8150000000005</v>
      </c>
      <c r="F136" s="145"/>
      <c r="G136" s="141" t="s">
        <v>340</v>
      </c>
      <c r="H136" s="400">
        <f>'Savings Analysis'!G17</f>
        <v>7.0904339872881206</v>
      </c>
      <c r="I136"/>
      <c r="J136"/>
      <c r="K136"/>
      <c r="L136"/>
      <c r="M136"/>
      <c r="N136"/>
      <c r="O136"/>
      <c r="P136"/>
      <c r="Q136"/>
      <c r="R136"/>
    </row>
    <row r="137" spans="1:18">
      <c r="A137" s="286" t="s">
        <v>790</v>
      </c>
      <c r="B137" s="137" t="s">
        <v>386</v>
      </c>
      <c r="C137" s="138">
        <f>'Savings Analysis'!B18</f>
        <v>673.77497156488607</v>
      </c>
      <c r="D137" s="139">
        <v>15</v>
      </c>
      <c r="E137" s="140">
        <f>'Cost Analysis'!J57</f>
        <v>5447.8150000000005</v>
      </c>
      <c r="F137" s="145"/>
      <c r="G137" s="141" t="s">
        <v>338</v>
      </c>
      <c r="H137" s="400">
        <f>'Savings Analysis'!G18</f>
        <v>8.2041151685120024</v>
      </c>
      <c r="I137"/>
      <c r="J137"/>
      <c r="K137"/>
      <c r="L137"/>
      <c r="M137"/>
      <c r="N137"/>
      <c r="O137"/>
      <c r="P137"/>
      <c r="Q137"/>
      <c r="R137"/>
    </row>
    <row r="138" spans="1:18">
      <c r="A138" s="286" t="s">
        <v>791</v>
      </c>
      <c r="B138" s="137" t="s">
        <v>386</v>
      </c>
      <c r="C138" s="138">
        <f>'Savings Analysis'!B19</f>
        <v>673.77497156488607</v>
      </c>
      <c r="D138" s="139">
        <v>15</v>
      </c>
      <c r="E138" s="140">
        <f>'Cost Analysis'!J58</f>
        <v>5447.8150000000005</v>
      </c>
      <c r="F138" s="145"/>
      <c r="G138" s="141" t="s">
        <v>338</v>
      </c>
      <c r="H138" s="400">
        <f>'Savings Analysis'!G19</f>
        <v>8.2041151685120024</v>
      </c>
      <c r="I138"/>
      <c r="J138"/>
      <c r="K138"/>
      <c r="L138"/>
      <c r="M138"/>
      <c r="N138"/>
      <c r="O138"/>
      <c r="P138"/>
      <c r="Q138"/>
      <c r="R138"/>
    </row>
    <row r="139" spans="1:18">
      <c r="A139" s="296" t="s">
        <v>792</v>
      </c>
      <c r="B139" s="137" t="s">
        <v>386</v>
      </c>
      <c r="C139" s="138">
        <f>'Savings Analysis'!B20</f>
        <v>673.77497156488607</v>
      </c>
      <c r="D139" s="139">
        <v>15</v>
      </c>
      <c r="E139" s="140">
        <f>'Cost Analysis'!J59</f>
        <v>5447.8150000000005</v>
      </c>
      <c r="F139" s="145"/>
      <c r="G139" s="141" t="s">
        <v>338</v>
      </c>
      <c r="H139" s="400">
        <f>'Savings Analysis'!G20</f>
        <v>8.2041151685120024</v>
      </c>
      <c r="I139"/>
      <c r="J139"/>
      <c r="K139"/>
      <c r="L139"/>
      <c r="M139"/>
      <c r="N139"/>
      <c r="O139"/>
      <c r="P139"/>
      <c r="Q139"/>
      <c r="R139"/>
    </row>
    <row r="140" spans="1:18" ht="15">
      <c r="A140" s="286" t="s">
        <v>793</v>
      </c>
      <c r="B140" s="137" t="s">
        <v>386</v>
      </c>
      <c r="C140" s="138">
        <f>'Savings Analysis'!B21</f>
        <v>2738.5165726189575</v>
      </c>
      <c r="D140" s="139">
        <v>15</v>
      </c>
      <c r="E140" s="140">
        <f>'Cost Analysis'!J60</f>
        <v>3947.5061850100014</v>
      </c>
      <c r="F140" s="145"/>
      <c r="G140" s="481" t="s">
        <v>917</v>
      </c>
      <c r="H140" s="400">
        <f>'Savings Analysis'!G21</f>
        <v>54.777582725536647</v>
      </c>
      <c r="I140"/>
      <c r="J140"/>
      <c r="K140"/>
      <c r="L140"/>
      <c r="M140"/>
      <c r="N140"/>
      <c r="O140"/>
      <c r="P140"/>
      <c r="Q140"/>
      <c r="R140"/>
    </row>
    <row r="141" spans="1:18" ht="15">
      <c r="A141" s="286" t="s">
        <v>794</v>
      </c>
      <c r="B141" s="137" t="s">
        <v>386</v>
      </c>
      <c r="C141" s="138">
        <f>'Savings Analysis'!B22</f>
        <v>2738.5165726189575</v>
      </c>
      <c r="D141" s="139">
        <v>15</v>
      </c>
      <c r="E141" s="140">
        <f>'Cost Analysis'!J61</f>
        <v>3746.1341850100016</v>
      </c>
      <c r="F141" s="145"/>
      <c r="G141" s="481" t="s">
        <v>918</v>
      </c>
      <c r="H141" s="400">
        <f>'Savings Analysis'!G22</f>
        <v>54.777582725536647</v>
      </c>
      <c r="I141"/>
      <c r="J141"/>
      <c r="K141"/>
      <c r="L141"/>
      <c r="M141"/>
      <c r="N141"/>
      <c r="O141"/>
      <c r="P141"/>
      <c r="Q141"/>
      <c r="R141"/>
    </row>
    <row r="142" spans="1:18" ht="15">
      <c r="A142" s="286" t="s">
        <v>795</v>
      </c>
      <c r="B142" s="137" t="s">
        <v>386</v>
      </c>
      <c r="C142" s="138">
        <f>'Savings Analysis'!B23</f>
        <v>2738.5165726189575</v>
      </c>
      <c r="D142" s="139">
        <v>15</v>
      </c>
      <c r="E142" s="140">
        <f>'Cost Analysis'!J62</f>
        <v>3525.0401850100016</v>
      </c>
      <c r="F142" s="145"/>
      <c r="G142" s="481" t="s">
        <v>919</v>
      </c>
      <c r="H142" s="400">
        <f>'Savings Analysis'!G23</f>
        <v>54.777582725536647</v>
      </c>
      <c r="I142"/>
      <c r="J142"/>
      <c r="K142"/>
      <c r="L142"/>
      <c r="M142"/>
      <c r="N142"/>
      <c r="O142"/>
      <c r="P142"/>
      <c r="Q142"/>
      <c r="R142"/>
    </row>
    <row r="143" spans="1:18" ht="15">
      <c r="A143" s="286" t="s">
        <v>796</v>
      </c>
      <c r="B143" s="137" t="s">
        <v>386</v>
      </c>
      <c r="C143" s="138">
        <f>'Savings Analysis'!B24</f>
        <v>2976.9281092658866</v>
      </c>
      <c r="D143" s="139">
        <v>15</v>
      </c>
      <c r="E143" s="140">
        <f>'Cost Analysis'!J63</f>
        <v>3749.6769301118838</v>
      </c>
      <c r="F143" s="145"/>
      <c r="G143" s="481" t="s">
        <v>917</v>
      </c>
      <c r="H143" s="400">
        <f>'Savings Analysis'!G24</f>
        <v>44.311643672754037</v>
      </c>
      <c r="I143"/>
      <c r="J143"/>
      <c r="K143"/>
      <c r="L143"/>
      <c r="M143"/>
      <c r="N143"/>
      <c r="O143"/>
      <c r="P143"/>
      <c r="Q143"/>
      <c r="R143"/>
    </row>
    <row r="144" spans="1:18" ht="15">
      <c r="A144" s="286" t="s">
        <v>797</v>
      </c>
      <c r="B144" s="137" t="s">
        <v>386</v>
      </c>
      <c r="C144" s="138">
        <f>'Savings Analysis'!B25</f>
        <v>2976.9281092658866</v>
      </c>
      <c r="D144" s="139">
        <v>15</v>
      </c>
      <c r="E144" s="140">
        <f>'Cost Analysis'!J64</f>
        <v>3548.304930111884</v>
      </c>
      <c r="F144" s="145"/>
      <c r="G144" s="481" t="s">
        <v>918</v>
      </c>
      <c r="H144" s="400">
        <f>'Savings Analysis'!G25</f>
        <v>44.311643672754037</v>
      </c>
      <c r="I144"/>
      <c r="J144"/>
      <c r="K144"/>
      <c r="L144"/>
      <c r="M144"/>
      <c r="N144"/>
      <c r="O144"/>
      <c r="P144"/>
      <c r="Q144"/>
      <c r="R144"/>
    </row>
    <row r="145" spans="1:101" ht="15">
      <c r="A145" s="286" t="s">
        <v>798</v>
      </c>
      <c r="B145" s="137" t="s">
        <v>386</v>
      </c>
      <c r="C145" s="138">
        <f>'Savings Analysis'!B26</f>
        <v>2976.9281092658866</v>
      </c>
      <c r="D145" s="139">
        <v>15</v>
      </c>
      <c r="E145" s="140">
        <f>'Cost Analysis'!J65</f>
        <v>3327.210930111884</v>
      </c>
      <c r="F145" s="145"/>
      <c r="G145" s="481" t="s">
        <v>919</v>
      </c>
      <c r="H145" s="400">
        <f>'Savings Analysis'!G26</f>
        <v>44.311643672754037</v>
      </c>
      <c r="I145"/>
      <c r="J145"/>
      <c r="K145"/>
      <c r="L145"/>
      <c r="M145"/>
      <c r="N145"/>
      <c r="O145"/>
      <c r="P145"/>
      <c r="Q145"/>
      <c r="R145"/>
    </row>
    <row r="146" spans="1:101" ht="15">
      <c r="A146" s="286" t="s">
        <v>799</v>
      </c>
      <c r="B146" s="137" t="s">
        <v>386</v>
      </c>
      <c r="C146" s="138">
        <f>'Savings Analysis'!B27</f>
        <v>1639.8901000105166</v>
      </c>
      <c r="D146" s="139">
        <v>15</v>
      </c>
      <c r="E146" s="140">
        <f>'Cost Analysis'!J66</f>
        <v>3561.3780000000002</v>
      </c>
      <c r="F146" s="145"/>
      <c r="G146" s="481" t="s">
        <v>917</v>
      </c>
      <c r="H146" s="400">
        <f>'Savings Analysis'!G27</f>
        <v>127.78254899897512</v>
      </c>
      <c r="I146"/>
      <c r="J146"/>
      <c r="K146"/>
      <c r="L146"/>
      <c r="M146"/>
      <c r="N146"/>
      <c r="O146"/>
      <c r="P146"/>
      <c r="Q146"/>
      <c r="R146"/>
    </row>
    <row r="147" spans="1:101" ht="15.75" thickBot="1">
      <c r="A147" s="286" t="s">
        <v>800</v>
      </c>
      <c r="B147" s="137" t="s">
        <v>386</v>
      </c>
      <c r="C147" s="138">
        <f>'Savings Analysis'!B28</f>
        <v>1639.8901000105166</v>
      </c>
      <c r="D147" s="139">
        <v>15</v>
      </c>
      <c r="E147" s="140">
        <f>'Cost Analysis'!J67</f>
        <v>3360.0060000000003</v>
      </c>
      <c r="F147" s="145"/>
      <c r="G147" s="481" t="s">
        <v>918</v>
      </c>
      <c r="H147" s="400">
        <f>'Savings Analysis'!G28</f>
        <v>127.78254899897512</v>
      </c>
      <c r="I147"/>
      <c r="J147"/>
      <c r="K147"/>
      <c r="L147"/>
      <c r="M147"/>
      <c r="N147"/>
      <c r="O147"/>
      <c r="P147"/>
      <c r="Q147"/>
      <c r="R147"/>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c r="CA147" s="29"/>
      <c r="CB147" s="29"/>
      <c r="CC147" s="29"/>
      <c r="CD147" s="29"/>
      <c r="CE147" s="29"/>
      <c r="CF147" s="29"/>
      <c r="CG147" s="29"/>
      <c r="CH147" s="29"/>
      <c r="CI147" s="29"/>
      <c r="CJ147" s="29"/>
      <c r="CK147" s="29"/>
      <c r="CL147" s="29"/>
      <c r="CM147" s="29"/>
      <c r="CN147" s="29"/>
      <c r="CO147" s="29"/>
      <c r="CP147" s="29"/>
      <c r="CQ147" s="29"/>
      <c r="CR147" s="29"/>
      <c r="CS147" s="29"/>
      <c r="CT147" s="29"/>
      <c r="CU147" s="29"/>
      <c r="CV147" s="29"/>
      <c r="CW147" s="29"/>
    </row>
    <row r="148" spans="1:101" ht="27" thickBot="1">
      <c r="A148" s="296" t="s">
        <v>801</v>
      </c>
      <c r="B148" s="137" t="s">
        <v>386</v>
      </c>
      <c r="C148" s="138">
        <f>'Savings Analysis'!B29</f>
        <v>1639.8901000105166</v>
      </c>
      <c r="D148" s="139">
        <v>15</v>
      </c>
      <c r="E148" s="140">
        <f>'Cost Analysis'!J68</f>
        <v>3138.9120000000003</v>
      </c>
      <c r="F148" s="145"/>
      <c r="G148" s="481" t="s">
        <v>919</v>
      </c>
      <c r="H148" s="400">
        <f>'Savings Analysis'!G29</f>
        <v>127.78254899897512</v>
      </c>
      <c r="I148"/>
      <c r="J148"/>
      <c r="K148"/>
      <c r="L148"/>
      <c r="M148"/>
      <c r="N148"/>
      <c r="O148"/>
      <c r="P148"/>
      <c r="Q148"/>
      <c r="R148"/>
      <c r="AY148" s="105"/>
      <c r="AZ148" s="106"/>
      <c r="BA148" s="104" t="s">
        <v>243</v>
      </c>
      <c r="BB148" s="105"/>
      <c r="BC148" s="105"/>
      <c r="BD148" s="105"/>
      <c r="BE148" s="105"/>
      <c r="BF148" s="106"/>
      <c r="BG148" s="104" t="s">
        <v>244</v>
      </c>
      <c r="BH148" s="106"/>
      <c r="BI148" s="104" t="s">
        <v>245</v>
      </c>
      <c r="BJ148" s="105"/>
      <c r="BK148" s="105"/>
      <c r="BL148" s="105"/>
      <c r="BM148" s="106"/>
      <c r="BN148" s="104" t="s">
        <v>246</v>
      </c>
      <c r="BO148" s="105"/>
      <c r="BP148" s="105"/>
      <c r="BQ148" s="105"/>
      <c r="BR148" s="105"/>
      <c r="BS148" s="105"/>
      <c r="BT148" s="105"/>
      <c r="BU148" s="105"/>
      <c r="BV148" s="105"/>
      <c r="BW148" s="105"/>
      <c r="BX148" s="105"/>
      <c r="BY148" s="105"/>
      <c r="BZ148" s="105"/>
      <c r="CA148" s="105"/>
      <c r="CB148" s="105"/>
      <c r="CC148" s="106"/>
      <c r="CD148" s="104" t="s">
        <v>247</v>
      </c>
      <c r="CE148" s="106"/>
      <c r="CF148" s="104" t="s">
        <v>248</v>
      </c>
      <c r="CG148" s="105"/>
      <c r="CH148" s="105"/>
      <c r="CI148" s="105"/>
      <c r="CJ148" s="105"/>
      <c r="CK148" s="106"/>
      <c r="CL148" s="107"/>
      <c r="CM148" s="104" t="s">
        <v>5</v>
      </c>
      <c r="CN148" s="105"/>
      <c r="CO148" s="105"/>
      <c r="CP148" s="106"/>
      <c r="CQ148" s="104" t="s">
        <v>249</v>
      </c>
      <c r="CR148" s="105"/>
      <c r="CS148" s="105"/>
      <c r="CT148" s="105"/>
      <c r="CU148" s="106"/>
      <c r="CV148" s="104" t="s">
        <v>250</v>
      </c>
      <c r="CW148" s="106"/>
    </row>
    <row r="149" spans="1:101" ht="35.25" customHeight="1">
      <c r="A149" s="151" t="s">
        <v>775</v>
      </c>
      <c r="B149" s="151" t="s">
        <v>387</v>
      </c>
      <c r="C149" s="152">
        <f>'Savings Analysis'!C3</f>
        <v>15.869696470000001</v>
      </c>
      <c r="D149" s="153">
        <v>15</v>
      </c>
      <c r="E149" s="154">
        <f>'Cost Analysis'!J69</f>
        <v>0</v>
      </c>
      <c r="F149" s="155"/>
      <c r="G149" s="156" t="s">
        <v>448</v>
      </c>
      <c r="H149" s="400">
        <f>'Savings Analysis'!H3</f>
        <v>0</v>
      </c>
      <c r="I149"/>
      <c r="J149"/>
      <c r="K149"/>
      <c r="L149"/>
      <c r="M149"/>
      <c r="N149"/>
      <c r="O149"/>
      <c r="P149"/>
      <c r="Q149"/>
      <c r="R149"/>
      <c r="AY149" s="32" t="s">
        <v>281</v>
      </c>
      <c r="AZ149" s="32" t="s">
        <v>282</v>
      </c>
      <c r="BA149" s="32" t="s">
        <v>283</v>
      </c>
      <c r="BB149" s="32" t="s">
        <v>284</v>
      </c>
      <c r="BC149" s="32" t="s">
        <v>285</v>
      </c>
      <c r="BD149" s="32" t="s">
        <v>286</v>
      </c>
      <c r="BE149" s="32" t="s">
        <v>287</v>
      </c>
      <c r="BF149" s="32" t="s">
        <v>288</v>
      </c>
      <c r="BG149" s="32" t="s">
        <v>289</v>
      </c>
      <c r="BH149" s="32" t="s">
        <v>290</v>
      </c>
      <c r="BI149" s="32" t="s">
        <v>291</v>
      </c>
      <c r="BJ149" s="32" t="s">
        <v>292</v>
      </c>
      <c r="BK149" s="32" t="s">
        <v>293</v>
      </c>
      <c r="BL149" s="32" t="s">
        <v>294</v>
      </c>
      <c r="BM149" s="32" t="s">
        <v>295</v>
      </c>
      <c r="BN149" s="32" t="s">
        <v>296</v>
      </c>
      <c r="BO149" s="32" t="s">
        <v>297</v>
      </c>
      <c r="BP149" s="32" t="s">
        <v>298</v>
      </c>
      <c r="BQ149" s="32" t="s">
        <v>299</v>
      </c>
      <c r="BR149" s="32" t="s">
        <v>300</v>
      </c>
      <c r="BS149" s="32" t="s">
        <v>301</v>
      </c>
      <c r="BT149" s="32" t="s">
        <v>302</v>
      </c>
      <c r="BU149" s="32" t="s">
        <v>303</v>
      </c>
      <c r="BV149" s="32" t="s">
        <v>304</v>
      </c>
      <c r="BW149" s="32" t="s">
        <v>305</v>
      </c>
      <c r="BX149" s="32" t="s">
        <v>306</v>
      </c>
      <c r="BY149" s="32" t="s">
        <v>307</v>
      </c>
      <c r="BZ149" s="32" t="s">
        <v>308</v>
      </c>
      <c r="CA149" s="32" t="s">
        <v>309</v>
      </c>
      <c r="CB149" s="32" t="s">
        <v>310</v>
      </c>
      <c r="CC149" s="32" t="s">
        <v>311</v>
      </c>
      <c r="CD149" s="32" t="s">
        <v>23</v>
      </c>
      <c r="CE149" s="32" t="s">
        <v>24</v>
      </c>
      <c r="CF149" s="32" t="s">
        <v>312</v>
      </c>
      <c r="CG149" s="32" t="s">
        <v>313</v>
      </c>
      <c r="CH149" s="32" t="s">
        <v>314</v>
      </c>
      <c r="CI149" s="32" t="s">
        <v>388</v>
      </c>
      <c r="CJ149" s="32" t="s">
        <v>389</v>
      </c>
      <c r="CK149" s="32" t="s">
        <v>390</v>
      </c>
      <c r="CL149" s="32"/>
      <c r="CM149" s="32" t="s">
        <v>318</v>
      </c>
      <c r="CN149" s="32" t="s">
        <v>319</v>
      </c>
      <c r="CO149" s="32" t="s">
        <v>320</v>
      </c>
      <c r="CP149" s="32" t="s">
        <v>321</v>
      </c>
      <c r="CQ149" s="32" t="s">
        <v>322</v>
      </c>
      <c r="CR149" s="32" t="s">
        <v>323</v>
      </c>
      <c r="CS149" s="32" t="s">
        <v>324</v>
      </c>
      <c r="CT149" s="32" t="s">
        <v>325</v>
      </c>
      <c r="CU149" s="32" t="s">
        <v>326</v>
      </c>
      <c r="CV149" s="32" t="s">
        <v>327</v>
      </c>
      <c r="CW149" s="108" t="s">
        <v>328</v>
      </c>
    </row>
    <row r="150" spans="1:101">
      <c r="A150" s="151" t="s">
        <v>776</v>
      </c>
      <c r="B150" s="151" t="s">
        <v>387</v>
      </c>
      <c r="C150" s="152">
        <f>'Savings Analysis'!C4</f>
        <v>31.275325390000035</v>
      </c>
      <c r="D150" s="153">
        <v>15</v>
      </c>
      <c r="E150" s="154">
        <f>'Cost Analysis'!J70</f>
        <v>0</v>
      </c>
      <c r="F150" s="155"/>
      <c r="G150" s="156" t="s">
        <v>449</v>
      </c>
      <c r="H150" s="400">
        <f>'Savings Analysis'!H4</f>
        <v>0</v>
      </c>
      <c r="I150"/>
      <c r="J150"/>
      <c r="K150"/>
      <c r="L150"/>
      <c r="M150"/>
      <c r="N150"/>
      <c r="O150"/>
      <c r="P150"/>
      <c r="Q150"/>
      <c r="R150"/>
      <c r="AY150" s="29">
        <v>1169.009521484375</v>
      </c>
      <c r="AZ150" s="33">
        <v>4.2372361088303645</v>
      </c>
      <c r="BA150" s="29">
        <v>2388.3478411075207</v>
      </c>
      <c r="BB150" s="29">
        <v>589.4466552734375</v>
      </c>
      <c r="BC150" s="29">
        <v>450.30630493164062</v>
      </c>
      <c r="BD150" s="29">
        <v>1525.2685546875</v>
      </c>
      <c r="BE150" s="29">
        <v>4953.369140625</v>
      </c>
      <c r="BF150" s="29">
        <v>1686.0928955078125</v>
      </c>
      <c r="BG150" s="29">
        <v>-24.778549194335938</v>
      </c>
      <c r="BH150" s="33">
        <v>2.9377796260201063</v>
      </c>
      <c r="BI150" s="29">
        <v>14.577493667602539</v>
      </c>
      <c r="BJ150" s="29">
        <v>32.956439971923828</v>
      </c>
      <c r="BK150" s="29">
        <v>0</v>
      </c>
      <c r="BL150" s="29">
        <v>37.420303344726563</v>
      </c>
      <c r="BM150" s="29">
        <v>84.954246520996094</v>
      </c>
      <c r="BN150" s="29">
        <v>2388.3478411075207</v>
      </c>
      <c r="BO150" s="29">
        <v>0</v>
      </c>
      <c r="BP150" s="29">
        <v>589.4466552734375</v>
      </c>
      <c r="BQ150" s="29">
        <v>0</v>
      </c>
      <c r="BR150" s="29">
        <v>0</v>
      </c>
      <c r="BS150" s="29">
        <v>0</v>
      </c>
      <c r="BT150" s="29">
        <v>1525.2685546875</v>
      </c>
      <c r="BU150" s="29">
        <v>0</v>
      </c>
      <c r="BV150" s="29">
        <v>517.61688232421875</v>
      </c>
      <c r="BW150" s="29">
        <v>450.30630493164062</v>
      </c>
      <c r="BX150" s="29">
        <v>3013.441650390625</v>
      </c>
      <c r="BY150" s="29"/>
      <c r="BZ150" s="29">
        <v>0</v>
      </c>
      <c r="CA150" s="29">
        <v>0</v>
      </c>
      <c r="CB150" s="29">
        <v>5470.986328125</v>
      </c>
      <c r="CC150" s="29">
        <v>3013.441650390625</v>
      </c>
      <c r="CD150" s="33">
        <v>1.8155275173870142</v>
      </c>
      <c r="CE150" s="29">
        <v>-1.9507784843444824</v>
      </c>
      <c r="CF150" s="29">
        <v>18.011324449595708</v>
      </c>
      <c r="CG150" s="29">
        <v>0</v>
      </c>
      <c r="CH150" s="29">
        <v>18.011324449595708</v>
      </c>
      <c r="CI150" s="29">
        <v>1.0637075720789815</v>
      </c>
      <c r="CJ150" s="29">
        <v>0</v>
      </c>
      <c r="CK150" s="29">
        <v>1.0637075720789815</v>
      </c>
      <c r="CL150" s="29"/>
      <c r="CM150" s="29">
        <v>0</v>
      </c>
      <c r="CN150" s="29"/>
      <c r="CO150" s="29">
        <v>0</v>
      </c>
      <c r="CP150" s="29">
        <v>0</v>
      </c>
      <c r="CQ150" s="29">
        <v>0</v>
      </c>
      <c r="CR150" s="29">
        <v>0</v>
      </c>
      <c r="CS150" s="29">
        <v>0</v>
      </c>
      <c r="CT150" s="29">
        <v>0</v>
      </c>
      <c r="CU150" s="29">
        <v>0</v>
      </c>
      <c r="CV150" s="29">
        <v>9999</v>
      </c>
      <c r="CW150" s="33">
        <v>9999</v>
      </c>
    </row>
    <row r="151" spans="1:101">
      <c r="A151" s="151" t="s">
        <v>777</v>
      </c>
      <c r="B151" s="151" t="s">
        <v>387</v>
      </c>
      <c r="C151" s="152">
        <f>'Savings Analysis'!C5</f>
        <v>50.669817789999996</v>
      </c>
      <c r="D151" s="153">
        <v>15</v>
      </c>
      <c r="E151" s="154">
        <f>'Cost Analysis'!J71</f>
        <v>0</v>
      </c>
      <c r="F151" s="155"/>
      <c r="G151" s="156" t="s">
        <v>450</v>
      </c>
      <c r="H151" s="400">
        <f>'Savings Analysis'!H5</f>
        <v>0</v>
      </c>
      <c r="I151"/>
      <c r="J151"/>
      <c r="K151"/>
      <c r="L151"/>
      <c r="M151"/>
      <c r="N151"/>
      <c r="O151"/>
      <c r="P151"/>
      <c r="Q151"/>
      <c r="R151"/>
      <c r="AY151" s="29">
        <v>1178.467041015625</v>
      </c>
      <c r="AZ151" s="33">
        <v>4.299644081972942</v>
      </c>
      <c r="BA151" s="29">
        <v>2427.7301411932317</v>
      </c>
      <c r="BB151" s="29">
        <v>607.26007080078125</v>
      </c>
      <c r="BC151" s="29">
        <v>460.63534545898437</v>
      </c>
      <c r="BD151" s="29">
        <v>1571.36328125</v>
      </c>
      <c r="BE151" s="29">
        <v>5066.98876953125</v>
      </c>
      <c r="BF151" s="29">
        <v>1699.733642578125</v>
      </c>
      <c r="BG151" s="29">
        <v>-25.70989990234375</v>
      </c>
      <c r="BH151" s="33">
        <v>2.9810486359902315</v>
      </c>
      <c r="BI151" s="29">
        <v>14.264349937438965</v>
      </c>
      <c r="BJ151" s="29">
        <v>32.248497009277344</v>
      </c>
      <c r="BK151" s="29">
        <v>0</v>
      </c>
      <c r="BL151" s="29">
        <v>36.616466522216797</v>
      </c>
      <c r="BM151" s="29">
        <v>83.129310607910156</v>
      </c>
      <c r="BN151" s="29">
        <v>2427.7301411932317</v>
      </c>
      <c r="BO151" s="29">
        <v>0</v>
      </c>
      <c r="BP151" s="29">
        <v>607.26007080078125</v>
      </c>
      <c r="BQ151" s="29">
        <v>0</v>
      </c>
      <c r="BR151" s="29">
        <v>0</v>
      </c>
      <c r="BS151" s="29">
        <v>0</v>
      </c>
      <c r="BT151" s="29">
        <v>1571.36328125</v>
      </c>
      <c r="BU151" s="29">
        <v>0</v>
      </c>
      <c r="BV151" s="29">
        <v>389.85919189453125</v>
      </c>
      <c r="BW151" s="29">
        <v>460.63534545898437</v>
      </c>
      <c r="BX151" s="29">
        <v>3037.82080078125</v>
      </c>
      <c r="BY151" s="29"/>
      <c r="BZ151" s="29">
        <v>0</v>
      </c>
      <c r="CA151" s="29">
        <v>0</v>
      </c>
      <c r="CB151" s="29">
        <v>5456.84814453125</v>
      </c>
      <c r="CC151" s="29">
        <v>3037.82080078125</v>
      </c>
      <c r="CD151" s="33">
        <v>1.7963034650345953</v>
      </c>
      <c r="CE151" s="29">
        <v>0.23815330862998962</v>
      </c>
      <c r="CF151" s="29">
        <v>18.622382184416995</v>
      </c>
      <c r="CG151" s="29">
        <v>0</v>
      </c>
      <c r="CH151" s="29">
        <v>18.622382184416995</v>
      </c>
      <c r="CI151" s="29">
        <v>1.0995397424128823</v>
      </c>
      <c r="CJ151" s="29">
        <v>0</v>
      </c>
      <c r="CK151" s="29">
        <v>1.0995397424128823</v>
      </c>
      <c r="CL151" s="29"/>
      <c r="CM151" s="29">
        <v>0</v>
      </c>
      <c r="CN151" s="29"/>
      <c r="CO151" s="29">
        <v>0</v>
      </c>
      <c r="CP151" s="29">
        <v>0</v>
      </c>
      <c r="CQ151" s="29">
        <v>0</v>
      </c>
      <c r="CR151" s="29">
        <v>0</v>
      </c>
      <c r="CS151" s="29">
        <v>0</v>
      </c>
      <c r="CT151" s="29">
        <v>0</v>
      </c>
      <c r="CU151" s="29">
        <v>0</v>
      </c>
      <c r="CV151" s="29">
        <v>9999</v>
      </c>
      <c r="CW151" s="33">
        <v>9999</v>
      </c>
    </row>
    <row r="152" spans="1:101">
      <c r="A152" s="151" t="s">
        <v>778</v>
      </c>
      <c r="B152" s="151" t="s">
        <v>387</v>
      </c>
      <c r="C152" s="152">
        <f>'Savings Analysis'!C6</f>
        <v>15.860532380000018</v>
      </c>
      <c r="D152" s="153">
        <v>15</v>
      </c>
      <c r="E152" s="154">
        <f>'Cost Analysis'!J72</f>
        <v>0</v>
      </c>
      <c r="F152" s="155"/>
      <c r="G152" s="156" t="s">
        <v>448</v>
      </c>
      <c r="H152" s="400">
        <f>'Savings Analysis'!H6</f>
        <v>0</v>
      </c>
      <c r="I152"/>
      <c r="J152"/>
      <c r="K152"/>
      <c r="L152"/>
      <c r="M152"/>
      <c r="N152"/>
      <c r="O152"/>
      <c r="P152"/>
      <c r="Q152"/>
      <c r="R152"/>
      <c r="AY152" s="29">
        <v>1190.1927490234375</v>
      </c>
      <c r="AZ152" s="33">
        <v>3.6949514192746484</v>
      </c>
      <c r="BA152" s="29">
        <v>2119.1628833082964</v>
      </c>
      <c r="BB152" s="29">
        <v>523.67474365234375</v>
      </c>
      <c r="BC152" s="29">
        <v>399.79132080078125</v>
      </c>
      <c r="BD152" s="29">
        <v>1355.075439453125</v>
      </c>
      <c r="BE152" s="29">
        <v>4397.70458984375</v>
      </c>
      <c r="BF152" s="29">
        <v>1716.64599609375</v>
      </c>
      <c r="BG152" s="29">
        <v>-17.83038330078125</v>
      </c>
      <c r="BH152" s="33">
        <v>2.5618003928716688</v>
      </c>
      <c r="BI152" s="29">
        <v>16.705709457397461</v>
      </c>
      <c r="BJ152" s="29">
        <v>37.767864227294922</v>
      </c>
      <c r="BK152" s="29">
        <v>0</v>
      </c>
      <c r="BL152" s="29">
        <v>42.883415222167969</v>
      </c>
      <c r="BM152" s="29">
        <v>97.356986999511719</v>
      </c>
      <c r="BN152" s="29">
        <v>2119.1628833082964</v>
      </c>
      <c r="BO152" s="29">
        <v>0</v>
      </c>
      <c r="BP152" s="29">
        <v>523.67474365234375</v>
      </c>
      <c r="BQ152" s="29">
        <v>0</v>
      </c>
      <c r="BR152" s="29">
        <v>0</v>
      </c>
      <c r="BS152" s="29">
        <v>0</v>
      </c>
      <c r="BT152" s="29">
        <v>1355.075439453125</v>
      </c>
      <c r="BU152" s="29">
        <v>0</v>
      </c>
      <c r="BV152" s="29">
        <v>342.00433349609375</v>
      </c>
      <c r="BW152" s="29">
        <v>399.79132080078125</v>
      </c>
      <c r="BX152" s="29">
        <v>3068.046875</v>
      </c>
      <c r="BY152" s="29"/>
      <c r="BZ152" s="29">
        <v>0</v>
      </c>
      <c r="CA152" s="29">
        <v>0</v>
      </c>
      <c r="CB152" s="29">
        <v>4739.70849609375</v>
      </c>
      <c r="CC152" s="29">
        <v>3068.046875</v>
      </c>
      <c r="CD152" s="33">
        <v>1.5448618987317917</v>
      </c>
      <c r="CE152" s="29">
        <v>14.200353622436523</v>
      </c>
      <c r="CF152" s="29">
        <v>16.011084279328259</v>
      </c>
      <c r="CG152" s="29">
        <v>0</v>
      </c>
      <c r="CH152" s="29">
        <v>16.011084279328259</v>
      </c>
      <c r="CI152" s="29">
        <v>0.94556263989527034</v>
      </c>
      <c r="CJ152" s="29">
        <v>0</v>
      </c>
      <c r="CK152" s="29">
        <v>0.94556263989527034</v>
      </c>
      <c r="CL152" s="29"/>
      <c r="CM152" s="29">
        <v>0</v>
      </c>
      <c r="CN152" s="29"/>
      <c r="CO152" s="29">
        <v>0</v>
      </c>
      <c r="CP152" s="29">
        <v>0</v>
      </c>
      <c r="CQ152" s="29">
        <v>0</v>
      </c>
      <c r="CR152" s="29">
        <v>0</v>
      </c>
      <c r="CS152" s="29">
        <v>0</v>
      </c>
      <c r="CT152" s="29">
        <v>0</v>
      </c>
      <c r="CU152" s="29">
        <v>0</v>
      </c>
      <c r="CV152" s="29">
        <v>9999</v>
      </c>
      <c r="CW152" s="33">
        <v>9999</v>
      </c>
    </row>
    <row r="153" spans="1:101">
      <c r="A153" s="151" t="s">
        <v>779</v>
      </c>
      <c r="B153" s="151" t="s">
        <v>387</v>
      </c>
      <c r="C153" s="152">
        <f>'Savings Analysis'!C7</f>
        <v>31.345845989999969</v>
      </c>
      <c r="D153" s="153">
        <v>15</v>
      </c>
      <c r="E153" s="154">
        <f>'Cost Analysis'!J73</f>
        <v>0</v>
      </c>
      <c r="F153" s="155"/>
      <c r="G153" s="156" t="s">
        <v>449</v>
      </c>
      <c r="H153" s="400">
        <f>'Savings Analysis'!H7</f>
        <v>0</v>
      </c>
      <c r="I153"/>
      <c r="J153"/>
      <c r="K153"/>
      <c r="L153"/>
      <c r="M153"/>
      <c r="N153"/>
      <c r="O153"/>
      <c r="P153"/>
      <c r="Q153"/>
      <c r="R153"/>
      <c r="AY153" s="29">
        <v>1273.604736328125</v>
      </c>
      <c r="AZ153" s="33">
        <v>7.1743088032347275</v>
      </c>
      <c r="BA153" s="29">
        <v>4405.6659226568727</v>
      </c>
      <c r="BB153" s="29">
        <v>1087.32275390625</v>
      </c>
      <c r="BC153" s="29">
        <v>830.6575927734375</v>
      </c>
      <c r="BD153" s="29">
        <v>2813.58740234375</v>
      </c>
      <c r="BE153" s="29">
        <v>9137.2333984375</v>
      </c>
      <c r="BF153" s="29">
        <v>1836.9532470703125</v>
      </c>
      <c r="BG153" s="29">
        <v>-44.238361358642578</v>
      </c>
      <c r="BH153" s="33">
        <v>4.9741242387376712</v>
      </c>
      <c r="BI153" s="29">
        <v>8.6096487045288086</v>
      </c>
      <c r="BJ153" s="29">
        <v>19.464487075805664</v>
      </c>
      <c r="BK153" s="29">
        <v>0</v>
      </c>
      <c r="BL153" s="29">
        <v>22.100898742675781</v>
      </c>
      <c r="BM153" s="29">
        <v>50.175033569335938</v>
      </c>
      <c r="BN153" s="29">
        <v>4405.6659226568727</v>
      </c>
      <c r="BO153" s="29">
        <v>0</v>
      </c>
      <c r="BP153" s="29">
        <v>1087.32275390625</v>
      </c>
      <c r="BQ153" s="29">
        <v>0</v>
      </c>
      <c r="BR153" s="29">
        <v>0</v>
      </c>
      <c r="BS153" s="29">
        <v>0</v>
      </c>
      <c r="BT153" s="29">
        <v>2813.58740234375</v>
      </c>
      <c r="BU153" s="29">
        <v>0</v>
      </c>
      <c r="BV153" s="29">
        <v>933.034912109375</v>
      </c>
      <c r="BW153" s="29">
        <v>830.6575927734375</v>
      </c>
      <c r="BX153" s="29">
        <v>3283.064208984375</v>
      </c>
      <c r="BY153" s="29"/>
      <c r="BZ153" s="29">
        <v>0</v>
      </c>
      <c r="CA153" s="29">
        <v>0</v>
      </c>
      <c r="CB153" s="29">
        <v>10070.2685546875</v>
      </c>
      <c r="CC153" s="29">
        <v>3283.064208984375</v>
      </c>
      <c r="CD153" s="33">
        <v>3.0673382982372286</v>
      </c>
      <c r="CE153" s="29">
        <v>-36.397026062011719</v>
      </c>
      <c r="CF153" s="29">
        <v>33.224590230836569</v>
      </c>
      <c r="CG153" s="29">
        <v>0</v>
      </c>
      <c r="CH153" s="29">
        <v>33.224590230836569</v>
      </c>
      <c r="CI153" s="29">
        <v>1.962168207377746</v>
      </c>
      <c r="CJ153" s="29">
        <v>0</v>
      </c>
      <c r="CK153" s="29">
        <v>1.962168207377746</v>
      </c>
      <c r="CL153" s="29"/>
      <c r="CM153" s="29">
        <v>0</v>
      </c>
      <c r="CN153" s="29"/>
      <c r="CO153" s="29">
        <v>0</v>
      </c>
      <c r="CP153" s="29">
        <v>0</v>
      </c>
      <c r="CQ153" s="29">
        <v>0</v>
      </c>
      <c r="CR153" s="29">
        <v>0</v>
      </c>
      <c r="CS153" s="29">
        <v>0</v>
      </c>
      <c r="CT153" s="29">
        <v>0</v>
      </c>
      <c r="CU153" s="29">
        <v>0</v>
      </c>
      <c r="CV153" s="29">
        <v>9999</v>
      </c>
      <c r="CW153" s="33">
        <v>9999</v>
      </c>
    </row>
    <row r="154" spans="1:101">
      <c r="A154" s="151" t="s">
        <v>780</v>
      </c>
      <c r="B154" s="151" t="s">
        <v>387</v>
      </c>
      <c r="C154" s="152">
        <f>'Savings Analysis'!C8</f>
        <v>51.086072969999947</v>
      </c>
      <c r="D154" s="153">
        <v>15</v>
      </c>
      <c r="E154" s="154">
        <f>'Cost Analysis'!J74</f>
        <v>0</v>
      </c>
      <c r="F154" s="155"/>
      <c r="G154" s="156" t="s">
        <v>450</v>
      </c>
      <c r="H154" s="400">
        <f>'Savings Analysis'!H8</f>
        <v>0</v>
      </c>
      <c r="I154"/>
      <c r="J154"/>
      <c r="K154"/>
      <c r="L154"/>
      <c r="M154"/>
      <c r="N154"/>
      <c r="O154"/>
      <c r="P154"/>
      <c r="Q154"/>
      <c r="R154"/>
      <c r="AY154" s="29">
        <v>1262.7337646484375</v>
      </c>
      <c r="AZ154" s="33">
        <v>7.7975176266967559</v>
      </c>
      <c r="BA154" s="29">
        <v>4717.5727598393123</v>
      </c>
      <c r="BB154" s="29">
        <v>1180.0296630859375</v>
      </c>
      <c r="BC154" s="29">
        <v>895.10809326171875</v>
      </c>
      <c r="BD154" s="29">
        <v>3053.478271484375</v>
      </c>
      <c r="BE154" s="29">
        <v>9846.1884765625</v>
      </c>
      <c r="BF154" s="29">
        <v>1821.2738037109375</v>
      </c>
      <c r="BG154" s="29">
        <v>-46.57501220703125</v>
      </c>
      <c r="BH154" s="33">
        <v>5.4062100753929681</v>
      </c>
      <c r="BI154" s="29">
        <v>7.8655333518981934</v>
      </c>
      <c r="BJ154" s="29">
        <v>17.782205581665039</v>
      </c>
      <c r="BK154" s="29">
        <v>0</v>
      </c>
      <c r="BL154" s="29">
        <v>20.190757751464844</v>
      </c>
      <c r="BM154" s="29">
        <v>45.838497161865234</v>
      </c>
      <c r="BN154" s="29">
        <v>4717.5727598393123</v>
      </c>
      <c r="BO154" s="29">
        <v>0</v>
      </c>
      <c r="BP154" s="29">
        <v>1180.0296630859375</v>
      </c>
      <c r="BQ154" s="29">
        <v>0</v>
      </c>
      <c r="BR154" s="29">
        <v>0</v>
      </c>
      <c r="BS154" s="29">
        <v>0</v>
      </c>
      <c r="BT154" s="29">
        <v>3053.478271484375</v>
      </c>
      <c r="BU154" s="29">
        <v>0</v>
      </c>
      <c r="BV154" s="29">
        <v>767.5303955078125</v>
      </c>
      <c r="BW154" s="29">
        <v>895.10809326171875</v>
      </c>
      <c r="BX154" s="29">
        <v>3255.04150390625</v>
      </c>
      <c r="BY154" s="29"/>
      <c r="BZ154" s="29">
        <v>0</v>
      </c>
      <c r="CA154" s="29">
        <v>0</v>
      </c>
      <c r="CB154" s="29">
        <v>10613.71875</v>
      </c>
      <c r="CC154" s="29">
        <v>3255.04150390625</v>
      </c>
      <c r="CD154" s="33">
        <v>3.2607016440318937</v>
      </c>
      <c r="CE154" s="29">
        <v>-37.192855834960938</v>
      </c>
      <c r="CF154" s="29">
        <v>36.187070970475808</v>
      </c>
      <c r="CG154" s="29">
        <v>0</v>
      </c>
      <c r="CH154" s="29">
        <v>36.187070970475808</v>
      </c>
      <c r="CI154" s="29">
        <v>2.1366290466774287</v>
      </c>
      <c r="CJ154" s="29">
        <v>0</v>
      </c>
      <c r="CK154" s="29">
        <v>2.1366290466774287</v>
      </c>
      <c r="CL154" s="29"/>
      <c r="CM154" s="29">
        <v>0</v>
      </c>
      <c r="CN154" s="29"/>
      <c r="CO154" s="29">
        <v>0</v>
      </c>
      <c r="CP154" s="29">
        <v>0</v>
      </c>
      <c r="CQ154" s="29">
        <v>0</v>
      </c>
      <c r="CR154" s="29">
        <v>0</v>
      </c>
      <c r="CS154" s="29">
        <v>0</v>
      </c>
      <c r="CT154" s="29">
        <v>0</v>
      </c>
      <c r="CU154" s="29">
        <v>0</v>
      </c>
      <c r="CV154" s="29">
        <v>9999</v>
      </c>
      <c r="CW154" s="33">
        <v>9999</v>
      </c>
    </row>
    <row r="155" spans="1:101">
      <c r="A155" s="151" t="s">
        <v>781</v>
      </c>
      <c r="B155" s="151" t="s">
        <v>387</v>
      </c>
      <c r="C155" s="152">
        <f>'Savings Analysis'!C9</f>
        <v>16.101439590000009</v>
      </c>
      <c r="D155" s="153">
        <v>15</v>
      </c>
      <c r="E155" s="154">
        <f>'Cost Analysis'!J75</f>
        <v>0</v>
      </c>
      <c r="F155" s="155"/>
      <c r="G155" s="156" t="s">
        <v>448</v>
      </c>
      <c r="H155" s="400">
        <f>'Savings Analysis'!H9</f>
        <v>0</v>
      </c>
      <c r="I155"/>
      <c r="J155"/>
      <c r="K155"/>
      <c r="L155"/>
      <c r="M155"/>
      <c r="N155"/>
      <c r="O155"/>
      <c r="P155"/>
      <c r="Q155"/>
      <c r="R155"/>
      <c r="AY155" s="29">
        <v>1272.98779296875</v>
      </c>
      <c r="AZ155" s="33">
        <v>7.2913487649245265</v>
      </c>
      <c r="BA155" s="29">
        <v>4472.7065413626315</v>
      </c>
      <c r="BB155" s="29">
        <v>1105.2684326171875</v>
      </c>
      <c r="BC155" s="29">
        <v>843.7998046875</v>
      </c>
      <c r="BD155" s="29">
        <v>2860.023193359375</v>
      </c>
      <c r="BE155" s="29">
        <v>9281.7978515625</v>
      </c>
      <c r="BF155" s="29">
        <v>1836.0634765625</v>
      </c>
      <c r="BG155" s="29">
        <v>-44.699024200439453</v>
      </c>
      <c r="BH155" s="33">
        <v>5.055270741186022</v>
      </c>
      <c r="BI155" s="29">
        <v>8.4657573699951172</v>
      </c>
      <c r="BJ155" s="29">
        <v>19.139177322387695</v>
      </c>
      <c r="BK155" s="29">
        <v>0</v>
      </c>
      <c r="BL155" s="29">
        <v>21.731527328491211</v>
      </c>
      <c r="BM155" s="29">
        <v>49.336463928222656</v>
      </c>
      <c r="BN155" s="29">
        <v>4472.7065413626315</v>
      </c>
      <c r="BO155" s="29">
        <v>0</v>
      </c>
      <c r="BP155" s="29">
        <v>1105.2684326171875</v>
      </c>
      <c r="BQ155" s="29">
        <v>0</v>
      </c>
      <c r="BR155" s="29">
        <v>0</v>
      </c>
      <c r="BS155" s="29">
        <v>0</v>
      </c>
      <c r="BT155" s="29">
        <v>2860.023193359375</v>
      </c>
      <c r="BU155" s="29">
        <v>0</v>
      </c>
      <c r="BV155" s="29">
        <v>693.7952880859375</v>
      </c>
      <c r="BW155" s="29">
        <v>843.7998046875</v>
      </c>
      <c r="BX155" s="29">
        <v>3281.47412109375</v>
      </c>
      <c r="BY155" s="29"/>
      <c r="BZ155" s="29">
        <v>0</v>
      </c>
      <c r="CA155" s="29">
        <v>0</v>
      </c>
      <c r="CB155" s="29">
        <v>9975.5927734375</v>
      </c>
      <c r="CC155" s="29">
        <v>3281.47412109375</v>
      </c>
      <c r="CD155" s="33">
        <v>3.0399731620579291</v>
      </c>
      <c r="CE155" s="29">
        <v>-33.398601531982422</v>
      </c>
      <c r="CF155" s="29">
        <v>33.793004754152108</v>
      </c>
      <c r="CG155" s="29">
        <v>0</v>
      </c>
      <c r="CH155" s="29">
        <v>33.793004754152108</v>
      </c>
      <c r="CI155" s="29">
        <v>1.9957051145239515</v>
      </c>
      <c r="CJ155" s="29">
        <v>0</v>
      </c>
      <c r="CK155" s="29">
        <v>1.9957051145239515</v>
      </c>
      <c r="CL155" s="29"/>
      <c r="CM155" s="29">
        <v>0</v>
      </c>
      <c r="CN155" s="29"/>
      <c r="CO155" s="29">
        <v>0</v>
      </c>
      <c r="CP155" s="29">
        <v>0</v>
      </c>
      <c r="CQ155" s="29">
        <v>0</v>
      </c>
      <c r="CR155" s="29">
        <v>0</v>
      </c>
      <c r="CS155" s="29">
        <v>0</v>
      </c>
      <c r="CT155" s="29">
        <v>0</v>
      </c>
      <c r="CU155" s="29">
        <v>0</v>
      </c>
      <c r="CV155" s="29">
        <v>9999</v>
      </c>
      <c r="CW155" s="33">
        <v>9999</v>
      </c>
    </row>
    <row r="156" spans="1:101">
      <c r="A156" s="151" t="s">
        <v>782</v>
      </c>
      <c r="B156" s="151" t="s">
        <v>387</v>
      </c>
      <c r="C156" s="152">
        <f>'Savings Analysis'!C10</f>
        <v>31.558066760000042</v>
      </c>
      <c r="D156" s="153">
        <v>15</v>
      </c>
      <c r="E156" s="154">
        <f>'Cost Analysis'!J76</f>
        <v>0</v>
      </c>
      <c r="F156" s="155"/>
      <c r="G156" s="156" t="s">
        <v>449</v>
      </c>
      <c r="H156" s="400">
        <f>'Savings Analysis'!H10</f>
        <v>0</v>
      </c>
      <c r="I156"/>
      <c r="J156"/>
      <c r="K156"/>
      <c r="L156"/>
      <c r="M156"/>
      <c r="N156"/>
      <c r="O156"/>
      <c r="P156"/>
      <c r="Q156"/>
      <c r="R156"/>
      <c r="AY156" s="29">
        <v>1411.00048828125</v>
      </c>
      <c r="AZ156" s="33">
        <v>9.4408880523448229</v>
      </c>
      <c r="BA156" s="29">
        <v>6422.9840042062278</v>
      </c>
      <c r="BB156" s="29">
        <v>1585.198974609375</v>
      </c>
      <c r="BC156" s="29">
        <v>1211.0089111328125</v>
      </c>
      <c r="BD156" s="29">
        <v>4101.90576171875</v>
      </c>
      <c r="BE156" s="29">
        <v>13321.09765625</v>
      </c>
      <c r="BF156" s="29">
        <v>2035.122802734375</v>
      </c>
      <c r="BG156" s="29">
        <v>-50.978431701660156</v>
      </c>
      <c r="BH156" s="33">
        <v>6.5455991320428959</v>
      </c>
      <c r="BI156" s="29">
        <v>6.5426349639892578</v>
      </c>
      <c r="BJ156" s="29">
        <v>14.791430473327637</v>
      </c>
      <c r="BK156" s="29">
        <v>0</v>
      </c>
      <c r="BL156" s="29">
        <v>16.794889450073242</v>
      </c>
      <c r="BM156" s="29">
        <v>38.128952026367187</v>
      </c>
      <c r="BN156" s="29">
        <v>6422.9840042062278</v>
      </c>
      <c r="BO156" s="29">
        <v>0</v>
      </c>
      <c r="BP156" s="29">
        <v>1585.198974609375</v>
      </c>
      <c r="BQ156" s="29">
        <v>0</v>
      </c>
      <c r="BR156" s="29">
        <v>0</v>
      </c>
      <c r="BS156" s="29">
        <v>0</v>
      </c>
      <c r="BT156" s="29">
        <v>4101.90576171875</v>
      </c>
      <c r="BU156" s="29">
        <v>0</v>
      </c>
      <c r="BV156" s="29">
        <v>1383.188720703125</v>
      </c>
      <c r="BW156" s="29">
        <v>1211.0089111328125</v>
      </c>
      <c r="BX156" s="29">
        <v>3637.2392578125</v>
      </c>
      <c r="BY156" s="29"/>
      <c r="BZ156" s="29">
        <v>0</v>
      </c>
      <c r="CA156" s="29">
        <v>0</v>
      </c>
      <c r="CB156" s="29">
        <v>14704.2861328125</v>
      </c>
      <c r="CC156" s="29">
        <v>3637.2392578125</v>
      </c>
      <c r="CD156" s="33">
        <v>4.0427052855504773</v>
      </c>
      <c r="CE156" s="29">
        <v>-48.683425903320313</v>
      </c>
      <c r="CF156" s="29">
        <v>48.437856012077518</v>
      </c>
      <c r="CG156" s="29">
        <v>0</v>
      </c>
      <c r="CH156" s="29">
        <v>48.437856012077518</v>
      </c>
      <c r="CI156" s="29">
        <v>2.8606288426765145</v>
      </c>
      <c r="CJ156" s="29">
        <v>0</v>
      </c>
      <c r="CK156" s="29">
        <v>2.8606288426765145</v>
      </c>
      <c r="CL156" s="29"/>
      <c r="CM156" s="29">
        <v>0</v>
      </c>
      <c r="CN156" s="29"/>
      <c r="CO156" s="29">
        <v>0</v>
      </c>
      <c r="CP156" s="29">
        <v>0</v>
      </c>
      <c r="CQ156" s="29">
        <v>0</v>
      </c>
      <c r="CR156" s="29">
        <v>0</v>
      </c>
      <c r="CS156" s="29">
        <v>0</v>
      </c>
      <c r="CT156" s="29">
        <v>0</v>
      </c>
      <c r="CU156" s="29">
        <v>0</v>
      </c>
      <c r="CV156" s="29">
        <v>9999</v>
      </c>
      <c r="CW156" s="33">
        <v>9999</v>
      </c>
    </row>
    <row r="157" spans="1:101">
      <c r="A157" s="151" t="s">
        <v>783</v>
      </c>
      <c r="B157" s="151" t="s">
        <v>387</v>
      </c>
      <c r="C157" s="152">
        <f>'Savings Analysis'!C11</f>
        <v>51.227045089999876</v>
      </c>
      <c r="D157" s="153">
        <v>15</v>
      </c>
      <c r="E157" s="154">
        <f>'Cost Analysis'!J77</f>
        <v>0</v>
      </c>
      <c r="F157" s="155"/>
      <c r="G157" s="156" t="s">
        <v>450</v>
      </c>
      <c r="H157" s="400">
        <f>'Savings Analysis'!H11</f>
        <v>0</v>
      </c>
      <c r="I157"/>
      <c r="J157"/>
      <c r="K157"/>
      <c r="L157"/>
      <c r="M157"/>
      <c r="N157"/>
      <c r="O157"/>
      <c r="P157"/>
      <c r="Q157"/>
      <c r="R157"/>
      <c r="AY157" s="29">
        <v>1422.6607666015625</v>
      </c>
      <c r="AZ157" s="33">
        <v>10.280305928167316</v>
      </c>
      <c r="BA157" s="29">
        <v>7007.4153784854125</v>
      </c>
      <c r="BB157" s="29">
        <v>1752.799072265625</v>
      </c>
      <c r="BC157" s="29">
        <v>1329.5806884765625</v>
      </c>
      <c r="BD157" s="29">
        <v>4535.5927734375</v>
      </c>
      <c r="BE157" s="29">
        <v>14625.3876953125</v>
      </c>
      <c r="BF157" s="29">
        <v>2051.940673828125</v>
      </c>
      <c r="BG157" s="29">
        <v>-52.769172668457031</v>
      </c>
      <c r="BH157" s="33">
        <v>7.1275880921936219</v>
      </c>
      <c r="BI157" s="29">
        <v>5.9659347534179687</v>
      </c>
      <c r="BJ157" s="29">
        <v>13.487639427185059</v>
      </c>
      <c r="BK157" s="29">
        <v>0</v>
      </c>
      <c r="BL157" s="29">
        <v>15.314504623413086</v>
      </c>
      <c r="BM157" s="29">
        <v>34.768077850341797</v>
      </c>
      <c r="BN157" s="29">
        <v>7007.4153784854125</v>
      </c>
      <c r="BO157" s="29">
        <v>0</v>
      </c>
      <c r="BP157" s="29">
        <v>1752.799072265625</v>
      </c>
      <c r="BQ157" s="29">
        <v>0</v>
      </c>
      <c r="BR157" s="29">
        <v>0</v>
      </c>
      <c r="BS157" s="29">
        <v>0</v>
      </c>
      <c r="BT157" s="29">
        <v>4535.5927734375</v>
      </c>
      <c r="BU157" s="29">
        <v>0</v>
      </c>
      <c r="BV157" s="29">
        <v>1170.1409912109375</v>
      </c>
      <c r="BW157" s="29">
        <v>1329.5806884765625</v>
      </c>
      <c r="BX157" s="29">
        <v>3667.296875</v>
      </c>
      <c r="BY157" s="29"/>
      <c r="BZ157" s="29">
        <v>0</v>
      </c>
      <c r="CA157" s="29">
        <v>0</v>
      </c>
      <c r="CB157" s="29">
        <v>15795.529296875</v>
      </c>
      <c r="CC157" s="29">
        <v>3667.296875</v>
      </c>
      <c r="CD157" s="33">
        <v>4.3071312310585812</v>
      </c>
      <c r="CE157" s="29">
        <v>-48.54827880859375</v>
      </c>
      <c r="CF157" s="29">
        <v>53.751759756534568</v>
      </c>
      <c r="CG157" s="29">
        <v>0</v>
      </c>
      <c r="CH157" s="29">
        <v>53.751759756534568</v>
      </c>
      <c r="CI157" s="29">
        <v>3.1737183509419751</v>
      </c>
      <c r="CJ157" s="29">
        <v>0</v>
      </c>
      <c r="CK157" s="29">
        <v>3.1737183509419751</v>
      </c>
      <c r="CL157" s="29"/>
      <c r="CM157" s="29">
        <v>0</v>
      </c>
      <c r="CN157" s="29"/>
      <c r="CO157" s="29">
        <v>0</v>
      </c>
      <c r="CP157" s="29">
        <v>0</v>
      </c>
      <c r="CQ157" s="29">
        <v>0</v>
      </c>
      <c r="CR157" s="29">
        <v>0</v>
      </c>
      <c r="CS157" s="29">
        <v>0</v>
      </c>
      <c r="CT157" s="29">
        <v>0</v>
      </c>
      <c r="CU157" s="29">
        <v>0</v>
      </c>
      <c r="CV157" s="29">
        <v>9999</v>
      </c>
      <c r="CW157" s="33">
        <v>9999</v>
      </c>
    </row>
    <row r="158" spans="1:101">
      <c r="A158" s="151" t="s">
        <v>784</v>
      </c>
      <c r="B158" s="151" t="s">
        <v>387</v>
      </c>
      <c r="C158" s="152">
        <f>'Savings Analysis'!C12</f>
        <v>63.646904412715216</v>
      </c>
      <c r="D158" s="153">
        <v>15</v>
      </c>
      <c r="E158" s="154">
        <f>'Cost Analysis'!J78</f>
        <v>0</v>
      </c>
      <c r="F158" s="155"/>
      <c r="G158" s="156" t="s">
        <v>448</v>
      </c>
      <c r="H158" s="400">
        <f>'Savings Analysis'!H12</f>
        <v>0</v>
      </c>
      <c r="I158"/>
      <c r="J158"/>
      <c r="K158"/>
      <c r="L158"/>
      <c r="M158"/>
      <c r="N158"/>
      <c r="O158"/>
      <c r="P158"/>
      <c r="Q158"/>
      <c r="R158"/>
      <c r="AY158" s="29">
        <v>1423.6851806640625</v>
      </c>
      <c r="AZ158" s="33">
        <v>9.950157516124408</v>
      </c>
      <c r="BA158" s="29">
        <v>6826.2501994169579</v>
      </c>
      <c r="BB158" s="29">
        <v>1686.862060546875</v>
      </c>
      <c r="BC158" s="29">
        <v>1287.808349609375</v>
      </c>
      <c r="BD158" s="29">
        <v>4364.97119140625</v>
      </c>
      <c r="BE158" s="29">
        <v>14165.8916015625</v>
      </c>
      <c r="BF158" s="29">
        <v>2053.418212890625</v>
      </c>
      <c r="BG158" s="29">
        <v>-52.075420379638672</v>
      </c>
      <c r="BH158" s="33">
        <v>6.8986881055456974</v>
      </c>
      <c r="BI158" s="29">
        <v>6.2035994529724121</v>
      </c>
      <c r="BJ158" s="29">
        <v>14.024946212768555</v>
      </c>
      <c r="BK158" s="29">
        <v>0</v>
      </c>
      <c r="BL158" s="29">
        <v>15.924587249755859</v>
      </c>
      <c r="BM158" s="29">
        <v>36.153133392333984</v>
      </c>
      <c r="BN158" s="29">
        <v>6826.2501994169579</v>
      </c>
      <c r="BO158" s="29">
        <v>0</v>
      </c>
      <c r="BP158" s="29">
        <v>1686.862060546875</v>
      </c>
      <c r="BQ158" s="29">
        <v>0</v>
      </c>
      <c r="BR158" s="29">
        <v>0</v>
      </c>
      <c r="BS158" s="29">
        <v>0</v>
      </c>
      <c r="BT158" s="29">
        <v>4364.97119140625</v>
      </c>
      <c r="BU158" s="29">
        <v>0</v>
      </c>
      <c r="BV158" s="29">
        <v>1129.990234375</v>
      </c>
      <c r="BW158" s="29">
        <v>1287.808349609375</v>
      </c>
      <c r="BX158" s="29">
        <v>3669.9375</v>
      </c>
      <c r="BY158" s="29"/>
      <c r="BZ158" s="29">
        <v>0</v>
      </c>
      <c r="CA158" s="29">
        <v>0</v>
      </c>
      <c r="CB158" s="29">
        <v>15295.8818359375</v>
      </c>
      <c r="CC158" s="29">
        <v>3669.9375</v>
      </c>
      <c r="CD158" s="33">
        <v>4.1678862474781813</v>
      </c>
      <c r="CE158" s="29">
        <v>-47.282543182373047</v>
      </c>
      <c r="CF158" s="29">
        <v>51.574925228975928</v>
      </c>
      <c r="CG158" s="29">
        <v>0</v>
      </c>
      <c r="CH158" s="29">
        <v>51.574925228975928</v>
      </c>
      <c r="CI158" s="29">
        <v>3.0458475891526322</v>
      </c>
      <c r="CJ158" s="29">
        <v>0</v>
      </c>
      <c r="CK158" s="29">
        <v>3.0458475891526322</v>
      </c>
      <c r="CL158" s="29"/>
      <c r="CM158" s="29">
        <v>0</v>
      </c>
      <c r="CN158" s="29"/>
      <c r="CO158" s="29">
        <v>0</v>
      </c>
      <c r="CP158" s="29">
        <v>0</v>
      </c>
      <c r="CQ158" s="29">
        <v>0</v>
      </c>
      <c r="CR158" s="29">
        <v>0</v>
      </c>
      <c r="CS158" s="29">
        <v>0</v>
      </c>
      <c r="CT158" s="29">
        <v>0</v>
      </c>
      <c r="CU158" s="29">
        <v>0</v>
      </c>
      <c r="CV158" s="29">
        <v>9999</v>
      </c>
      <c r="CW158" s="33">
        <v>9999</v>
      </c>
    </row>
    <row r="159" spans="1:101">
      <c r="A159" s="151" t="s">
        <v>785</v>
      </c>
      <c r="B159" s="151" t="s">
        <v>387</v>
      </c>
      <c r="C159" s="152">
        <f>'Savings Analysis'!C13</f>
        <v>148.1378811331501</v>
      </c>
      <c r="D159" s="153">
        <v>15</v>
      </c>
      <c r="E159" s="154">
        <f>'Cost Analysis'!J79</f>
        <v>0</v>
      </c>
      <c r="F159" s="155"/>
      <c r="G159" s="156" t="s">
        <v>449</v>
      </c>
      <c r="H159" s="400">
        <f>'Savings Analysis'!H13</f>
        <v>0</v>
      </c>
      <c r="I159"/>
      <c r="J159"/>
      <c r="K159"/>
      <c r="L159"/>
      <c r="M159"/>
      <c r="N159"/>
      <c r="O159"/>
      <c r="P159"/>
      <c r="Q159"/>
      <c r="R159"/>
      <c r="AY159" s="29">
        <v>1789.326416015625</v>
      </c>
      <c r="AZ159" s="33">
        <v>2.7682871675420708</v>
      </c>
      <c r="BA159" s="29">
        <v>2388.3478411075207</v>
      </c>
      <c r="BB159" s="29">
        <v>589.4466552734375</v>
      </c>
      <c r="BC159" s="29">
        <v>450.30630493164062</v>
      </c>
      <c r="BD159" s="29">
        <v>1525.2685546875</v>
      </c>
      <c r="BE159" s="29">
        <v>4953.369140625</v>
      </c>
      <c r="BF159" s="29">
        <v>2580.7919921875</v>
      </c>
      <c r="BG159" s="29">
        <v>0.44460102915763855</v>
      </c>
      <c r="BH159" s="33">
        <v>1.9193213310885351</v>
      </c>
      <c r="BI159" s="29">
        <v>22.312814712524414</v>
      </c>
      <c r="BJ159" s="29">
        <v>50.444271087646484</v>
      </c>
      <c r="BK159" s="29">
        <v>0</v>
      </c>
      <c r="BL159" s="29">
        <v>57.276809692382813</v>
      </c>
      <c r="BM159" s="29">
        <v>130.03388977050781</v>
      </c>
      <c r="BN159" s="29">
        <v>2388.3478411075207</v>
      </c>
      <c r="BO159" s="29">
        <v>0</v>
      </c>
      <c r="BP159" s="29">
        <v>589.4466552734375</v>
      </c>
      <c r="BQ159" s="29">
        <v>0</v>
      </c>
      <c r="BR159" s="29">
        <v>0</v>
      </c>
      <c r="BS159" s="29">
        <v>0</v>
      </c>
      <c r="BT159" s="29">
        <v>1525.2685546875</v>
      </c>
      <c r="BU159" s="29">
        <v>0</v>
      </c>
      <c r="BV159" s="29">
        <v>517.61688232421875</v>
      </c>
      <c r="BW159" s="29">
        <v>450.30630493164062</v>
      </c>
      <c r="BX159" s="29">
        <v>4612.4775390625</v>
      </c>
      <c r="BY159" s="29"/>
      <c r="BZ159" s="29">
        <v>0</v>
      </c>
      <c r="CA159" s="29">
        <v>0</v>
      </c>
      <c r="CB159" s="29">
        <v>5470.986328125</v>
      </c>
      <c r="CC159" s="29">
        <v>4612.4775390625</v>
      </c>
      <c r="CD159" s="33">
        <v>1.1861274536279502</v>
      </c>
      <c r="CE159" s="29">
        <v>43.128864288330078</v>
      </c>
      <c r="CF159" s="29">
        <v>18.011324449595708</v>
      </c>
      <c r="CG159" s="29">
        <v>0</v>
      </c>
      <c r="CH159" s="29">
        <v>18.011324449595708</v>
      </c>
      <c r="CI159" s="29">
        <v>1.0637075720789815</v>
      </c>
      <c r="CJ159" s="29">
        <v>0</v>
      </c>
      <c r="CK159" s="29">
        <v>1.0637075720789815</v>
      </c>
      <c r="CL159" s="29"/>
      <c r="CM159" s="29">
        <v>0</v>
      </c>
      <c r="CN159" s="29"/>
      <c r="CO159" s="29">
        <v>0</v>
      </c>
      <c r="CP159" s="29">
        <v>0</v>
      </c>
      <c r="CQ159" s="29">
        <v>0</v>
      </c>
      <c r="CR159" s="29">
        <v>0</v>
      </c>
      <c r="CS159" s="29">
        <v>0</v>
      </c>
      <c r="CT159" s="29">
        <v>0</v>
      </c>
      <c r="CU159" s="29">
        <v>0</v>
      </c>
      <c r="CV159" s="29">
        <v>9999</v>
      </c>
      <c r="CW159" s="33">
        <v>9999</v>
      </c>
    </row>
    <row r="160" spans="1:101">
      <c r="A160" s="151" t="s">
        <v>786</v>
      </c>
      <c r="B160" s="151" t="s">
        <v>387</v>
      </c>
      <c r="C160" s="152">
        <f>'Savings Analysis'!C14</f>
        <v>248.28454951850256</v>
      </c>
      <c r="D160" s="153">
        <v>15</v>
      </c>
      <c r="E160" s="154">
        <f>'Cost Analysis'!J80</f>
        <v>0</v>
      </c>
      <c r="F160" s="155"/>
      <c r="G160" s="156" t="s">
        <v>450</v>
      </c>
      <c r="H160" s="400">
        <f>'Savings Analysis'!H14</f>
        <v>0</v>
      </c>
      <c r="I160"/>
      <c r="J160"/>
      <c r="K160"/>
      <c r="L160"/>
      <c r="M160"/>
      <c r="N160"/>
      <c r="O160"/>
      <c r="P160"/>
      <c r="Q160"/>
      <c r="R160"/>
      <c r="AY160" s="29">
        <v>1425.42529296875</v>
      </c>
      <c r="AZ160" s="33">
        <v>3.4750115494889662</v>
      </c>
      <c r="BA160" s="29">
        <v>2388.3478411075207</v>
      </c>
      <c r="BB160" s="29">
        <v>589.4466552734375</v>
      </c>
      <c r="BC160" s="29">
        <v>450.30630493164062</v>
      </c>
      <c r="BD160" s="29">
        <v>1525.2685546875</v>
      </c>
      <c r="BE160" s="29">
        <v>4953.369140625</v>
      </c>
      <c r="BF160" s="29">
        <v>2055.927978515625</v>
      </c>
      <c r="BG160" s="29">
        <v>-14.352243423461914</v>
      </c>
      <c r="BH160" s="33">
        <v>2.409310666866729</v>
      </c>
      <c r="BI160" s="29">
        <v>17.774986267089844</v>
      </c>
      <c r="BJ160" s="29">
        <v>40.185253143310547</v>
      </c>
      <c r="BK160" s="29">
        <v>0</v>
      </c>
      <c r="BL160" s="29">
        <v>45.62823486328125</v>
      </c>
      <c r="BM160" s="29">
        <v>103.58847045898437</v>
      </c>
      <c r="BN160" s="29">
        <v>2388.3478411075207</v>
      </c>
      <c r="BO160" s="29">
        <v>0</v>
      </c>
      <c r="BP160" s="29">
        <v>589.4466552734375</v>
      </c>
      <c r="BQ160" s="29">
        <v>0</v>
      </c>
      <c r="BR160" s="29">
        <v>0</v>
      </c>
      <c r="BS160" s="29">
        <v>0</v>
      </c>
      <c r="BT160" s="29">
        <v>1525.2685546875</v>
      </c>
      <c r="BU160" s="29">
        <v>0</v>
      </c>
      <c r="BV160" s="29">
        <v>517.61688232421875</v>
      </c>
      <c r="BW160" s="29">
        <v>450.30630493164062</v>
      </c>
      <c r="BX160" s="29">
        <v>3674.423095703125</v>
      </c>
      <c r="BY160" s="29"/>
      <c r="BZ160" s="29">
        <v>0</v>
      </c>
      <c r="CA160" s="29">
        <v>0</v>
      </c>
      <c r="CB160" s="29">
        <v>5470.986328125</v>
      </c>
      <c r="CC160" s="29">
        <v>3674.423095703125</v>
      </c>
      <c r="CD160" s="33">
        <v>1.4889374728571938</v>
      </c>
      <c r="CE160" s="29">
        <v>16.683454513549805</v>
      </c>
      <c r="CF160" s="29">
        <v>18.011324449595708</v>
      </c>
      <c r="CG160" s="29">
        <v>0</v>
      </c>
      <c r="CH160" s="29">
        <v>18.011324449595708</v>
      </c>
      <c r="CI160" s="29">
        <v>1.0637075720789815</v>
      </c>
      <c r="CJ160" s="29">
        <v>0</v>
      </c>
      <c r="CK160" s="29">
        <v>1.0637075720789815</v>
      </c>
      <c r="CL160" s="29"/>
      <c r="CM160" s="29">
        <v>0</v>
      </c>
      <c r="CN160" s="29"/>
      <c r="CO160" s="29">
        <v>0</v>
      </c>
      <c r="CP160" s="29">
        <v>0</v>
      </c>
      <c r="CQ160" s="29">
        <v>0</v>
      </c>
      <c r="CR160" s="29">
        <v>0</v>
      </c>
      <c r="CS160" s="29">
        <v>0</v>
      </c>
      <c r="CT160" s="29">
        <v>0</v>
      </c>
      <c r="CU160" s="29">
        <v>0</v>
      </c>
      <c r="CV160" s="29">
        <v>9999</v>
      </c>
      <c r="CW160" s="33">
        <v>9999</v>
      </c>
    </row>
    <row r="161" spans="1:101">
      <c r="A161" s="151" t="s">
        <v>787</v>
      </c>
      <c r="B161" s="151" t="s">
        <v>387</v>
      </c>
      <c r="C161" s="152">
        <f>'Savings Analysis'!C15</f>
        <v>63.646904412715216</v>
      </c>
      <c r="D161" s="153">
        <v>15</v>
      </c>
      <c r="E161" s="154">
        <f>'Cost Analysis'!J81</f>
        <v>0</v>
      </c>
      <c r="F161" s="159"/>
      <c r="G161" s="156" t="s">
        <v>448</v>
      </c>
      <c r="H161" s="400">
        <f>'Savings Analysis'!H15</f>
        <v>0</v>
      </c>
      <c r="I161"/>
      <c r="J161"/>
      <c r="K161"/>
      <c r="L161"/>
      <c r="M161"/>
      <c r="N161"/>
      <c r="O161"/>
      <c r="P161"/>
      <c r="Q161"/>
      <c r="R161"/>
      <c r="AY161" s="29">
        <v>1169.009521484375</v>
      </c>
      <c r="AZ161" s="33">
        <v>4.2372361088303645</v>
      </c>
      <c r="BA161" s="29">
        <v>2388.3478411075207</v>
      </c>
      <c r="BB161" s="29">
        <v>589.4466552734375</v>
      </c>
      <c r="BC161" s="29">
        <v>450.30630493164062</v>
      </c>
      <c r="BD161" s="29">
        <v>1525.2685546875</v>
      </c>
      <c r="BE161" s="29">
        <v>4953.369140625</v>
      </c>
      <c r="BF161" s="29">
        <v>1686.0928955078125</v>
      </c>
      <c r="BG161" s="29">
        <v>-24.778549194335938</v>
      </c>
      <c r="BH161" s="33">
        <v>2.9377796260201063</v>
      </c>
      <c r="BI161" s="29">
        <v>14.577493667602539</v>
      </c>
      <c r="BJ161" s="29">
        <v>32.956439971923828</v>
      </c>
      <c r="BK161" s="29">
        <v>0</v>
      </c>
      <c r="BL161" s="29">
        <v>37.420303344726563</v>
      </c>
      <c r="BM161" s="29">
        <v>84.954246520996094</v>
      </c>
      <c r="BN161" s="29">
        <v>2388.3478411075207</v>
      </c>
      <c r="BO161" s="29">
        <v>0</v>
      </c>
      <c r="BP161" s="29">
        <v>589.4466552734375</v>
      </c>
      <c r="BQ161" s="29">
        <v>0</v>
      </c>
      <c r="BR161" s="29">
        <v>0</v>
      </c>
      <c r="BS161" s="29">
        <v>0</v>
      </c>
      <c r="BT161" s="29">
        <v>1525.2685546875</v>
      </c>
      <c r="BU161" s="29">
        <v>0</v>
      </c>
      <c r="BV161" s="29">
        <v>517.61688232421875</v>
      </c>
      <c r="BW161" s="29">
        <v>450.30630493164062</v>
      </c>
      <c r="BX161" s="29">
        <v>3013.441650390625</v>
      </c>
      <c r="BY161" s="29"/>
      <c r="BZ161" s="29">
        <v>0</v>
      </c>
      <c r="CA161" s="29">
        <v>0</v>
      </c>
      <c r="CB161" s="29">
        <v>5470.986328125</v>
      </c>
      <c r="CC161" s="29">
        <v>3013.441650390625</v>
      </c>
      <c r="CD161" s="33">
        <v>1.8155275173870142</v>
      </c>
      <c r="CE161" s="29">
        <v>-1.9507784843444824</v>
      </c>
      <c r="CF161" s="29">
        <v>18.011324449595708</v>
      </c>
      <c r="CG161" s="29">
        <v>0</v>
      </c>
      <c r="CH161" s="29">
        <v>18.011324449595708</v>
      </c>
      <c r="CI161" s="29">
        <v>1.0637075720789815</v>
      </c>
      <c r="CJ161" s="29">
        <v>0</v>
      </c>
      <c r="CK161" s="29">
        <v>1.0637075720789815</v>
      </c>
      <c r="CL161" s="29"/>
      <c r="CM161" s="29">
        <v>0</v>
      </c>
      <c r="CN161" s="29"/>
      <c r="CO161" s="29">
        <v>0</v>
      </c>
      <c r="CP161" s="29">
        <v>0</v>
      </c>
      <c r="CQ161" s="29">
        <v>0</v>
      </c>
      <c r="CR161" s="29">
        <v>0</v>
      </c>
      <c r="CS161" s="29">
        <v>0</v>
      </c>
      <c r="CT161" s="29">
        <v>0</v>
      </c>
      <c r="CU161" s="29">
        <v>0</v>
      </c>
      <c r="CV161" s="29">
        <v>9999</v>
      </c>
      <c r="CW161" s="33">
        <v>9999</v>
      </c>
    </row>
    <row r="162" spans="1:101">
      <c r="A162" s="151" t="s">
        <v>788</v>
      </c>
      <c r="B162" s="151" t="s">
        <v>387</v>
      </c>
      <c r="C162" s="152">
        <f>'Savings Analysis'!C16</f>
        <v>148.1378811331501</v>
      </c>
      <c r="D162" s="153">
        <v>15</v>
      </c>
      <c r="E162" s="154">
        <f>'Cost Analysis'!J82</f>
        <v>0</v>
      </c>
      <c r="F162" s="159"/>
      <c r="G162" s="156" t="s">
        <v>449</v>
      </c>
      <c r="H162" s="400">
        <f>'Savings Analysis'!H16</f>
        <v>0</v>
      </c>
      <c r="I162"/>
      <c r="J162"/>
      <c r="K162"/>
      <c r="L162"/>
      <c r="M162"/>
      <c r="N162"/>
      <c r="O162"/>
      <c r="P162"/>
      <c r="Q162"/>
      <c r="R162"/>
      <c r="AY162" s="29">
        <v>1806.051025390625</v>
      </c>
      <c r="AZ162" s="33">
        <v>2.8055623941228758</v>
      </c>
      <c r="BA162" s="29">
        <v>2427.7301411932317</v>
      </c>
      <c r="BB162" s="29">
        <v>607.26007080078125</v>
      </c>
      <c r="BC162" s="29">
        <v>460.63534545898437</v>
      </c>
      <c r="BD162" s="29">
        <v>1571.36328125</v>
      </c>
      <c r="BE162" s="29">
        <v>5066.98876953125</v>
      </c>
      <c r="BF162" s="29">
        <v>2604.91455078125</v>
      </c>
      <c r="BG162" s="29">
        <v>-0.93982356786727905</v>
      </c>
      <c r="BH162" s="33">
        <v>1.9451651781169781</v>
      </c>
      <c r="BI162" s="29">
        <v>21.860725402832031</v>
      </c>
      <c r="BJ162" s="29">
        <v>49.422199249267578</v>
      </c>
      <c r="BK162" s="29">
        <v>0</v>
      </c>
      <c r="BL162" s="29">
        <v>56.116294860839844</v>
      </c>
      <c r="BM162" s="29">
        <v>127.39922332763672</v>
      </c>
      <c r="BN162" s="29">
        <v>2427.7301411932317</v>
      </c>
      <c r="BO162" s="29">
        <v>0</v>
      </c>
      <c r="BP162" s="29">
        <v>607.26007080078125</v>
      </c>
      <c r="BQ162" s="29">
        <v>0</v>
      </c>
      <c r="BR162" s="29">
        <v>0</v>
      </c>
      <c r="BS162" s="29">
        <v>0</v>
      </c>
      <c r="BT162" s="29">
        <v>1571.36328125</v>
      </c>
      <c r="BU162" s="29">
        <v>0</v>
      </c>
      <c r="BV162" s="29">
        <v>389.85919189453125</v>
      </c>
      <c r="BW162" s="29">
        <v>460.63534545898437</v>
      </c>
      <c r="BX162" s="29">
        <v>4655.58984375</v>
      </c>
      <c r="BY162" s="29"/>
      <c r="BZ162" s="29">
        <v>0</v>
      </c>
      <c r="CA162" s="29">
        <v>0</v>
      </c>
      <c r="CB162" s="29">
        <v>5456.84814453125</v>
      </c>
      <c r="CC162" s="29">
        <v>4655.58984375</v>
      </c>
      <c r="CD162" s="33">
        <v>1.1721066961951545</v>
      </c>
      <c r="CE162" s="29">
        <v>44.508056640625</v>
      </c>
      <c r="CF162" s="29">
        <v>18.622382184416995</v>
      </c>
      <c r="CG162" s="29">
        <v>0</v>
      </c>
      <c r="CH162" s="29">
        <v>18.622382184416995</v>
      </c>
      <c r="CI162" s="29">
        <v>1.0995397424128823</v>
      </c>
      <c r="CJ162" s="29">
        <v>0</v>
      </c>
      <c r="CK162" s="29">
        <v>1.0995397424128823</v>
      </c>
      <c r="CL162" s="29"/>
      <c r="CM162" s="29">
        <v>0</v>
      </c>
      <c r="CN162" s="29"/>
      <c r="CO162" s="29">
        <v>0</v>
      </c>
      <c r="CP162" s="29">
        <v>0</v>
      </c>
      <c r="CQ162" s="29">
        <v>0</v>
      </c>
      <c r="CR162" s="29">
        <v>0</v>
      </c>
      <c r="CS162" s="29">
        <v>0</v>
      </c>
      <c r="CT162" s="29">
        <v>0</v>
      </c>
      <c r="CU162" s="29">
        <v>0</v>
      </c>
      <c r="CV162" s="29">
        <v>9999</v>
      </c>
      <c r="CW162" s="33">
        <v>9999</v>
      </c>
    </row>
    <row r="163" spans="1:101">
      <c r="A163" s="151" t="s">
        <v>789</v>
      </c>
      <c r="B163" s="151" t="s">
        <v>387</v>
      </c>
      <c r="C163" s="152">
        <f>'Savings Analysis'!C17</f>
        <v>248.28454951850256</v>
      </c>
      <c r="D163" s="153">
        <v>15</v>
      </c>
      <c r="E163" s="154">
        <f>'Cost Analysis'!J83</f>
        <v>0</v>
      </c>
      <c r="F163" s="159"/>
      <c r="G163" s="156" t="s">
        <v>450</v>
      </c>
      <c r="H163" s="400">
        <f>'Savings Analysis'!H17</f>
        <v>0</v>
      </c>
      <c r="I163"/>
      <c r="J163"/>
      <c r="K163"/>
      <c r="L163"/>
      <c r="M163"/>
      <c r="N163"/>
      <c r="O163"/>
      <c r="P163"/>
      <c r="Q163"/>
      <c r="R163"/>
      <c r="AY163" s="29">
        <v>1438.8955078125</v>
      </c>
      <c r="AZ163" s="33">
        <v>3.5214432258574173</v>
      </c>
      <c r="BA163" s="29">
        <v>2427.7301411932317</v>
      </c>
      <c r="BB163" s="29">
        <v>607.26007080078125</v>
      </c>
      <c r="BC163" s="29">
        <v>460.63534545898437</v>
      </c>
      <c r="BD163" s="29">
        <v>1571.36328125</v>
      </c>
      <c r="BE163" s="29">
        <v>5066.98876953125</v>
      </c>
      <c r="BF163" s="29">
        <v>2075.3564453125</v>
      </c>
      <c r="BG163" s="29">
        <v>-15.431062698364258</v>
      </c>
      <c r="BH163" s="33">
        <v>2.4415028565960482</v>
      </c>
      <c r="BI163" s="29">
        <v>17.416618347167969</v>
      </c>
      <c r="BJ163" s="29">
        <v>39.375068664550781</v>
      </c>
      <c r="BK163" s="29">
        <v>0</v>
      </c>
      <c r="BL163" s="29">
        <v>44.70831298828125</v>
      </c>
      <c r="BM163" s="29">
        <v>101.5</v>
      </c>
      <c r="BN163" s="29">
        <v>2427.7301411932317</v>
      </c>
      <c r="BO163" s="29">
        <v>0</v>
      </c>
      <c r="BP163" s="29">
        <v>607.26007080078125</v>
      </c>
      <c r="BQ163" s="29">
        <v>0</v>
      </c>
      <c r="BR163" s="29">
        <v>0</v>
      </c>
      <c r="BS163" s="29">
        <v>0</v>
      </c>
      <c r="BT163" s="29">
        <v>1571.36328125</v>
      </c>
      <c r="BU163" s="29">
        <v>0</v>
      </c>
      <c r="BV163" s="29">
        <v>389.85919189453125</v>
      </c>
      <c r="BW163" s="29">
        <v>460.63534545898437</v>
      </c>
      <c r="BX163" s="29">
        <v>3709.146484375</v>
      </c>
      <c r="BY163" s="29"/>
      <c r="BZ163" s="29">
        <v>0</v>
      </c>
      <c r="CA163" s="29">
        <v>0</v>
      </c>
      <c r="CB163" s="29">
        <v>5456.84814453125</v>
      </c>
      <c r="CC163" s="29">
        <v>3709.146484375</v>
      </c>
      <c r="CD163" s="33">
        <v>1.4711869842792202</v>
      </c>
      <c r="CE163" s="29">
        <v>18.608837127685547</v>
      </c>
      <c r="CF163" s="29">
        <v>18.622382184416995</v>
      </c>
      <c r="CG163" s="29">
        <v>0</v>
      </c>
      <c r="CH163" s="29">
        <v>18.622382184416995</v>
      </c>
      <c r="CI163" s="29">
        <v>1.0995397424128823</v>
      </c>
      <c r="CJ163" s="29">
        <v>0</v>
      </c>
      <c r="CK163" s="29">
        <v>1.0995397424128823</v>
      </c>
      <c r="CL163" s="29"/>
      <c r="CM163" s="29">
        <v>0</v>
      </c>
      <c r="CN163" s="29"/>
      <c r="CO163" s="29">
        <v>0</v>
      </c>
      <c r="CP163" s="29">
        <v>0</v>
      </c>
      <c r="CQ163" s="29">
        <v>0</v>
      </c>
      <c r="CR163" s="29">
        <v>0</v>
      </c>
      <c r="CS163" s="29">
        <v>0</v>
      </c>
      <c r="CT163" s="29">
        <v>0</v>
      </c>
      <c r="CU163" s="29">
        <v>0</v>
      </c>
      <c r="CV163" s="29">
        <v>9999</v>
      </c>
      <c r="CW163" s="33">
        <v>9999</v>
      </c>
    </row>
    <row r="164" spans="1:101">
      <c r="A164" s="151" t="s">
        <v>790</v>
      </c>
      <c r="B164" s="151" t="s">
        <v>387</v>
      </c>
      <c r="C164" s="152">
        <f>'Savings Analysis'!C18</f>
        <v>63.646904412715216</v>
      </c>
      <c r="D164" s="153">
        <v>15</v>
      </c>
      <c r="E164" s="154">
        <f>'Cost Analysis'!J84</f>
        <v>0</v>
      </c>
      <c r="F164" s="159"/>
      <c r="G164" s="156" t="s">
        <v>448</v>
      </c>
      <c r="H164" s="400">
        <f>'Savings Analysis'!H18</f>
        <v>0</v>
      </c>
      <c r="I164"/>
      <c r="J164"/>
      <c r="K164"/>
      <c r="L164"/>
      <c r="M164"/>
      <c r="N164"/>
      <c r="O164"/>
      <c r="P164"/>
      <c r="Q164"/>
      <c r="R164"/>
      <c r="AY164" s="29">
        <v>1178.467041015625</v>
      </c>
      <c r="AZ164" s="33">
        <v>4.299644081972942</v>
      </c>
      <c r="BA164" s="29">
        <v>2427.7301411932317</v>
      </c>
      <c r="BB164" s="29">
        <v>607.26007080078125</v>
      </c>
      <c r="BC164" s="29">
        <v>460.63534545898437</v>
      </c>
      <c r="BD164" s="29">
        <v>1571.36328125</v>
      </c>
      <c r="BE164" s="29">
        <v>5066.98876953125</v>
      </c>
      <c r="BF164" s="29">
        <v>1699.733642578125</v>
      </c>
      <c r="BG164" s="29">
        <v>-25.70989990234375</v>
      </c>
      <c r="BH164" s="33">
        <v>2.9810486359902315</v>
      </c>
      <c r="BI164" s="29">
        <v>14.264349937438965</v>
      </c>
      <c r="BJ164" s="29">
        <v>32.248497009277344</v>
      </c>
      <c r="BK164" s="29">
        <v>0</v>
      </c>
      <c r="BL164" s="29">
        <v>36.616466522216797</v>
      </c>
      <c r="BM164" s="29">
        <v>83.129310607910156</v>
      </c>
      <c r="BN164" s="29">
        <v>2427.7301411932317</v>
      </c>
      <c r="BO164" s="29">
        <v>0</v>
      </c>
      <c r="BP164" s="29">
        <v>607.26007080078125</v>
      </c>
      <c r="BQ164" s="29">
        <v>0</v>
      </c>
      <c r="BR164" s="29">
        <v>0</v>
      </c>
      <c r="BS164" s="29">
        <v>0</v>
      </c>
      <c r="BT164" s="29">
        <v>1571.36328125</v>
      </c>
      <c r="BU164" s="29">
        <v>0</v>
      </c>
      <c r="BV164" s="29">
        <v>389.85919189453125</v>
      </c>
      <c r="BW164" s="29">
        <v>460.63534545898437</v>
      </c>
      <c r="BX164" s="29">
        <v>3037.82080078125</v>
      </c>
      <c r="BY164" s="29"/>
      <c r="BZ164" s="29">
        <v>0</v>
      </c>
      <c r="CA164" s="29">
        <v>0</v>
      </c>
      <c r="CB164" s="29">
        <v>5456.84814453125</v>
      </c>
      <c r="CC164" s="29">
        <v>3037.82080078125</v>
      </c>
      <c r="CD164" s="33">
        <v>1.7963034650345953</v>
      </c>
      <c r="CE164" s="29">
        <v>0.23815330862998962</v>
      </c>
      <c r="CF164" s="29">
        <v>18.622382184416995</v>
      </c>
      <c r="CG164" s="29">
        <v>0</v>
      </c>
      <c r="CH164" s="29">
        <v>18.622382184416995</v>
      </c>
      <c r="CI164" s="29">
        <v>1.0995397424128823</v>
      </c>
      <c r="CJ164" s="29">
        <v>0</v>
      </c>
      <c r="CK164" s="29">
        <v>1.0995397424128823</v>
      </c>
      <c r="CL164" s="29"/>
      <c r="CM164" s="29">
        <v>0</v>
      </c>
      <c r="CN164" s="29"/>
      <c r="CO164" s="29">
        <v>0</v>
      </c>
      <c r="CP164" s="29">
        <v>0</v>
      </c>
      <c r="CQ164" s="29">
        <v>0</v>
      </c>
      <c r="CR164" s="29">
        <v>0</v>
      </c>
      <c r="CS164" s="29">
        <v>0</v>
      </c>
      <c r="CT164" s="29">
        <v>0</v>
      </c>
      <c r="CU164" s="29">
        <v>0</v>
      </c>
      <c r="CV164" s="29">
        <v>9999</v>
      </c>
      <c r="CW164" s="33">
        <v>9999</v>
      </c>
    </row>
    <row r="165" spans="1:101">
      <c r="A165" s="151" t="s">
        <v>791</v>
      </c>
      <c r="B165" s="151" t="s">
        <v>387</v>
      </c>
      <c r="C165" s="152">
        <f>'Savings Analysis'!C19</f>
        <v>148.1378811331501</v>
      </c>
      <c r="D165" s="153">
        <v>15</v>
      </c>
      <c r="E165" s="154">
        <f>'Cost Analysis'!J85</f>
        <v>0</v>
      </c>
      <c r="F165" s="159"/>
      <c r="G165" s="156" t="s">
        <v>449</v>
      </c>
      <c r="H165" s="400">
        <f>'Savings Analysis'!H19</f>
        <v>0</v>
      </c>
      <c r="I165"/>
      <c r="J165"/>
      <c r="K165"/>
      <c r="L165"/>
      <c r="M165"/>
      <c r="N165"/>
      <c r="O165"/>
      <c r="P165"/>
      <c r="Q165"/>
      <c r="R165"/>
      <c r="AY165" s="29">
        <v>1826.7864990234375</v>
      </c>
      <c r="AZ165" s="33">
        <v>2.4073444759776077</v>
      </c>
      <c r="BA165" s="29">
        <v>2119.1628833082964</v>
      </c>
      <c r="BB165" s="29">
        <v>523.67474365234375</v>
      </c>
      <c r="BC165" s="29">
        <v>399.79132080078125</v>
      </c>
      <c r="BD165" s="29">
        <v>1355.075439453125</v>
      </c>
      <c r="BE165" s="29">
        <v>4397.70458984375</v>
      </c>
      <c r="BF165" s="29">
        <v>2634.82177734375</v>
      </c>
      <c r="BG165" s="29">
        <v>11.305685997009277</v>
      </c>
      <c r="BH165" s="33">
        <v>1.6690709121313001</v>
      </c>
      <c r="BI165" s="29">
        <v>25.641027450561523</v>
      </c>
      <c r="BJ165" s="29">
        <v>57.968612670898438</v>
      </c>
      <c r="BK165" s="29">
        <v>0</v>
      </c>
      <c r="BL165" s="29">
        <v>65.820304870605469</v>
      </c>
      <c r="BM165" s="29">
        <v>149.42994689941406</v>
      </c>
      <c r="BN165" s="29">
        <v>2119.1628833082964</v>
      </c>
      <c r="BO165" s="29">
        <v>0</v>
      </c>
      <c r="BP165" s="29">
        <v>523.67474365234375</v>
      </c>
      <c r="BQ165" s="29">
        <v>0</v>
      </c>
      <c r="BR165" s="29">
        <v>0</v>
      </c>
      <c r="BS165" s="29">
        <v>0</v>
      </c>
      <c r="BT165" s="29">
        <v>1355.075439453125</v>
      </c>
      <c r="BU165" s="29">
        <v>0</v>
      </c>
      <c r="BV165" s="29">
        <v>342.00433349609375</v>
      </c>
      <c r="BW165" s="29">
        <v>399.79132080078125</v>
      </c>
      <c r="BX165" s="29">
        <v>4709.04150390625</v>
      </c>
      <c r="BY165" s="29"/>
      <c r="BZ165" s="29">
        <v>0</v>
      </c>
      <c r="CA165" s="29">
        <v>0</v>
      </c>
      <c r="CB165" s="29">
        <v>4739.70849609375</v>
      </c>
      <c r="CC165" s="29">
        <v>4709.04150390625</v>
      </c>
      <c r="CD165" s="33">
        <v>1.006512411661471</v>
      </c>
      <c r="CE165" s="29">
        <v>66.2733154296875</v>
      </c>
      <c r="CF165" s="29">
        <v>16.011084279328259</v>
      </c>
      <c r="CG165" s="29">
        <v>0</v>
      </c>
      <c r="CH165" s="29">
        <v>16.011084279328259</v>
      </c>
      <c r="CI165" s="29">
        <v>0.94556263989527034</v>
      </c>
      <c r="CJ165" s="29">
        <v>0</v>
      </c>
      <c r="CK165" s="29">
        <v>0.94556263989527034</v>
      </c>
      <c r="CL165" s="29"/>
      <c r="CM165" s="29">
        <v>0</v>
      </c>
      <c r="CN165" s="29"/>
      <c r="CO165" s="29">
        <v>0</v>
      </c>
      <c r="CP165" s="29">
        <v>0</v>
      </c>
      <c r="CQ165" s="29">
        <v>0</v>
      </c>
      <c r="CR165" s="29">
        <v>0</v>
      </c>
      <c r="CS165" s="29">
        <v>0</v>
      </c>
      <c r="CT165" s="29">
        <v>0</v>
      </c>
      <c r="CU165" s="29">
        <v>0</v>
      </c>
      <c r="CV165" s="29">
        <v>9999</v>
      </c>
      <c r="CW165" s="33">
        <v>9999</v>
      </c>
    </row>
    <row r="166" spans="1:101">
      <c r="A166" s="151" t="s">
        <v>792</v>
      </c>
      <c r="B166" s="151" t="s">
        <v>387</v>
      </c>
      <c r="C166" s="152">
        <f>'Savings Analysis'!C20</f>
        <v>248.28454951850256</v>
      </c>
      <c r="D166" s="153">
        <v>15</v>
      </c>
      <c r="E166" s="154">
        <f>'Cost Analysis'!J86</f>
        <v>0</v>
      </c>
      <c r="F166" s="159"/>
      <c r="G166" s="156" t="s">
        <v>450</v>
      </c>
      <c r="H166" s="400">
        <f>'Savings Analysis'!H20</f>
        <v>0</v>
      </c>
      <c r="I166"/>
      <c r="J166"/>
      <c r="K166"/>
      <c r="L166"/>
      <c r="M166"/>
      <c r="N166"/>
      <c r="O166"/>
      <c r="P166"/>
      <c r="Q166"/>
      <c r="R166"/>
      <c r="AY166" s="29">
        <v>1455.5963134765625</v>
      </c>
      <c r="AZ166" s="33">
        <v>3.0212390252013073</v>
      </c>
      <c r="BA166" s="29">
        <v>2119.1628833082964</v>
      </c>
      <c r="BB166" s="29">
        <v>523.67474365234375</v>
      </c>
      <c r="BC166" s="29">
        <v>399.79132080078125</v>
      </c>
      <c r="BD166" s="29">
        <v>1355.075439453125</v>
      </c>
      <c r="BE166" s="29">
        <v>4397.70458984375</v>
      </c>
      <c r="BF166" s="29">
        <v>2099.4443359375</v>
      </c>
      <c r="BG166" s="29">
        <v>-5.6832079887390137</v>
      </c>
      <c r="BH166" s="33">
        <v>2.0946990859608543</v>
      </c>
      <c r="BI166" s="29">
        <v>20.430950164794922</v>
      </c>
      <c r="BJ166" s="29">
        <v>46.189800262451172</v>
      </c>
      <c r="BK166" s="29">
        <v>0</v>
      </c>
      <c r="BL166" s="29">
        <v>52.446075439453125</v>
      </c>
      <c r="BM166" s="29">
        <v>119.06681823730469</v>
      </c>
      <c r="BN166" s="29">
        <v>2119.1628833082964</v>
      </c>
      <c r="BO166" s="29">
        <v>0</v>
      </c>
      <c r="BP166" s="29">
        <v>523.67474365234375</v>
      </c>
      <c r="BQ166" s="29">
        <v>0</v>
      </c>
      <c r="BR166" s="29">
        <v>0</v>
      </c>
      <c r="BS166" s="29">
        <v>0</v>
      </c>
      <c r="BT166" s="29">
        <v>1355.075439453125</v>
      </c>
      <c r="BU166" s="29">
        <v>0</v>
      </c>
      <c r="BV166" s="29">
        <v>342.00433349609375</v>
      </c>
      <c r="BW166" s="29">
        <v>399.79132080078125</v>
      </c>
      <c r="BX166" s="29">
        <v>3752.197021484375</v>
      </c>
      <c r="BY166" s="29"/>
      <c r="BZ166" s="29">
        <v>0</v>
      </c>
      <c r="CA166" s="29">
        <v>0</v>
      </c>
      <c r="CB166" s="29">
        <v>4739.70849609375</v>
      </c>
      <c r="CC166" s="29">
        <v>3752.197021484375</v>
      </c>
      <c r="CD166" s="33">
        <v>1.2631822619046811</v>
      </c>
      <c r="CE166" s="29">
        <v>35.910190582275391</v>
      </c>
      <c r="CF166" s="29">
        <v>16.011084279328259</v>
      </c>
      <c r="CG166" s="29">
        <v>0</v>
      </c>
      <c r="CH166" s="29">
        <v>16.011084279328259</v>
      </c>
      <c r="CI166" s="29">
        <v>0.94556263989527034</v>
      </c>
      <c r="CJ166" s="29">
        <v>0</v>
      </c>
      <c r="CK166" s="29">
        <v>0.94556263989527034</v>
      </c>
      <c r="CL166" s="29"/>
      <c r="CM166" s="29">
        <v>0</v>
      </c>
      <c r="CN166" s="29"/>
      <c r="CO166" s="29">
        <v>0</v>
      </c>
      <c r="CP166" s="29">
        <v>0</v>
      </c>
      <c r="CQ166" s="29">
        <v>0</v>
      </c>
      <c r="CR166" s="29">
        <v>0</v>
      </c>
      <c r="CS166" s="29">
        <v>0</v>
      </c>
      <c r="CT166" s="29">
        <v>0</v>
      </c>
      <c r="CU166" s="29">
        <v>0</v>
      </c>
      <c r="CV166" s="29">
        <v>9999</v>
      </c>
      <c r="CW166" s="33">
        <v>9999</v>
      </c>
    </row>
    <row r="167" spans="1:101">
      <c r="A167" s="151" t="s">
        <v>793</v>
      </c>
      <c r="B167" s="151" t="s">
        <v>387</v>
      </c>
      <c r="C167" s="152">
        <f>'Savings Analysis'!C21</f>
        <v>-32.124417637256897</v>
      </c>
      <c r="D167" s="153">
        <v>15</v>
      </c>
      <c r="E167" s="154">
        <f>'Cost Analysis'!J87</f>
        <v>0</v>
      </c>
      <c r="F167" s="159"/>
      <c r="G167" s="156" t="s">
        <v>916</v>
      </c>
      <c r="H167" s="400">
        <f>'Savings Analysis'!H21</f>
        <v>4.2672027323999426</v>
      </c>
      <c r="I167"/>
      <c r="J167"/>
      <c r="K167"/>
      <c r="L167"/>
      <c r="M167"/>
      <c r="N167"/>
      <c r="O167"/>
      <c r="P167"/>
      <c r="Q167"/>
      <c r="R167"/>
      <c r="AY167" s="29">
        <v>1190.1927490234375</v>
      </c>
      <c r="AZ167" s="33">
        <v>3.6949514192746484</v>
      </c>
      <c r="BA167" s="29">
        <v>2119.1628833082964</v>
      </c>
      <c r="BB167" s="29">
        <v>523.67474365234375</v>
      </c>
      <c r="BC167" s="29">
        <v>399.79132080078125</v>
      </c>
      <c r="BD167" s="29">
        <v>1355.075439453125</v>
      </c>
      <c r="BE167" s="29">
        <v>4397.70458984375</v>
      </c>
      <c r="BF167" s="29">
        <v>1716.64599609375</v>
      </c>
      <c r="BG167" s="29">
        <v>-17.83038330078125</v>
      </c>
      <c r="BH167" s="33">
        <v>2.5618003928716688</v>
      </c>
      <c r="BI167" s="29">
        <v>16.705709457397461</v>
      </c>
      <c r="BJ167" s="29">
        <v>37.767864227294922</v>
      </c>
      <c r="BK167" s="29">
        <v>0</v>
      </c>
      <c r="BL167" s="29">
        <v>42.883415222167969</v>
      </c>
      <c r="BM167" s="29">
        <v>97.356986999511719</v>
      </c>
      <c r="BN167" s="29">
        <v>2119.1628833082964</v>
      </c>
      <c r="BO167" s="29">
        <v>0</v>
      </c>
      <c r="BP167" s="29">
        <v>523.67474365234375</v>
      </c>
      <c r="BQ167" s="29">
        <v>0</v>
      </c>
      <c r="BR167" s="29">
        <v>0</v>
      </c>
      <c r="BS167" s="29">
        <v>0</v>
      </c>
      <c r="BT167" s="29">
        <v>1355.075439453125</v>
      </c>
      <c r="BU167" s="29">
        <v>0</v>
      </c>
      <c r="BV167" s="29">
        <v>342.00433349609375</v>
      </c>
      <c r="BW167" s="29">
        <v>399.79132080078125</v>
      </c>
      <c r="BX167" s="29">
        <v>3068.046875</v>
      </c>
      <c r="BY167" s="29"/>
      <c r="BZ167" s="29">
        <v>0</v>
      </c>
      <c r="CA167" s="29">
        <v>0</v>
      </c>
      <c r="CB167" s="29">
        <v>4739.70849609375</v>
      </c>
      <c r="CC167" s="29">
        <v>3068.046875</v>
      </c>
      <c r="CD167" s="33">
        <v>1.5448618987317917</v>
      </c>
      <c r="CE167" s="29">
        <v>14.200353622436523</v>
      </c>
      <c r="CF167" s="29">
        <v>16.011084279328259</v>
      </c>
      <c r="CG167" s="29">
        <v>0</v>
      </c>
      <c r="CH167" s="29">
        <v>16.011084279328259</v>
      </c>
      <c r="CI167" s="29">
        <v>0.94556263989527034</v>
      </c>
      <c r="CJ167" s="29">
        <v>0</v>
      </c>
      <c r="CK167" s="29">
        <v>0.94556263989527034</v>
      </c>
      <c r="CL167" s="29"/>
      <c r="CM167" s="29">
        <v>0</v>
      </c>
      <c r="CN167" s="29"/>
      <c r="CO167" s="29">
        <v>0</v>
      </c>
      <c r="CP167" s="29">
        <v>0</v>
      </c>
      <c r="CQ167" s="29">
        <v>0</v>
      </c>
      <c r="CR167" s="29">
        <v>0</v>
      </c>
      <c r="CS167" s="29">
        <v>0</v>
      </c>
      <c r="CT167" s="29">
        <v>0</v>
      </c>
      <c r="CU167" s="29">
        <v>0</v>
      </c>
      <c r="CV167" s="29">
        <v>9999</v>
      </c>
      <c r="CW167" s="33">
        <v>9999</v>
      </c>
    </row>
    <row r="168" spans="1:101">
      <c r="A168" s="151" t="s">
        <v>794</v>
      </c>
      <c r="B168" s="151" t="s">
        <v>387</v>
      </c>
      <c r="C168" s="152">
        <f>'Savings Analysis'!C22</f>
        <v>-32.124417637256897</v>
      </c>
      <c r="D168" s="153">
        <v>15</v>
      </c>
      <c r="E168" s="154">
        <f>'Cost Analysis'!J88</f>
        <v>0</v>
      </c>
      <c r="F168" s="159"/>
      <c r="G168" s="156" t="s">
        <v>916</v>
      </c>
      <c r="H168" s="400">
        <f>'Savings Analysis'!H22</f>
        <v>4.2672027323999426</v>
      </c>
      <c r="I168"/>
      <c r="J168"/>
      <c r="K168"/>
      <c r="L168"/>
      <c r="M168"/>
      <c r="N168"/>
      <c r="O168"/>
      <c r="P168"/>
      <c r="Q168"/>
      <c r="R168"/>
      <c r="AY168" s="29">
        <v>1994.8807373046875</v>
      </c>
      <c r="AZ168" s="33">
        <v>4.5803408197854276</v>
      </c>
      <c r="BA168" s="29">
        <v>4405.6659226568727</v>
      </c>
      <c r="BB168" s="29">
        <v>1087.32275390625</v>
      </c>
      <c r="BC168" s="29">
        <v>830.6575927734375</v>
      </c>
      <c r="BD168" s="29">
        <v>2813.58740234375</v>
      </c>
      <c r="BE168" s="29">
        <v>9137.2333984375</v>
      </c>
      <c r="BF168" s="29">
        <v>2877.2685546875</v>
      </c>
      <c r="BG168" s="29">
        <v>-28.339235305786133</v>
      </c>
      <c r="BH168" s="33">
        <v>3.1756625722157619</v>
      </c>
      <c r="BI168" s="29">
        <v>13.48552131652832</v>
      </c>
      <c r="BJ168" s="29">
        <v>30.487739562988281</v>
      </c>
      <c r="BK168" s="29">
        <v>0</v>
      </c>
      <c r="BL168" s="29">
        <v>34.617218017578125</v>
      </c>
      <c r="BM168" s="29">
        <v>78.590484619140625</v>
      </c>
      <c r="BN168" s="29">
        <v>4405.6659226568727</v>
      </c>
      <c r="BO168" s="29">
        <v>0</v>
      </c>
      <c r="BP168" s="29">
        <v>1087.32275390625</v>
      </c>
      <c r="BQ168" s="29">
        <v>0</v>
      </c>
      <c r="BR168" s="29">
        <v>0</v>
      </c>
      <c r="BS168" s="29">
        <v>0</v>
      </c>
      <c r="BT168" s="29">
        <v>2813.58740234375</v>
      </c>
      <c r="BU168" s="29">
        <v>0</v>
      </c>
      <c r="BV168" s="29">
        <v>933.034912109375</v>
      </c>
      <c r="BW168" s="29">
        <v>830.6575927734375</v>
      </c>
      <c r="BX168" s="29">
        <v>5142.3505859375</v>
      </c>
      <c r="BY168" s="29"/>
      <c r="BZ168" s="29">
        <v>0</v>
      </c>
      <c r="CA168" s="29">
        <v>0</v>
      </c>
      <c r="CB168" s="29">
        <v>10070.2685546875</v>
      </c>
      <c r="CC168" s="29">
        <v>5142.3505859375</v>
      </c>
      <c r="CD168" s="33">
        <v>1.9583006672723344</v>
      </c>
      <c r="CE168" s="29">
        <v>-7.9815726280212402</v>
      </c>
      <c r="CF168" s="29">
        <v>33.224590230836569</v>
      </c>
      <c r="CG168" s="29">
        <v>0</v>
      </c>
      <c r="CH168" s="29">
        <v>33.224590230836569</v>
      </c>
      <c r="CI168" s="29">
        <v>1.962168207377746</v>
      </c>
      <c r="CJ168" s="29">
        <v>0</v>
      </c>
      <c r="CK168" s="29">
        <v>1.962168207377746</v>
      </c>
      <c r="CL168" s="29"/>
      <c r="CM168" s="29">
        <v>0</v>
      </c>
      <c r="CN168" s="29"/>
      <c r="CO168" s="29">
        <v>0</v>
      </c>
      <c r="CP168" s="29">
        <v>0</v>
      </c>
      <c r="CQ168" s="29">
        <v>0</v>
      </c>
      <c r="CR168" s="29">
        <v>0</v>
      </c>
      <c r="CS168" s="29">
        <v>0</v>
      </c>
      <c r="CT168" s="29">
        <v>0</v>
      </c>
      <c r="CU168" s="29">
        <v>0</v>
      </c>
      <c r="CV168" s="29">
        <v>9999</v>
      </c>
      <c r="CW168" s="33">
        <v>9999</v>
      </c>
    </row>
    <row r="169" spans="1:101">
      <c r="A169" s="151" t="s">
        <v>795</v>
      </c>
      <c r="B169" s="151" t="s">
        <v>387</v>
      </c>
      <c r="C169" s="152">
        <f>'Savings Analysis'!C23</f>
        <v>-32.124417637256897</v>
      </c>
      <c r="D169" s="153">
        <v>15</v>
      </c>
      <c r="E169" s="154">
        <f>'Cost Analysis'!J89</f>
        <v>0</v>
      </c>
      <c r="F169" s="159"/>
      <c r="G169" s="156" t="s">
        <v>916</v>
      </c>
      <c r="H169" s="400">
        <f>'Savings Analysis'!H23</f>
        <v>4.2672027323999426</v>
      </c>
      <c r="I169"/>
      <c r="J169"/>
      <c r="K169"/>
      <c r="L169"/>
      <c r="M169"/>
      <c r="N169"/>
      <c r="O169"/>
      <c r="P169"/>
      <c r="Q169"/>
      <c r="R169"/>
      <c r="AY169" s="29">
        <v>1585.7681884765625</v>
      </c>
      <c r="AZ169" s="33">
        <v>5.7620235656627683</v>
      </c>
      <c r="BA169" s="29">
        <v>4405.6659226568727</v>
      </c>
      <c r="BB169" s="29">
        <v>1087.32275390625</v>
      </c>
      <c r="BC169" s="29">
        <v>830.6575927734375</v>
      </c>
      <c r="BD169" s="29">
        <v>2813.58740234375</v>
      </c>
      <c r="BE169" s="29">
        <v>9137.2333984375</v>
      </c>
      <c r="BF169" s="29">
        <v>2287.19482421875</v>
      </c>
      <c r="BG169" s="29">
        <v>-37.357322692871094</v>
      </c>
      <c r="BH169" s="33">
        <v>3.9949521653162612</v>
      </c>
      <c r="BI169" s="29">
        <v>10.719894409179688</v>
      </c>
      <c r="BJ169" s="29">
        <v>24.23527717590332</v>
      </c>
      <c r="BK169" s="29">
        <v>0</v>
      </c>
      <c r="BL169" s="29">
        <v>27.517879486083984</v>
      </c>
      <c r="BM169" s="29">
        <v>62.473052978515625</v>
      </c>
      <c r="BN169" s="29">
        <v>4405.6659226568727</v>
      </c>
      <c r="BO169" s="29">
        <v>0</v>
      </c>
      <c r="BP169" s="29">
        <v>1087.32275390625</v>
      </c>
      <c r="BQ169" s="29">
        <v>0</v>
      </c>
      <c r="BR169" s="29">
        <v>0</v>
      </c>
      <c r="BS169" s="29">
        <v>0</v>
      </c>
      <c r="BT169" s="29">
        <v>2813.58740234375</v>
      </c>
      <c r="BU169" s="29">
        <v>0</v>
      </c>
      <c r="BV169" s="29">
        <v>933.034912109375</v>
      </c>
      <c r="BW169" s="29">
        <v>830.6575927734375</v>
      </c>
      <c r="BX169" s="29">
        <v>4087.7509765625</v>
      </c>
      <c r="BY169" s="29"/>
      <c r="BZ169" s="29">
        <v>0</v>
      </c>
      <c r="CA169" s="29">
        <v>0</v>
      </c>
      <c r="CB169" s="29">
        <v>10070.2685546875</v>
      </c>
      <c r="CC169" s="29">
        <v>4087.7509765625</v>
      </c>
      <c r="CD169" s="33">
        <v>2.4635230085023543</v>
      </c>
      <c r="CE169" s="29">
        <v>-24.099006652832031</v>
      </c>
      <c r="CF169" s="29">
        <v>33.224590230836569</v>
      </c>
      <c r="CG169" s="29">
        <v>0</v>
      </c>
      <c r="CH169" s="29">
        <v>33.224590230836569</v>
      </c>
      <c r="CI169" s="29">
        <v>1.962168207377746</v>
      </c>
      <c r="CJ169" s="29">
        <v>0</v>
      </c>
      <c r="CK169" s="29">
        <v>1.962168207377746</v>
      </c>
      <c r="CL169" s="29"/>
      <c r="CM169" s="29">
        <v>0</v>
      </c>
      <c r="CN169" s="29"/>
      <c r="CO169" s="29">
        <v>0</v>
      </c>
      <c r="CP169" s="29">
        <v>0</v>
      </c>
      <c r="CQ169" s="29">
        <v>0</v>
      </c>
      <c r="CR169" s="29">
        <v>0</v>
      </c>
      <c r="CS169" s="29">
        <v>0</v>
      </c>
      <c r="CT169" s="29">
        <v>0</v>
      </c>
      <c r="CU169" s="29">
        <v>0</v>
      </c>
      <c r="CV169" s="29">
        <v>9999</v>
      </c>
      <c r="CW169" s="33">
        <v>9999</v>
      </c>
    </row>
    <row r="170" spans="1:101">
      <c r="A170" s="151" t="s">
        <v>796</v>
      </c>
      <c r="B170" s="151" t="s">
        <v>387</v>
      </c>
      <c r="C170" s="152">
        <f>'Savings Analysis'!C24</f>
        <v>117.23903663470225</v>
      </c>
      <c r="D170" s="153">
        <v>15</v>
      </c>
      <c r="E170" s="154">
        <f>'Cost Analysis'!J90</f>
        <v>0</v>
      </c>
      <c r="F170" s="159"/>
      <c r="G170" s="156" t="s">
        <v>916</v>
      </c>
      <c r="H170" s="400">
        <f>'Savings Analysis'!H24</f>
        <v>5.8134205779960713</v>
      </c>
      <c r="I170"/>
      <c r="J170"/>
      <c r="K170"/>
      <c r="L170"/>
      <c r="M170"/>
      <c r="N170"/>
      <c r="O170"/>
      <c r="P170"/>
      <c r="Q170"/>
      <c r="R170"/>
      <c r="AY170" s="29">
        <v>1273.604736328125</v>
      </c>
      <c r="AZ170" s="33">
        <v>7.1743088032347275</v>
      </c>
      <c r="BA170" s="29">
        <v>4405.6659226568727</v>
      </c>
      <c r="BB170" s="29">
        <v>1087.32275390625</v>
      </c>
      <c r="BC170" s="29">
        <v>830.6575927734375</v>
      </c>
      <c r="BD170" s="29">
        <v>2813.58740234375</v>
      </c>
      <c r="BE170" s="29">
        <v>9137.2333984375</v>
      </c>
      <c r="BF170" s="29">
        <v>1836.9532470703125</v>
      </c>
      <c r="BG170" s="29">
        <v>-44.238361358642578</v>
      </c>
      <c r="BH170" s="33">
        <v>4.9741242387376712</v>
      </c>
      <c r="BI170" s="29">
        <v>8.6096487045288086</v>
      </c>
      <c r="BJ170" s="29">
        <v>19.464487075805664</v>
      </c>
      <c r="BK170" s="29">
        <v>0</v>
      </c>
      <c r="BL170" s="29">
        <v>22.100898742675781</v>
      </c>
      <c r="BM170" s="29">
        <v>50.175033569335938</v>
      </c>
      <c r="BN170" s="29">
        <v>4405.6659226568727</v>
      </c>
      <c r="BO170" s="29">
        <v>0</v>
      </c>
      <c r="BP170" s="29">
        <v>1087.32275390625</v>
      </c>
      <c r="BQ170" s="29">
        <v>0</v>
      </c>
      <c r="BR170" s="29">
        <v>0</v>
      </c>
      <c r="BS170" s="29">
        <v>0</v>
      </c>
      <c r="BT170" s="29">
        <v>2813.58740234375</v>
      </c>
      <c r="BU170" s="29">
        <v>0</v>
      </c>
      <c r="BV170" s="29">
        <v>933.034912109375</v>
      </c>
      <c r="BW170" s="29">
        <v>830.6575927734375</v>
      </c>
      <c r="BX170" s="29">
        <v>3283.064208984375</v>
      </c>
      <c r="BY170" s="29"/>
      <c r="BZ170" s="29">
        <v>0</v>
      </c>
      <c r="CA170" s="29">
        <v>0</v>
      </c>
      <c r="CB170" s="29">
        <v>10070.2685546875</v>
      </c>
      <c r="CC170" s="29">
        <v>3283.064208984375</v>
      </c>
      <c r="CD170" s="33">
        <v>3.0673382982372286</v>
      </c>
      <c r="CE170" s="29">
        <v>-36.397026062011719</v>
      </c>
      <c r="CF170" s="29">
        <v>33.224590230836569</v>
      </c>
      <c r="CG170" s="29">
        <v>0</v>
      </c>
      <c r="CH170" s="29">
        <v>33.224590230836569</v>
      </c>
      <c r="CI170" s="29">
        <v>1.962168207377746</v>
      </c>
      <c r="CJ170" s="29">
        <v>0</v>
      </c>
      <c r="CK170" s="29">
        <v>1.962168207377746</v>
      </c>
      <c r="CL170" s="29"/>
      <c r="CM170" s="29">
        <v>0</v>
      </c>
      <c r="CN170" s="29"/>
      <c r="CO170" s="29">
        <v>0</v>
      </c>
      <c r="CP170" s="29">
        <v>0</v>
      </c>
      <c r="CQ170" s="29">
        <v>0</v>
      </c>
      <c r="CR170" s="29">
        <v>0</v>
      </c>
      <c r="CS170" s="29">
        <v>0</v>
      </c>
      <c r="CT170" s="29">
        <v>0</v>
      </c>
      <c r="CU170" s="29">
        <v>0</v>
      </c>
      <c r="CV170" s="29">
        <v>9999</v>
      </c>
      <c r="CW170" s="33">
        <v>9999</v>
      </c>
    </row>
    <row r="171" spans="1:101">
      <c r="A171" s="151" t="s">
        <v>797</v>
      </c>
      <c r="B171" s="151" t="s">
        <v>387</v>
      </c>
      <c r="C171" s="152">
        <f>'Savings Analysis'!C25</f>
        <v>117.23903663470225</v>
      </c>
      <c r="D171" s="153">
        <v>15</v>
      </c>
      <c r="E171" s="154">
        <f>'Cost Analysis'!J91</f>
        <v>0</v>
      </c>
      <c r="F171" s="159"/>
      <c r="G171" s="156" t="s">
        <v>916</v>
      </c>
      <c r="H171" s="400">
        <f>'Savings Analysis'!H25</f>
        <v>5.8134205779960713</v>
      </c>
      <c r="I171"/>
      <c r="J171"/>
      <c r="K171"/>
      <c r="L171"/>
      <c r="M171"/>
      <c r="N171"/>
      <c r="O171"/>
      <c r="P171"/>
      <c r="Q171"/>
      <c r="R171"/>
      <c r="AY171" s="29">
        <v>2047.094970703125</v>
      </c>
      <c r="AZ171" s="33">
        <v>4.8098348775139774</v>
      </c>
      <c r="BA171" s="29">
        <v>4717.5727598393123</v>
      </c>
      <c r="BB171" s="29">
        <v>1180.0296630859375</v>
      </c>
      <c r="BC171" s="29">
        <v>895.10809326171875</v>
      </c>
      <c r="BD171" s="29">
        <v>3053.478271484375</v>
      </c>
      <c r="BE171" s="29">
        <v>9846.1884765625</v>
      </c>
      <c r="BF171" s="29">
        <v>2952.578369140625</v>
      </c>
      <c r="BG171" s="29">
        <v>-30.643632888793945</v>
      </c>
      <c r="BH171" s="33">
        <v>3.3347763727601145</v>
      </c>
      <c r="BI171" s="29">
        <v>12.751296997070312</v>
      </c>
      <c r="BJ171" s="29">
        <v>28.827823638916016</v>
      </c>
      <c r="BK171" s="29">
        <v>0</v>
      </c>
      <c r="BL171" s="29">
        <v>32.732475280761719</v>
      </c>
      <c r="BM171" s="29">
        <v>74.311592102050781</v>
      </c>
      <c r="BN171" s="29">
        <v>4717.5727598393123</v>
      </c>
      <c r="BO171" s="29">
        <v>0</v>
      </c>
      <c r="BP171" s="29">
        <v>1180.0296630859375</v>
      </c>
      <c r="BQ171" s="29">
        <v>0</v>
      </c>
      <c r="BR171" s="29">
        <v>0</v>
      </c>
      <c r="BS171" s="29">
        <v>0</v>
      </c>
      <c r="BT171" s="29">
        <v>3053.478271484375</v>
      </c>
      <c r="BU171" s="29">
        <v>0</v>
      </c>
      <c r="BV171" s="29">
        <v>767.5303955078125</v>
      </c>
      <c r="BW171" s="29">
        <v>895.10809326171875</v>
      </c>
      <c r="BX171" s="29">
        <v>5276.94677734375</v>
      </c>
      <c r="BY171" s="29"/>
      <c r="BZ171" s="29">
        <v>0</v>
      </c>
      <c r="CA171" s="29">
        <v>0</v>
      </c>
      <c r="CB171" s="29">
        <v>10613.71875</v>
      </c>
      <c r="CC171" s="29">
        <v>5276.94677734375</v>
      </c>
      <c r="CD171" s="33">
        <v>2.0113371673082843</v>
      </c>
      <c r="CE171" s="29">
        <v>-8.7197599411010742</v>
      </c>
      <c r="CF171" s="29">
        <v>36.187070970475808</v>
      </c>
      <c r="CG171" s="29">
        <v>0</v>
      </c>
      <c r="CH171" s="29">
        <v>36.187070970475808</v>
      </c>
      <c r="CI171" s="29">
        <v>2.1366290466774287</v>
      </c>
      <c r="CJ171" s="29">
        <v>0</v>
      </c>
      <c r="CK171" s="29">
        <v>2.1366290466774287</v>
      </c>
      <c r="CL171" s="29"/>
      <c r="CM171" s="29">
        <v>0</v>
      </c>
      <c r="CN171" s="29"/>
      <c r="CO171" s="29">
        <v>0</v>
      </c>
      <c r="CP171" s="29">
        <v>0</v>
      </c>
      <c r="CQ171" s="29">
        <v>0</v>
      </c>
      <c r="CR171" s="29">
        <v>0</v>
      </c>
      <c r="CS171" s="29">
        <v>0</v>
      </c>
      <c r="CT171" s="29">
        <v>0</v>
      </c>
      <c r="CU171" s="29">
        <v>0</v>
      </c>
      <c r="CV171" s="29">
        <v>9999</v>
      </c>
      <c r="CW171" s="33">
        <v>9999</v>
      </c>
    </row>
    <row r="172" spans="1:101">
      <c r="A172" s="151" t="s">
        <v>798</v>
      </c>
      <c r="B172" s="151" t="s">
        <v>387</v>
      </c>
      <c r="C172" s="152">
        <f>'Savings Analysis'!C26</f>
        <v>117.23903663470225</v>
      </c>
      <c r="D172" s="153">
        <v>15</v>
      </c>
      <c r="E172" s="154">
        <f>'Cost Analysis'!J92</f>
        <v>0</v>
      </c>
      <c r="F172" s="159"/>
      <c r="G172" s="156" t="s">
        <v>916</v>
      </c>
      <c r="H172" s="400">
        <f>'Savings Analysis'!H26</f>
        <v>5.8134205779960713</v>
      </c>
      <c r="I172"/>
      <c r="J172"/>
      <c r="K172"/>
      <c r="L172"/>
      <c r="M172"/>
      <c r="N172"/>
      <c r="O172"/>
      <c r="P172"/>
      <c r="Q172"/>
      <c r="R172"/>
      <c r="AY172" s="29">
        <v>1609.7318115234375</v>
      </c>
      <c r="AZ172" s="33">
        <v>6.1166641034154559</v>
      </c>
      <c r="BA172" s="29">
        <v>4717.5727598393123</v>
      </c>
      <c r="BB172" s="29">
        <v>1180.0296630859375</v>
      </c>
      <c r="BC172" s="29">
        <v>895.10809326171875</v>
      </c>
      <c r="BD172" s="29">
        <v>3053.478271484375</v>
      </c>
      <c r="BE172" s="29">
        <v>9846.1884765625</v>
      </c>
      <c r="BF172" s="29">
        <v>2321.758056640625</v>
      </c>
      <c r="BG172" s="29">
        <v>-39.52703857421875</v>
      </c>
      <c r="BH172" s="33">
        <v>4.2408331482557573</v>
      </c>
      <c r="BI172" s="29">
        <v>10.026973724365234</v>
      </c>
      <c r="BJ172" s="29">
        <v>22.668739318847656</v>
      </c>
      <c r="BK172" s="29">
        <v>0</v>
      </c>
      <c r="BL172" s="29">
        <v>25.739156723022461</v>
      </c>
      <c r="BM172" s="29">
        <v>58.434871673583984</v>
      </c>
      <c r="BN172" s="29">
        <v>4717.5727598393123</v>
      </c>
      <c r="BO172" s="29">
        <v>0</v>
      </c>
      <c r="BP172" s="29">
        <v>1180.0296630859375</v>
      </c>
      <c r="BQ172" s="29">
        <v>0</v>
      </c>
      <c r="BR172" s="29">
        <v>0</v>
      </c>
      <c r="BS172" s="29">
        <v>0</v>
      </c>
      <c r="BT172" s="29">
        <v>3053.478271484375</v>
      </c>
      <c r="BU172" s="29">
        <v>0</v>
      </c>
      <c r="BV172" s="29">
        <v>767.5303955078125</v>
      </c>
      <c r="BW172" s="29">
        <v>895.10809326171875</v>
      </c>
      <c r="BX172" s="29">
        <v>4149.5234375</v>
      </c>
      <c r="BY172" s="29"/>
      <c r="BZ172" s="29">
        <v>0</v>
      </c>
      <c r="CA172" s="29">
        <v>0</v>
      </c>
      <c r="CB172" s="29">
        <v>10613.71875</v>
      </c>
      <c r="CC172" s="29">
        <v>4149.5234375</v>
      </c>
      <c r="CD172" s="33">
        <v>2.5578164198956057</v>
      </c>
      <c r="CE172" s="29">
        <v>-24.59648323059082</v>
      </c>
      <c r="CF172" s="29">
        <v>36.187070970475808</v>
      </c>
      <c r="CG172" s="29">
        <v>0</v>
      </c>
      <c r="CH172" s="29">
        <v>36.187070970475808</v>
      </c>
      <c r="CI172" s="29">
        <v>2.1366290466774287</v>
      </c>
      <c r="CJ172" s="29">
        <v>0</v>
      </c>
      <c r="CK172" s="29">
        <v>2.1366290466774287</v>
      </c>
      <c r="CL172" s="29"/>
      <c r="CM172" s="29">
        <v>0</v>
      </c>
      <c r="CN172" s="29"/>
      <c r="CO172" s="29">
        <v>0</v>
      </c>
      <c r="CP172" s="29">
        <v>0</v>
      </c>
      <c r="CQ172" s="29">
        <v>0</v>
      </c>
      <c r="CR172" s="29">
        <v>0</v>
      </c>
      <c r="CS172" s="29">
        <v>0</v>
      </c>
      <c r="CT172" s="29">
        <v>0</v>
      </c>
      <c r="CU172" s="29">
        <v>0</v>
      </c>
      <c r="CV172" s="29">
        <v>9999</v>
      </c>
      <c r="CW172" s="33">
        <v>9999</v>
      </c>
    </row>
    <row r="173" spans="1:101">
      <c r="A173" s="151" t="s">
        <v>799</v>
      </c>
      <c r="B173" s="151" t="s">
        <v>387</v>
      </c>
      <c r="C173" s="152">
        <f>'Savings Analysis'!C27</f>
        <v>412</v>
      </c>
      <c r="D173" s="153">
        <v>15</v>
      </c>
      <c r="E173" s="154">
        <f>'Cost Analysis'!J93</f>
        <v>0</v>
      </c>
      <c r="F173" s="159"/>
      <c r="G173" s="156" t="s">
        <v>916</v>
      </c>
      <c r="H173" s="400">
        <f>'Savings Analysis'!H27</f>
        <v>0</v>
      </c>
      <c r="I173"/>
      <c r="J173"/>
      <c r="K173"/>
      <c r="L173"/>
      <c r="M173"/>
      <c r="N173"/>
      <c r="O173"/>
      <c r="P173"/>
      <c r="Q173"/>
      <c r="R173"/>
      <c r="AY173" s="29">
        <v>1262.7337646484375</v>
      </c>
      <c r="AZ173" s="33">
        <v>7.7975176266967559</v>
      </c>
      <c r="BA173" s="29">
        <v>4717.5727598393123</v>
      </c>
      <c r="BB173" s="29">
        <v>1180.0296630859375</v>
      </c>
      <c r="BC173" s="29">
        <v>895.10809326171875</v>
      </c>
      <c r="BD173" s="29">
        <v>3053.478271484375</v>
      </c>
      <c r="BE173" s="29">
        <v>9846.1884765625</v>
      </c>
      <c r="BF173" s="29">
        <v>1821.2738037109375</v>
      </c>
      <c r="BG173" s="29">
        <v>-46.57501220703125</v>
      </c>
      <c r="BH173" s="33">
        <v>5.4062100753929681</v>
      </c>
      <c r="BI173" s="29">
        <v>7.8655333518981934</v>
      </c>
      <c r="BJ173" s="29">
        <v>17.782205581665039</v>
      </c>
      <c r="BK173" s="29">
        <v>0</v>
      </c>
      <c r="BL173" s="29">
        <v>20.190757751464844</v>
      </c>
      <c r="BM173" s="29">
        <v>45.838497161865234</v>
      </c>
      <c r="BN173" s="29">
        <v>4717.5727598393123</v>
      </c>
      <c r="BO173" s="29">
        <v>0</v>
      </c>
      <c r="BP173" s="29">
        <v>1180.0296630859375</v>
      </c>
      <c r="BQ173" s="29">
        <v>0</v>
      </c>
      <c r="BR173" s="29">
        <v>0</v>
      </c>
      <c r="BS173" s="29">
        <v>0</v>
      </c>
      <c r="BT173" s="29">
        <v>3053.478271484375</v>
      </c>
      <c r="BU173" s="29">
        <v>0</v>
      </c>
      <c r="BV173" s="29">
        <v>767.5303955078125</v>
      </c>
      <c r="BW173" s="29">
        <v>895.10809326171875</v>
      </c>
      <c r="BX173" s="29">
        <v>3255.04150390625</v>
      </c>
      <c r="BY173" s="29"/>
      <c r="BZ173" s="29">
        <v>0</v>
      </c>
      <c r="CA173" s="29">
        <v>0</v>
      </c>
      <c r="CB173" s="29">
        <v>10613.71875</v>
      </c>
      <c r="CC173" s="29">
        <v>3255.04150390625</v>
      </c>
      <c r="CD173" s="33">
        <v>3.2607016440318937</v>
      </c>
      <c r="CE173" s="29">
        <v>-37.192855834960938</v>
      </c>
      <c r="CF173" s="29">
        <v>36.187070970475808</v>
      </c>
      <c r="CG173" s="29">
        <v>0</v>
      </c>
      <c r="CH173" s="29">
        <v>36.187070970475808</v>
      </c>
      <c r="CI173" s="29">
        <v>2.1366290466774287</v>
      </c>
      <c r="CJ173" s="29">
        <v>0</v>
      </c>
      <c r="CK173" s="29">
        <v>2.1366290466774287</v>
      </c>
      <c r="CL173" s="29"/>
      <c r="CM173" s="29">
        <v>0</v>
      </c>
      <c r="CN173" s="29"/>
      <c r="CO173" s="29">
        <v>0</v>
      </c>
      <c r="CP173" s="29">
        <v>0</v>
      </c>
      <c r="CQ173" s="29">
        <v>0</v>
      </c>
      <c r="CR173" s="29">
        <v>0</v>
      </c>
      <c r="CS173" s="29">
        <v>0</v>
      </c>
      <c r="CT173" s="29">
        <v>0</v>
      </c>
      <c r="CU173" s="29">
        <v>0</v>
      </c>
      <c r="CV173" s="29">
        <v>9999</v>
      </c>
      <c r="CW173" s="33">
        <v>9999</v>
      </c>
    </row>
    <row r="174" spans="1:101">
      <c r="A174" s="151" t="s">
        <v>800</v>
      </c>
      <c r="B174" s="151" t="s">
        <v>387</v>
      </c>
      <c r="C174" s="152">
        <f>'Savings Analysis'!C28</f>
        <v>412</v>
      </c>
      <c r="D174" s="153">
        <v>15</v>
      </c>
      <c r="E174" s="154">
        <f>'Cost Analysis'!J94</f>
        <v>0</v>
      </c>
      <c r="F174" s="159"/>
      <c r="G174" s="156" t="s">
        <v>916</v>
      </c>
      <c r="H174" s="400">
        <f>'Savings Analysis'!H28</f>
        <v>0</v>
      </c>
      <c r="I174"/>
      <c r="J174"/>
      <c r="K174"/>
      <c r="L174"/>
      <c r="M174"/>
      <c r="N174"/>
      <c r="O174"/>
      <c r="P174"/>
      <c r="Q174"/>
      <c r="R174"/>
      <c r="AY174" s="29">
        <v>2065.22802734375</v>
      </c>
      <c r="AZ174" s="33">
        <v>4.4943211350684287</v>
      </c>
      <c r="BA174" s="29">
        <v>4472.7065413626315</v>
      </c>
      <c r="BB174" s="29">
        <v>1105.2684326171875</v>
      </c>
      <c r="BC174" s="29">
        <v>843.7998046875</v>
      </c>
      <c r="BD174" s="29">
        <v>2860.023193359375</v>
      </c>
      <c r="BE174" s="29">
        <v>9281.7978515625</v>
      </c>
      <c r="BF174" s="29">
        <v>2978.732177734375</v>
      </c>
      <c r="BG174" s="29">
        <v>-27.519172668457031</v>
      </c>
      <c r="BH174" s="33">
        <v>3.1160229345961161</v>
      </c>
      <c r="BI174" s="29">
        <v>13.734396934509277</v>
      </c>
      <c r="BJ174" s="29">
        <v>31.050390243530273</v>
      </c>
      <c r="BK174" s="29">
        <v>0</v>
      </c>
      <c r="BL174" s="29">
        <v>35.256080627441406</v>
      </c>
      <c r="BM174" s="29">
        <v>80.040863037109375</v>
      </c>
      <c r="BN174" s="29">
        <v>4472.7065413626315</v>
      </c>
      <c r="BO174" s="29">
        <v>0</v>
      </c>
      <c r="BP174" s="29">
        <v>1105.2684326171875</v>
      </c>
      <c r="BQ174" s="29">
        <v>0</v>
      </c>
      <c r="BR174" s="29">
        <v>0</v>
      </c>
      <c r="BS174" s="29">
        <v>0</v>
      </c>
      <c r="BT174" s="29">
        <v>2860.023193359375</v>
      </c>
      <c r="BU174" s="29">
        <v>0</v>
      </c>
      <c r="BV174" s="29">
        <v>693.7952880859375</v>
      </c>
      <c r="BW174" s="29">
        <v>843.7998046875</v>
      </c>
      <c r="BX174" s="29">
        <v>5323.689453125</v>
      </c>
      <c r="BY174" s="29"/>
      <c r="BZ174" s="29">
        <v>0</v>
      </c>
      <c r="CA174" s="29">
        <v>0</v>
      </c>
      <c r="CB174" s="29">
        <v>9975.5927734375</v>
      </c>
      <c r="CC174" s="29">
        <v>5323.689453125</v>
      </c>
      <c r="CD174" s="33">
        <v>1.8738120147592323</v>
      </c>
      <c r="CE174" s="29">
        <v>-2.6942038536071777</v>
      </c>
      <c r="CF174" s="29">
        <v>33.793004754152108</v>
      </c>
      <c r="CG174" s="29">
        <v>0</v>
      </c>
      <c r="CH174" s="29">
        <v>33.793004754152108</v>
      </c>
      <c r="CI174" s="29">
        <v>1.9957051145239515</v>
      </c>
      <c r="CJ174" s="29">
        <v>0</v>
      </c>
      <c r="CK174" s="29">
        <v>1.9957051145239515</v>
      </c>
      <c r="CL174" s="29"/>
      <c r="CM174" s="29">
        <v>0</v>
      </c>
      <c r="CN174" s="29"/>
      <c r="CO174" s="29">
        <v>0</v>
      </c>
      <c r="CP174" s="29">
        <v>0</v>
      </c>
      <c r="CQ174" s="29">
        <v>0</v>
      </c>
      <c r="CR174" s="29">
        <v>0</v>
      </c>
      <c r="CS174" s="29">
        <v>0</v>
      </c>
      <c r="CT174" s="29">
        <v>0</v>
      </c>
      <c r="CU174" s="29">
        <v>0</v>
      </c>
      <c r="CV174" s="29">
        <v>9999</v>
      </c>
      <c r="CW174" s="33">
        <v>9999</v>
      </c>
    </row>
    <row r="175" spans="1:101">
      <c r="A175" s="151" t="s">
        <v>801</v>
      </c>
      <c r="B175" s="151" t="s">
        <v>387</v>
      </c>
      <c r="C175" s="152">
        <f>'Savings Analysis'!C29</f>
        <v>412</v>
      </c>
      <c r="D175" s="153">
        <v>15</v>
      </c>
      <c r="E175" s="154">
        <f>'Cost Analysis'!J95</f>
        <v>0</v>
      </c>
      <c r="F175" s="159"/>
      <c r="G175" s="156" t="s">
        <v>916</v>
      </c>
      <c r="H175" s="400">
        <f>'Savings Analysis'!H29</f>
        <v>0</v>
      </c>
      <c r="I175"/>
      <c r="J175"/>
      <c r="K175"/>
      <c r="L175"/>
      <c r="M175"/>
      <c r="N175"/>
      <c r="O175"/>
      <c r="P175"/>
      <c r="Q175"/>
      <c r="R175"/>
      <c r="AY175" s="29">
        <v>1624.3365478515625</v>
      </c>
      <c r="AZ175" s="33">
        <v>5.7142086621786072</v>
      </c>
      <c r="BA175" s="29">
        <v>4472.7065413626315</v>
      </c>
      <c r="BB175" s="29">
        <v>1105.2684326171875</v>
      </c>
      <c r="BC175" s="29">
        <v>843.7998046875</v>
      </c>
      <c r="BD175" s="29">
        <v>2860.023193359375</v>
      </c>
      <c r="BE175" s="29">
        <v>9281.7978515625</v>
      </c>
      <c r="BF175" s="29">
        <v>2342.82275390625</v>
      </c>
      <c r="BG175" s="29">
        <v>-37.079975128173828</v>
      </c>
      <c r="BH175" s="33">
        <v>3.9618009825679832</v>
      </c>
      <c r="BI175" s="29">
        <v>10.802332878112793</v>
      </c>
      <c r="BJ175" s="29">
        <v>24.421653747558594</v>
      </c>
      <c r="BK175" s="29">
        <v>0</v>
      </c>
      <c r="BL175" s="29">
        <v>27.729496002197266</v>
      </c>
      <c r="BM175" s="29">
        <v>62.953483581542969</v>
      </c>
      <c r="BN175" s="29">
        <v>4472.7065413626315</v>
      </c>
      <c r="BO175" s="29">
        <v>0</v>
      </c>
      <c r="BP175" s="29">
        <v>1105.2684326171875</v>
      </c>
      <c r="BQ175" s="29">
        <v>0</v>
      </c>
      <c r="BR175" s="29">
        <v>0</v>
      </c>
      <c r="BS175" s="29">
        <v>0</v>
      </c>
      <c r="BT175" s="29">
        <v>2860.023193359375</v>
      </c>
      <c r="BU175" s="29">
        <v>0</v>
      </c>
      <c r="BV175" s="29">
        <v>693.7952880859375</v>
      </c>
      <c r="BW175" s="29">
        <v>843.7998046875</v>
      </c>
      <c r="BX175" s="29">
        <v>4187.1708984375</v>
      </c>
      <c r="BY175" s="29"/>
      <c r="BZ175" s="29">
        <v>0</v>
      </c>
      <c r="CA175" s="29">
        <v>0</v>
      </c>
      <c r="CB175" s="29">
        <v>9975.5927734375</v>
      </c>
      <c r="CC175" s="29">
        <v>4187.1708984375</v>
      </c>
      <c r="CD175" s="33">
        <v>2.3824184639406911</v>
      </c>
      <c r="CE175" s="29">
        <v>-19.781587600708008</v>
      </c>
      <c r="CF175" s="29">
        <v>33.793004754152108</v>
      </c>
      <c r="CG175" s="29">
        <v>0</v>
      </c>
      <c r="CH175" s="29">
        <v>33.793004754152108</v>
      </c>
      <c r="CI175" s="29">
        <v>1.9957051145239515</v>
      </c>
      <c r="CJ175" s="29">
        <v>0</v>
      </c>
      <c r="CK175" s="29">
        <v>1.9957051145239515</v>
      </c>
      <c r="CL175" s="29"/>
      <c r="CM175" s="29">
        <v>0</v>
      </c>
      <c r="CN175" s="29"/>
      <c r="CO175" s="29">
        <v>0</v>
      </c>
      <c r="CP175" s="29">
        <v>0</v>
      </c>
      <c r="CQ175" s="29">
        <v>0</v>
      </c>
      <c r="CR175" s="29">
        <v>0</v>
      </c>
      <c r="CS175" s="29">
        <v>0</v>
      </c>
      <c r="CT175" s="29">
        <v>0</v>
      </c>
      <c r="CU175" s="29">
        <v>0</v>
      </c>
      <c r="CV175" s="29">
        <v>9999</v>
      </c>
      <c r="CW175" s="33">
        <v>9999</v>
      </c>
    </row>
    <row r="176" spans="1:101">
      <c r="C176" s="29"/>
      <c r="D176" s="29"/>
      <c r="E176" s="29"/>
      <c r="F176" s="29"/>
      <c r="G176" s="29"/>
      <c r="H176" s="29"/>
      <c r="I176"/>
      <c r="J176"/>
      <c r="K176"/>
      <c r="L176"/>
      <c r="M176"/>
      <c r="N176"/>
      <c r="O176"/>
      <c r="P176"/>
      <c r="Q176"/>
      <c r="R176"/>
      <c r="AY176" s="29"/>
      <c r="AZ176" s="33"/>
      <c r="BA176" s="29"/>
      <c r="BB176" s="29"/>
      <c r="BC176" s="29"/>
      <c r="BD176" s="29"/>
      <c r="BE176" s="29"/>
      <c r="BF176" s="29"/>
      <c r="BG176" s="29"/>
      <c r="BH176" s="33"/>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33"/>
      <c r="CE176" s="29"/>
      <c r="CF176" s="29"/>
      <c r="CG176" s="29"/>
      <c r="CH176" s="29"/>
      <c r="CI176" s="29"/>
      <c r="CJ176" s="29"/>
      <c r="CK176" s="29"/>
      <c r="CL176" s="29"/>
      <c r="CM176" s="29"/>
      <c r="CN176" s="29"/>
      <c r="CO176" s="29"/>
      <c r="CP176" s="29"/>
      <c r="CQ176" s="29"/>
      <c r="CR176" s="29"/>
      <c r="CS176" s="29"/>
      <c r="CT176" s="29"/>
      <c r="CU176" s="29"/>
      <c r="CV176" s="29"/>
      <c r="CW176" s="33"/>
    </row>
    <row r="177" spans="3:101">
      <c r="C177" s="29"/>
      <c r="D177" s="29"/>
      <c r="E177" s="29"/>
      <c r="F177" s="29"/>
      <c r="G177" s="29"/>
      <c r="H177" s="29"/>
      <c r="I177"/>
      <c r="J177"/>
      <c r="K177"/>
      <c r="L177"/>
      <c r="M177"/>
      <c r="N177"/>
      <c r="O177"/>
      <c r="P177"/>
      <c r="Q177"/>
      <c r="R177"/>
      <c r="AY177" s="29"/>
      <c r="AZ177" s="33"/>
      <c r="BA177" s="29"/>
      <c r="BB177" s="29"/>
      <c r="BC177" s="29"/>
      <c r="BD177" s="29"/>
      <c r="BE177" s="29"/>
      <c r="BF177" s="29"/>
      <c r="BG177" s="29"/>
      <c r="BH177" s="33"/>
      <c r="BI177" s="29"/>
      <c r="BJ177" s="29"/>
      <c r="BK177" s="29"/>
      <c r="BL177" s="29"/>
      <c r="BM177" s="29"/>
      <c r="BN177" s="29"/>
      <c r="BO177" s="29"/>
      <c r="BP177" s="29"/>
      <c r="BQ177" s="29"/>
      <c r="BR177" s="29"/>
      <c r="BS177" s="29"/>
      <c r="BT177" s="29"/>
      <c r="BU177" s="29"/>
      <c r="BV177" s="29"/>
      <c r="BW177" s="29"/>
      <c r="BX177" s="29"/>
      <c r="BY177" s="29"/>
      <c r="BZ177" s="29"/>
      <c r="CA177" s="29"/>
      <c r="CB177" s="29"/>
      <c r="CC177" s="29"/>
      <c r="CD177" s="33"/>
      <c r="CE177" s="29"/>
      <c r="CF177" s="29"/>
      <c r="CG177" s="29"/>
      <c r="CH177" s="29"/>
      <c r="CI177" s="29"/>
      <c r="CJ177" s="29"/>
      <c r="CK177" s="29"/>
      <c r="CL177" s="29"/>
      <c r="CM177" s="29"/>
      <c r="CN177" s="29"/>
      <c r="CO177" s="29"/>
      <c r="CP177" s="29"/>
      <c r="CQ177" s="29"/>
      <c r="CR177" s="29"/>
      <c r="CS177" s="29"/>
      <c r="CT177" s="29"/>
      <c r="CU177" s="29"/>
      <c r="CV177" s="29"/>
      <c r="CW177" s="33"/>
    </row>
    <row r="178" spans="3:101">
      <c r="C178" s="29"/>
      <c r="D178" s="29"/>
      <c r="E178" s="29"/>
      <c r="F178" s="29"/>
      <c r="G178" s="29"/>
      <c r="H178" s="29"/>
      <c r="I178"/>
      <c r="J178"/>
      <c r="K178"/>
      <c r="L178"/>
      <c r="M178"/>
      <c r="N178"/>
      <c r="O178"/>
      <c r="P178"/>
      <c r="Q178"/>
      <c r="R178"/>
      <c r="AY178" s="29"/>
      <c r="AZ178" s="33"/>
      <c r="BA178" s="29"/>
      <c r="BB178" s="29"/>
      <c r="BC178" s="29"/>
      <c r="BD178" s="29"/>
      <c r="BE178" s="29"/>
      <c r="BF178" s="29"/>
      <c r="BG178" s="29"/>
      <c r="BH178" s="33"/>
      <c r="BI178" s="29"/>
      <c r="BJ178" s="29"/>
      <c r="BK178" s="29"/>
      <c r="BL178" s="29"/>
      <c r="BM178" s="29"/>
      <c r="BN178" s="29"/>
      <c r="BO178" s="29"/>
      <c r="BP178" s="29"/>
      <c r="BQ178" s="29"/>
      <c r="BR178" s="29"/>
      <c r="BS178" s="29"/>
      <c r="BT178" s="29"/>
      <c r="BU178" s="29"/>
      <c r="BV178" s="29"/>
      <c r="BW178" s="29"/>
      <c r="BX178" s="29"/>
      <c r="BY178" s="29"/>
      <c r="BZ178" s="29"/>
      <c r="CA178" s="29"/>
      <c r="CB178" s="29"/>
      <c r="CC178" s="29"/>
      <c r="CD178" s="33"/>
      <c r="CE178" s="29"/>
      <c r="CF178" s="29"/>
      <c r="CG178" s="29"/>
      <c r="CH178" s="29"/>
      <c r="CI178" s="29"/>
      <c r="CJ178" s="29"/>
      <c r="CK178" s="29"/>
      <c r="CL178" s="29"/>
      <c r="CM178" s="29"/>
      <c r="CN178" s="29"/>
      <c r="CO178" s="29"/>
      <c r="CP178" s="29"/>
      <c r="CQ178" s="29"/>
      <c r="CR178" s="29"/>
      <c r="CS178" s="29"/>
      <c r="CT178" s="29"/>
      <c r="CU178" s="29"/>
      <c r="CV178" s="29"/>
      <c r="CW178" s="33"/>
    </row>
    <row r="179" spans="3:101">
      <c r="C179" s="29"/>
      <c r="D179" s="29"/>
      <c r="E179" s="29"/>
      <c r="F179" s="29"/>
      <c r="G179" s="29"/>
      <c r="H179" s="29"/>
      <c r="I179"/>
      <c r="J179"/>
      <c r="K179"/>
      <c r="L179"/>
      <c r="M179"/>
      <c r="N179"/>
      <c r="O179"/>
      <c r="P179"/>
      <c r="Q179"/>
      <c r="R179"/>
      <c r="AY179" s="29"/>
      <c r="AZ179" s="33"/>
      <c r="BA179" s="29"/>
      <c r="BB179" s="29"/>
      <c r="BC179" s="29"/>
      <c r="BD179" s="29"/>
      <c r="BE179" s="29"/>
      <c r="BF179" s="29"/>
      <c r="BG179" s="29"/>
      <c r="BH179" s="33"/>
      <c r="BI179" s="29"/>
      <c r="BJ179" s="29"/>
      <c r="BK179" s="29"/>
      <c r="BL179" s="29"/>
      <c r="BM179" s="29"/>
      <c r="BN179" s="29"/>
      <c r="BO179" s="29"/>
      <c r="BP179" s="29"/>
      <c r="BQ179" s="29"/>
      <c r="BR179" s="29"/>
      <c r="BS179" s="29"/>
      <c r="BT179" s="29"/>
      <c r="BU179" s="29"/>
      <c r="BV179" s="29"/>
      <c r="BW179" s="29"/>
      <c r="BX179" s="29"/>
      <c r="BY179" s="29"/>
      <c r="BZ179" s="29"/>
      <c r="CA179" s="29"/>
      <c r="CB179" s="29"/>
      <c r="CC179" s="29"/>
      <c r="CD179" s="33"/>
      <c r="CE179" s="29"/>
      <c r="CF179" s="29"/>
      <c r="CG179" s="29"/>
      <c r="CH179" s="29"/>
      <c r="CI179" s="29"/>
      <c r="CJ179" s="29"/>
      <c r="CK179" s="29"/>
      <c r="CL179" s="29"/>
      <c r="CM179" s="29"/>
      <c r="CN179" s="29"/>
      <c r="CO179" s="29"/>
      <c r="CP179" s="29"/>
      <c r="CQ179" s="29"/>
      <c r="CR179" s="29"/>
      <c r="CS179" s="29"/>
      <c r="CT179" s="29"/>
      <c r="CU179" s="29"/>
      <c r="CV179" s="29"/>
      <c r="CW179" s="33"/>
    </row>
    <row r="180" spans="3:101">
      <c r="C180" s="29"/>
      <c r="D180" s="29"/>
      <c r="E180" s="29"/>
      <c r="F180" s="29"/>
      <c r="G180" s="29"/>
      <c r="H180" s="29"/>
      <c r="I180"/>
      <c r="J180"/>
      <c r="K180"/>
      <c r="L180"/>
      <c r="M180"/>
      <c r="N180"/>
      <c r="O180"/>
      <c r="P180"/>
      <c r="Q180"/>
      <c r="R180"/>
      <c r="AY180" s="29"/>
      <c r="AZ180" s="33"/>
      <c r="BA180" s="29"/>
      <c r="BB180" s="29"/>
      <c r="BC180" s="29"/>
      <c r="BD180" s="29"/>
      <c r="BE180" s="29"/>
      <c r="BF180" s="29"/>
      <c r="BG180" s="29"/>
      <c r="BH180" s="33"/>
      <c r="BI180" s="29"/>
      <c r="BJ180" s="29"/>
      <c r="BK180" s="29"/>
      <c r="BL180" s="29"/>
      <c r="BM180" s="29"/>
      <c r="BN180" s="29"/>
      <c r="BO180" s="29"/>
      <c r="BP180" s="29"/>
      <c r="BQ180" s="29"/>
      <c r="BR180" s="29"/>
      <c r="BS180" s="29"/>
      <c r="BT180" s="29"/>
      <c r="BU180" s="29"/>
      <c r="BV180" s="29"/>
      <c r="BW180" s="29"/>
      <c r="BX180" s="29"/>
      <c r="BY180" s="29"/>
      <c r="BZ180" s="29"/>
      <c r="CA180" s="29"/>
      <c r="CB180" s="29"/>
      <c r="CC180" s="29"/>
      <c r="CD180" s="33"/>
      <c r="CE180" s="29"/>
      <c r="CF180" s="29"/>
      <c r="CG180" s="29"/>
      <c r="CH180" s="29"/>
      <c r="CI180" s="29"/>
      <c r="CJ180" s="29"/>
      <c r="CK180" s="29"/>
      <c r="CL180" s="29"/>
      <c r="CM180" s="29"/>
      <c r="CN180" s="29"/>
      <c r="CO180" s="29"/>
      <c r="CP180" s="29"/>
      <c r="CQ180" s="29"/>
      <c r="CR180" s="29"/>
      <c r="CS180" s="29"/>
      <c r="CT180" s="29"/>
      <c r="CU180" s="29"/>
      <c r="CV180" s="29"/>
      <c r="CW180" s="33"/>
    </row>
    <row r="181" spans="3:101">
      <c r="C181" s="29"/>
      <c r="D181" s="29"/>
      <c r="E181" s="29"/>
      <c r="F181" s="29"/>
      <c r="G181" s="29"/>
      <c r="H181" s="29"/>
      <c r="I181"/>
      <c r="J181"/>
      <c r="K181"/>
      <c r="L181"/>
      <c r="M181"/>
      <c r="N181"/>
      <c r="O181"/>
      <c r="P181"/>
      <c r="Q181"/>
      <c r="R181"/>
      <c r="AY181" s="29"/>
      <c r="AZ181" s="33"/>
      <c r="BA181" s="29"/>
      <c r="BB181" s="29"/>
      <c r="BC181" s="29"/>
      <c r="BD181" s="29"/>
      <c r="BE181" s="29"/>
      <c r="BF181" s="29"/>
      <c r="BG181" s="29"/>
      <c r="BH181" s="33"/>
      <c r="BI181" s="29"/>
      <c r="BJ181" s="29"/>
      <c r="BK181" s="29"/>
      <c r="BL181" s="29"/>
      <c r="BM181" s="29"/>
      <c r="BN181" s="29"/>
      <c r="BO181" s="29"/>
      <c r="BP181" s="29"/>
      <c r="BQ181" s="29"/>
      <c r="BR181" s="29"/>
      <c r="BS181" s="29"/>
      <c r="BT181" s="29"/>
      <c r="BU181" s="29"/>
      <c r="BV181" s="29"/>
      <c r="BW181" s="29"/>
      <c r="BX181" s="29"/>
      <c r="BY181" s="29"/>
      <c r="BZ181" s="29"/>
      <c r="CA181" s="29"/>
      <c r="CB181" s="29"/>
      <c r="CC181" s="29"/>
      <c r="CD181" s="33"/>
      <c r="CE181" s="29"/>
      <c r="CF181" s="29"/>
      <c r="CG181" s="29"/>
      <c r="CH181" s="29"/>
      <c r="CI181" s="29"/>
      <c r="CJ181" s="29"/>
      <c r="CK181" s="29"/>
      <c r="CL181" s="29"/>
      <c r="CM181" s="29"/>
      <c r="CN181" s="29"/>
      <c r="CO181" s="29"/>
      <c r="CP181" s="29"/>
      <c r="CQ181" s="29"/>
      <c r="CR181" s="29"/>
      <c r="CS181" s="29"/>
      <c r="CT181" s="29"/>
      <c r="CU181" s="29"/>
      <c r="CV181" s="29"/>
      <c r="CW181" s="33"/>
    </row>
    <row r="182" spans="3:101">
      <c r="C182" s="29"/>
      <c r="D182" s="29"/>
      <c r="E182" s="29"/>
      <c r="F182" s="29"/>
      <c r="G182" s="29"/>
      <c r="H182" s="29"/>
      <c r="I182"/>
      <c r="J182"/>
      <c r="K182"/>
      <c r="L182"/>
      <c r="M182"/>
      <c r="N182"/>
      <c r="O182"/>
      <c r="P182"/>
      <c r="Q182"/>
      <c r="R182"/>
      <c r="AY182" s="29"/>
      <c r="AZ182" s="33"/>
      <c r="BA182" s="29"/>
      <c r="BB182" s="29"/>
      <c r="BC182" s="29"/>
      <c r="BD182" s="29"/>
      <c r="BE182" s="29"/>
      <c r="BF182" s="29"/>
      <c r="BG182" s="29"/>
      <c r="BH182" s="33"/>
      <c r="BI182" s="29"/>
      <c r="BJ182" s="29"/>
      <c r="BK182" s="29"/>
      <c r="BL182" s="29"/>
      <c r="BM182" s="29"/>
      <c r="BN182" s="29"/>
      <c r="BO182" s="29"/>
      <c r="BP182" s="29"/>
      <c r="BQ182" s="29"/>
      <c r="BR182" s="29"/>
      <c r="BS182" s="29"/>
      <c r="BT182" s="29"/>
      <c r="BU182" s="29"/>
      <c r="BV182" s="29"/>
      <c r="BW182" s="29"/>
      <c r="BX182" s="29"/>
      <c r="BY182" s="29"/>
      <c r="BZ182" s="29"/>
      <c r="CA182" s="29"/>
      <c r="CB182" s="29"/>
      <c r="CC182" s="29"/>
      <c r="CD182" s="33"/>
      <c r="CE182" s="29"/>
      <c r="CF182" s="29"/>
      <c r="CG182" s="29"/>
      <c r="CH182" s="29"/>
      <c r="CI182" s="29"/>
      <c r="CJ182" s="29"/>
      <c r="CK182" s="29"/>
      <c r="CL182" s="29"/>
      <c r="CM182" s="29"/>
      <c r="CN182" s="29"/>
      <c r="CO182" s="29"/>
      <c r="CP182" s="29"/>
      <c r="CQ182" s="29"/>
      <c r="CR182" s="29"/>
      <c r="CS182" s="29"/>
      <c r="CT182" s="29"/>
      <c r="CU182" s="29"/>
      <c r="CV182" s="29"/>
      <c r="CW182" s="33"/>
    </row>
    <row r="183" spans="3:101">
      <c r="C183" s="29"/>
      <c r="D183" s="29"/>
      <c r="E183" s="29"/>
      <c r="F183" s="29"/>
      <c r="G183" s="29"/>
      <c r="H183" s="29"/>
      <c r="I183"/>
      <c r="J183"/>
      <c r="K183"/>
      <c r="L183"/>
      <c r="M183"/>
      <c r="N183"/>
      <c r="O183"/>
      <c r="P183"/>
      <c r="Q183"/>
      <c r="R183"/>
      <c r="AY183" s="29"/>
      <c r="AZ183" s="33"/>
      <c r="BA183" s="29"/>
      <c r="BB183" s="29"/>
      <c r="BC183" s="29"/>
      <c r="BD183" s="29"/>
      <c r="BE183" s="29"/>
      <c r="BF183" s="29"/>
      <c r="BG183" s="29"/>
      <c r="BH183" s="33"/>
      <c r="BI183" s="29"/>
      <c r="BJ183" s="29"/>
      <c r="BK183" s="29"/>
      <c r="BL183" s="29"/>
      <c r="BM183" s="29"/>
      <c r="BN183" s="29"/>
      <c r="BO183" s="29"/>
      <c r="BP183" s="29"/>
      <c r="BQ183" s="29"/>
      <c r="BR183" s="29"/>
      <c r="BS183" s="29"/>
      <c r="BT183" s="29"/>
      <c r="BU183" s="29"/>
      <c r="BV183" s="29"/>
      <c r="BW183" s="29"/>
      <c r="BX183" s="29"/>
      <c r="BY183" s="29"/>
      <c r="BZ183" s="29"/>
      <c r="CA183" s="29"/>
      <c r="CB183" s="29"/>
      <c r="CC183" s="29"/>
      <c r="CD183" s="33"/>
      <c r="CE183" s="29"/>
      <c r="CF183" s="29"/>
      <c r="CG183" s="29"/>
      <c r="CH183" s="29"/>
      <c r="CI183" s="29"/>
      <c r="CJ183" s="29"/>
      <c r="CK183" s="29"/>
      <c r="CL183" s="29"/>
      <c r="CM183" s="29"/>
      <c r="CN183" s="29"/>
      <c r="CO183" s="29"/>
      <c r="CP183" s="29"/>
      <c r="CQ183" s="29"/>
      <c r="CR183" s="29"/>
      <c r="CS183" s="29"/>
      <c r="CT183" s="29"/>
      <c r="CU183" s="29"/>
      <c r="CV183" s="29"/>
      <c r="CW183" s="33"/>
    </row>
    <row r="184" spans="3:101">
      <c r="C184" s="29"/>
      <c r="D184" s="29"/>
      <c r="E184" s="29"/>
      <c r="F184" s="29"/>
      <c r="G184" s="29"/>
      <c r="H184" s="29"/>
      <c r="I184"/>
      <c r="J184"/>
      <c r="K184"/>
      <c r="L184"/>
      <c r="M184"/>
      <c r="N184"/>
      <c r="O184"/>
      <c r="P184"/>
      <c r="Q184"/>
      <c r="R184"/>
      <c r="AY184" s="29"/>
      <c r="AZ184" s="33"/>
      <c r="BA184" s="29"/>
      <c r="BB184" s="29"/>
      <c r="BC184" s="29"/>
      <c r="BD184" s="29"/>
      <c r="BE184" s="29"/>
      <c r="BF184" s="29"/>
      <c r="BG184" s="29"/>
      <c r="BH184" s="33"/>
      <c r="BI184" s="29"/>
      <c r="BJ184" s="29"/>
      <c r="BK184" s="29"/>
      <c r="BL184" s="29"/>
      <c r="BM184" s="29"/>
      <c r="BN184" s="29"/>
      <c r="BO184" s="29"/>
      <c r="BP184" s="29"/>
      <c r="BQ184" s="29"/>
      <c r="BR184" s="29"/>
      <c r="BS184" s="29"/>
      <c r="BT184" s="29"/>
      <c r="BU184" s="29"/>
      <c r="BV184" s="29"/>
      <c r="BW184" s="29"/>
      <c r="BX184" s="29"/>
      <c r="BY184" s="29"/>
      <c r="BZ184" s="29"/>
      <c r="CA184" s="29"/>
      <c r="CB184" s="29"/>
      <c r="CC184" s="29"/>
      <c r="CD184" s="33"/>
      <c r="CE184" s="29"/>
      <c r="CF184" s="29"/>
      <c r="CG184" s="29"/>
      <c r="CH184" s="29"/>
      <c r="CI184" s="29"/>
      <c r="CJ184" s="29"/>
      <c r="CK184" s="29"/>
      <c r="CL184" s="29"/>
      <c r="CM184" s="29"/>
      <c r="CN184" s="29"/>
      <c r="CO184" s="29"/>
      <c r="CP184" s="29"/>
      <c r="CQ184" s="29"/>
      <c r="CR184" s="29"/>
      <c r="CS184" s="29"/>
      <c r="CT184" s="29"/>
      <c r="CU184" s="29"/>
      <c r="CV184" s="29"/>
      <c r="CW184" s="33"/>
    </row>
    <row r="185" spans="3:101">
      <c r="C185" s="29"/>
      <c r="D185" s="29"/>
      <c r="E185" s="29"/>
      <c r="F185" s="29"/>
      <c r="G185" s="29"/>
      <c r="H185" s="29"/>
      <c r="I185"/>
      <c r="J185"/>
      <c r="K185"/>
      <c r="L185"/>
      <c r="M185"/>
      <c r="N185"/>
      <c r="O185"/>
      <c r="P185"/>
      <c r="Q185"/>
      <c r="R185"/>
      <c r="AY185" s="29"/>
      <c r="AZ185" s="33"/>
      <c r="BA185" s="29"/>
      <c r="BB185" s="29"/>
      <c r="BC185" s="29"/>
      <c r="BD185" s="29"/>
      <c r="BE185" s="29"/>
      <c r="BF185" s="29"/>
      <c r="BG185" s="29"/>
      <c r="BH185" s="33"/>
      <c r="BI185" s="29"/>
      <c r="BJ185" s="29"/>
      <c r="BK185" s="29"/>
      <c r="BL185" s="29"/>
      <c r="BM185" s="29"/>
      <c r="BN185" s="29"/>
      <c r="BO185" s="29"/>
      <c r="BP185" s="29"/>
      <c r="BQ185" s="29"/>
      <c r="BR185" s="29"/>
      <c r="BS185" s="29"/>
      <c r="BT185" s="29"/>
      <c r="BU185" s="29"/>
      <c r="BV185" s="29"/>
      <c r="BW185" s="29"/>
      <c r="BX185" s="29"/>
      <c r="BY185" s="29"/>
      <c r="BZ185" s="29"/>
      <c r="CA185" s="29"/>
      <c r="CB185" s="29"/>
      <c r="CC185" s="29"/>
      <c r="CD185" s="33"/>
      <c r="CE185" s="29"/>
      <c r="CF185" s="29"/>
      <c r="CG185" s="29"/>
      <c r="CH185" s="29"/>
      <c r="CI185" s="29"/>
      <c r="CJ185" s="29"/>
      <c r="CK185" s="29"/>
      <c r="CL185" s="29"/>
      <c r="CM185" s="29"/>
      <c r="CN185" s="29"/>
      <c r="CO185" s="29"/>
      <c r="CP185" s="29"/>
      <c r="CQ185" s="29"/>
      <c r="CR185" s="29"/>
      <c r="CS185" s="29"/>
      <c r="CT185" s="29"/>
      <c r="CU185" s="29"/>
      <c r="CV185" s="29"/>
      <c r="CW185" s="33"/>
    </row>
    <row r="186" spans="3:101">
      <c r="C186" s="29"/>
      <c r="D186" s="29"/>
      <c r="E186" s="29"/>
      <c r="F186" s="29"/>
      <c r="G186" s="29"/>
      <c r="H186" s="29"/>
      <c r="I186"/>
      <c r="J186"/>
      <c r="K186"/>
      <c r="L186"/>
      <c r="M186"/>
      <c r="N186"/>
      <c r="O186"/>
      <c r="P186"/>
      <c r="Q186"/>
      <c r="R186"/>
      <c r="AY186" s="29"/>
      <c r="AZ186" s="33"/>
      <c r="BA186" s="29"/>
      <c r="BB186" s="29"/>
      <c r="BC186" s="29"/>
      <c r="BD186" s="29"/>
      <c r="BE186" s="29"/>
      <c r="BF186" s="29"/>
      <c r="BG186" s="29"/>
      <c r="BH186" s="33"/>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33"/>
      <c r="CE186" s="29"/>
      <c r="CF186" s="29"/>
      <c r="CG186" s="29"/>
      <c r="CH186" s="29"/>
      <c r="CI186" s="29"/>
      <c r="CJ186" s="29"/>
      <c r="CK186" s="29"/>
      <c r="CL186" s="29"/>
      <c r="CM186" s="29"/>
      <c r="CN186" s="29"/>
      <c r="CO186" s="29"/>
      <c r="CP186" s="29"/>
      <c r="CQ186" s="29"/>
      <c r="CR186" s="29"/>
      <c r="CS186" s="29"/>
      <c r="CT186" s="29"/>
      <c r="CU186" s="29"/>
      <c r="CV186" s="29"/>
      <c r="CW186" s="33"/>
    </row>
    <row r="187" spans="3:101">
      <c r="C187" s="29"/>
      <c r="D187" s="29"/>
      <c r="E187" s="29"/>
      <c r="F187" s="29"/>
      <c r="G187" s="29"/>
      <c r="H187" s="29"/>
      <c r="I187"/>
      <c r="J187"/>
      <c r="K187"/>
      <c r="L187"/>
      <c r="M187"/>
      <c r="N187"/>
      <c r="O187"/>
      <c r="P187"/>
      <c r="Q187"/>
      <c r="R187"/>
      <c r="AY187" s="29"/>
      <c r="AZ187" s="33"/>
      <c r="BA187" s="29"/>
      <c r="BB187" s="29"/>
      <c r="BC187" s="29"/>
      <c r="BD187" s="29"/>
      <c r="BE187" s="29"/>
      <c r="BF187" s="29"/>
      <c r="BG187" s="29"/>
      <c r="BH187" s="33"/>
      <c r="BI187" s="29"/>
      <c r="BJ187" s="29"/>
      <c r="BK187" s="29"/>
      <c r="BL187" s="29"/>
      <c r="BM187" s="29"/>
      <c r="BN187" s="29"/>
      <c r="BO187" s="29"/>
      <c r="BP187" s="29"/>
      <c r="BQ187" s="29"/>
      <c r="BR187" s="29"/>
      <c r="BS187" s="29"/>
      <c r="BT187" s="29"/>
      <c r="BU187" s="29"/>
      <c r="BV187" s="29"/>
      <c r="BW187" s="29"/>
      <c r="BX187" s="29"/>
      <c r="BY187" s="29"/>
      <c r="BZ187" s="29"/>
      <c r="CA187" s="29"/>
      <c r="CB187" s="29"/>
      <c r="CC187" s="29"/>
      <c r="CD187" s="33"/>
      <c r="CE187" s="29"/>
      <c r="CF187" s="29"/>
      <c r="CG187" s="29"/>
      <c r="CH187" s="29"/>
      <c r="CI187" s="29"/>
      <c r="CJ187" s="29"/>
      <c r="CK187" s="29"/>
      <c r="CL187" s="29"/>
      <c r="CM187" s="29"/>
      <c r="CN187" s="29"/>
      <c r="CO187" s="29"/>
      <c r="CP187" s="29"/>
      <c r="CQ187" s="29"/>
      <c r="CR187" s="29"/>
      <c r="CS187" s="29"/>
      <c r="CT187" s="29"/>
      <c r="CU187" s="29"/>
      <c r="CV187" s="29"/>
      <c r="CW187" s="33"/>
    </row>
    <row r="188" spans="3:101">
      <c r="C188" s="29"/>
      <c r="D188" s="29"/>
      <c r="E188" s="29"/>
      <c r="F188" s="29"/>
      <c r="G188" s="29"/>
      <c r="H188" s="29"/>
      <c r="I188"/>
      <c r="J188"/>
      <c r="K188"/>
      <c r="L188"/>
      <c r="M188"/>
      <c r="N188"/>
      <c r="O188"/>
      <c r="P188"/>
      <c r="Q188"/>
      <c r="R188"/>
      <c r="AY188" s="29"/>
      <c r="AZ188" s="33"/>
      <c r="BA188" s="29"/>
      <c r="BB188" s="29"/>
      <c r="BC188" s="29"/>
      <c r="BD188" s="29"/>
      <c r="BE188" s="29"/>
      <c r="BF188" s="29"/>
      <c r="BG188" s="29"/>
      <c r="BH188" s="33"/>
      <c r="BI188" s="29"/>
      <c r="BJ188" s="29"/>
      <c r="BK188" s="29"/>
      <c r="BL188" s="29"/>
      <c r="BM188" s="29"/>
      <c r="BN188" s="29"/>
      <c r="BO188" s="29"/>
      <c r="BP188" s="29"/>
      <c r="BQ188" s="29"/>
      <c r="BR188" s="29"/>
      <c r="BS188" s="29"/>
      <c r="BT188" s="29"/>
      <c r="BU188" s="29"/>
      <c r="BV188" s="29"/>
      <c r="BW188" s="29"/>
      <c r="BX188" s="29"/>
      <c r="BY188" s="29"/>
      <c r="BZ188" s="29"/>
      <c r="CA188" s="29"/>
      <c r="CB188" s="29"/>
      <c r="CC188" s="29"/>
      <c r="CD188" s="33"/>
      <c r="CE188" s="29"/>
      <c r="CF188" s="29"/>
      <c r="CG188" s="29"/>
      <c r="CH188" s="29"/>
      <c r="CI188" s="29"/>
      <c r="CJ188" s="29"/>
      <c r="CK188" s="29"/>
      <c r="CL188" s="29"/>
      <c r="CM188" s="29"/>
      <c r="CN188" s="29"/>
      <c r="CO188" s="29"/>
      <c r="CP188" s="29"/>
      <c r="CQ188" s="29"/>
      <c r="CR188" s="29"/>
      <c r="CS188" s="29"/>
      <c r="CT188" s="29"/>
      <c r="CU188" s="29"/>
      <c r="CV188" s="29"/>
      <c r="CW188" s="33"/>
    </row>
    <row r="189" spans="3:101">
      <c r="C189" s="29"/>
      <c r="D189" s="29"/>
      <c r="E189" s="29"/>
      <c r="F189" s="29"/>
      <c r="G189" s="29"/>
      <c r="H189" s="29"/>
      <c r="I189"/>
      <c r="J189"/>
      <c r="K189"/>
      <c r="L189"/>
      <c r="M189"/>
      <c r="N189"/>
      <c r="O189"/>
      <c r="P189"/>
      <c r="Q189"/>
      <c r="R189"/>
      <c r="AY189" s="29"/>
      <c r="AZ189" s="109"/>
      <c r="BA189" s="29"/>
      <c r="BB189" s="29"/>
      <c r="BC189" s="29"/>
      <c r="BD189" s="29"/>
      <c r="BE189" s="29"/>
      <c r="BF189" s="29"/>
      <c r="BG189" s="29"/>
      <c r="BH189" s="109"/>
      <c r="BI189" s="29"/>
      <c r="BJ189" s="29"/>
      <c r="BK189" s="29"/>
      <c r="BL189" s="29"/>
      <c r="BM189" s="29"/>
      <c r="BN189" s="29"/>
      <c r="BO189" s="29"/>
      <c r="BP189" s="29"/>
      <c r="BQ189" s="29"/>
      <c r="BR189" s="29"/>
      <c r="BS189" s="29"/>
      <c r="BT189" s="29"/>
      <c r="BU189" s="29"/>
      <c r="BV189" s="29"/>
      <c r="BW189" s="29"/>
      <c r="BX189" s="29"/>
      <c r="BY189" s="29"/>
      <c r="BZ189" s="29"/>
      <c r="CA189" s="29"/>
      <c r="CB189" s="29"/>
      <c r="CC189" s="29"/>
      <c r="CD189" s="109"/>
      <c r="CE189" s="29"/>
      <c r="CF189" s="29"/>
      <c r="CG189" s="29"/>
      <c r="CH189" s="29"/>
      <c r="CI189" s="29"/>
      <c r="CJ189" s="29"/>
      <c r="CK189" s="29"/>
      <c r="CL189" s="29"/>
      <c r="CM189" s="29"/>
      <c r="CN189" s="29"/>
      <c r="CO189" s="29"/>
      <c r="CP189" s="29"/>
      <c r="CQ189" s="29"/>
      <c r="CR189" s="29"/>
      <c r="CS189" s="29"/>
      <c r="CT189" s="29"/>
      <c r="CU189" s="29"/>
      <c r="CV189" s="29"/>
      <c r="CW189" s="33"/>
    </row>
    <row r="190" spans="3:101">
      <c r="C190" s="29"/>
      <c r="D190" s="29"/>
      <c r="E190" s="29"/>
      <c r="F190" s="29"/>
      <c r="G190" s="29"/>
      <c r="H190" s="29"/>
      <c r="I190"/>
      <c r="J190"/>
      <c r="K190"/>
      <c r="L190"/>
      <c r="M190"/>
      <c r="N190"/>
      <c r="O190"/>
      <c r="P190"/>
      <c r="Q190"/>
      <c r="R190"/>
      <c r="AY190" s="29"/>
      <c r="AZ190" s="109"/>
      <c r="BA190" s="29"/>
      <c r="BB190" s="29"/>
      <c r="BC190" s="29"/>
      <c r="BD190" s="29"/>
      <c r="BE190" s="29"/>
      <c r="BF190" s="29"/>
      <c r="BG190" s="29"/>
      <c r="BH190" s="109"/>
      <c r="BI190" s="29"/>
      <c r="BJ190" s="29"/>
      <c r="BK190" s="29"/>
      <c r="BL190" s="29"/>
      <c r="BM190" s="29"/>
      <c r="BN190" s="29"/>
      <c r="BO190" s="29"/>
      <c r="BP190" s="29"/>
      <c r="BQ190" s="29"/>
      <c r="BR190" s="29"/>
      <c r="BS190" s="29"/>
      <c r="BT190" s="29"/>
      <c r="BU190" s="29"/>
      <c r="BV190" s="29"/>
      <c r="BW190" s="29"/>
      <c r="BX190" s="29"/>
      <c r="BY190" s="29"/>
      <c r="BZ190" s="29"/>
      <c r="CA190" s="29"/>
      <c r="CB190" s="29"/>
      <c r="CC190" s="29"/>
      <c r="CD190" s="109"/>
      <c r="CE190" s="29"/>
      <c r="CF190" s="29"/>
      <c r="CG190" s="29"/>
      <c r="CH190" s="29"/>
      <c r="CI190" s="29"/>
      <c r="CJ190" s="29"/>
      <c r="CK190" s="29"/>
      <c r="CL190" s="29"/>
      <c r="CM190" s="29"/>
      <c r="CN190" s="29"/>
      <c r="CO190" s="29"/>
      <c r="CP190" s="29"/>
      <c r="CQ190" s="29"/>
      <c r="CR190" s="29"/>
      <c r="CS190" s="29"/>
      <c r="CT190" s="29"/>
      <c r="CU190" s="29"/>
      <c r="CV190" s="29"/>
      <c r="CW190" s="33"/>
    </row>
    <row r="191" spans="3:101">
      <c r="C191" s="29"/>
      <c r="D191" s="29"/>
      <c r="E191" s="29"/>
      <c r="F191" s="29"/>
      <c r="G191" s="29"/>
      <c r="H191" s="29"/>
      <c r="I191"/>
      <c r="J191"/>
      <c r="K191"/>
      <c r="L191"/>
      <c r="M191"/>
      <c r="N191"/>
      <c r="O191"/>
      <c r="P191"/>
      <c r="Q191"/>
      <c r="R191"/>
      <c r="AY191" s="29"/>
      <c r="AZ191" s="109"/>
      <c r="BA191" s="29"/>
      <c r="BB191" s="29"/>
      <c r="BC191" s="29"/>
      <c r="BD191" s="29"/>
      <c r="BE191" s="29"/>
      <c r="BF191" s="29"/>
      <c r="BG191" s="29"/>
      <c r="BH191" s="109"/>
      <c r="BI191" s="29"/>
      <c r="BJ191" s="29"/>
      <c r="BK191" s="29"/>
      <c r="BL191" s="29"/>
      <c r="BM191" s="29"/>
      <c r="BN191" s="29"/>
      <c r="BO191" s="29"/>
      <c r="BP191" s="29"/>
      <c r="BQ191" s="29"/>
      <c r="BR191" s="29"/>
      <c r="BS191" s="29"/>
      <c r="BT191" s="29"/>
      <c r="BU191" s="29"/>
      <c r="BV191" s="29"/>
      <c r="BW191" s="29"/>
      <c r="BX191" s="29"/>
      <c r="BY191" s="29"/>
      <c r="BZ191" s="29"/>
      <c r="CA191" s="29"/>
      <c r="CB191" s="29"/>
      <c r="CC191" s="29"/>
      <c r="CD191" s="109"/>
      <c r="CE191" s="29"/>
      <c r="CF191" s="29"/>
      <c r="CG191" s="29"/>
      <c r="CH191" s="29"/>
      <c r="CI191" s="29"/>
      <c r="CJ191" s="29"/>
      <c r="CK191" s="29"/>
      <c r="CL191" s="29"/>
      <c r="CM191" s="29"/>
      <c r="CN191" s="29"/>
      <c r="CO191" s="29"/>
      <c r="CP191" s="29"/>
      <c r="CQ191" s="29"/>
      <c r="CR191" s="29"/>
      <c r="CS191" s="29"/>
      <c r="CT191" s="29"/>
      <c r="CU191" s="29"/>
      <c r="CV191" s="29"/>
      <c r="CW191" s="33"/>
    </row>
    <row r="192" spans="3:101">
      <c r="C192" s="29"/>
      <c r="D192" s="29"/>
      <c r="E192" s="29"/>
      <c r="F192" s="29"/>
      <c r="G192" s="29"/>
      <c r="H192" s="29"/>
      <c r="I192"/>
      <c r="J192"/>
      <c r="K192"/>
      <c r="L192"/>
      <c r="M192"/>
      <c r="N192"/>
      <c r="O192"/>
      <c r="P192"/>
      <c r="Q192"/>
      <c r="R192"/>
      <c r="AY192" s="29"/>
      <c r="AZ192" s="109"/>
      <c r="BA192" s="29"/>
      <c r="BB192" s="29"/>
      <c r="BC192" s="29"/>
      <c r="BD192" s="29"/>
      <c r="BE192" s="29"/>
      <c r="BF192" s="29"/>
      <c r="BG192" s="29"/>
      <c r="BH192" s="10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109"/>
      <c r="CE192" s="29"/>
      <c r="CF192" s="29"/>
      <c r="CG192" s="29"/>
      <c r="CH192" s="29"/>
      <c r="CI192" s="29"/>
      <c r="CJ192" s="29"/>
      <c r="CK192" s="29"/>
      <c r="CL192" s="29"/>
      <c r="CM192" s="29"/>
      <c r="CN192" s="29"/>
      <c r="CO192" s="29"/>
      <c r="CP192" s="29"/>
      <c r="CQ192" s="29"/>
      <c r="CR192" s="29"/>
      <c r="CS192" s="29"/>
      <c r="CT192" s="29"/>
      <c r="CU192" s="29"/>
      <c r="CV192" s="29"/>
      <c r="CW192" s="33"/>
    </row>
    <row r="193" spans="3:101">
      <c r="C193" s="29"/>
      <c r="D193" s="29"/>
      <c r="E193" s="29"/>
      <c r="F193" s="29"/>
      <c r="G193" s="29"/>
      <c r="H193" s="29"/>
      <c r="I193"/>
      <c r="J193"/>
      <c r="K193"/>
      <c r="L193"/>
      <c r="M193"/>
      <c r="N193"/>
      <c r="O193"/>
      <c r="P193"/>
      <c r="Q193"/>
      <c r="R193"/>
      <c r="AY193" s="29"/>
      <c r="AZ193" s="109"/>
      <c r="BA193" s="29"/>
      <c r="BB193" s="29"/>
      <c r="BC193" s="29"/>
      <c r="BD193" s="29"/>
      <c r="BE193" s="29"/>
      <c r="BF193" s="29"/>
      <c r="BG193" s="29"/>
      <c r="BH193" s="109"/>
      <c r="BI193" s="29"/>
      <c r="BJ193" s="29"/>
      <c r="BK193" s="29"/>
      <c r="BL193" s="29"/>
      <c r="BM193" s="29"/>
      <c r="BN193" s="29"/>
      <c r="BO193" s="29"/>
      <c r="BP193" s="29"/>
      <c r="BQ193" s="29"/>
      <c r="BR193" s="29"/>
      <c r="BS193" s="29"/>
      <c r="BT193" s="29"/>
      <c r="BU193" s="29"/>
      <c r="BV193" s="29"/>
      <c r="BW193" s="29"/>
      <c r="BX193" s="29"/>
      <c r="BY193" s="29"/>
      <c r="BZ193" s="29"/>
      <c r="CA193" s="29"/>
      <c r="CB193" s="29"/>
      <c r="CC193" s="29"/>
      <c r="CD193" s="109"/>
      <c r="CE193" s="29"/>
      <c r="CF193" s="29"/>
      <c r="CG193" s="29"/>
      <c r="CH193" s="29"/>
      <c r="CI193" s="29"/>
      <c r="CJ193" s="29"/>
      <c r="CK193" s="29"/>
      <c r="CL193" s="29"/>
      <c r="CM193" s="29"/>
      <c r="CN193" s="29"/>
      <c r="CO193" s="29"/>
      <c r="CP193" s="29"/>
      <c r="CQ193" s="29"/>
      <c r="CR193" s="29"/>
      <c r="CS193" s="29"/>
      <c r="CT193" s="29"/>
      <c r="CU193" s="29"/>
      <c r="CV193" s="29"/>
      <c r="CW193" s="33"/>
    </row>
    <row r="194" spans="3:101">
      <c r="C194" s="29"/>
      <c r="D194" s="29"/>
      <c r="E194" s="29"/>
      <c r="F194" s="29"/>
      <c r="G194" s="29"/>
      <c r="H194" s="29"/>
      <c r="I194"/>
      <c r="J194"/>
      <c r="K194"/>
      <c r="L194"/>
      <c r="M194"/>
      <c r="N194"/>
      <c r="O194"/>
      <c r="P194"/>
      <c r="Q194"/>
      <c r="R194"/>
      <c r="AY194" s="29"/>
      <c r="AZ194" s="109"/>
      <c r="BA194" s="29"/>
      <c r="BB194" s="29"/>
      <c r="BC194" s="29"/>
      <c r="BD194" s="29"/>
      <c r="BE194" s="29"/>
      <c r="BF194" s="29"/>
      <c r="BG194" s="29"/>
      <c r="BH194" s="109"/>
      <c r="BI194" s="29"/>
      <c r="BJ194" s="29"/>
      <c r="BK194" s="29"/>
      <c r="BL194" s="29"/>
      <c r="BM194" s="29"/>
      <c r="BN194" s="29"/>
      <c r="BO194" s="29"/>
      <c r="BP194" s="29"/>
      <c r="BQ194" s="29"/>
      <c r="BR194" s="29"/>
      <c r="BS194" s="29"/>
      <c r="BT194" s="29"/>
      <c r="BU194" s="29"/>
      <c r="BV194" s="29"/>
      <c r="BW194" s="29"/>
      <c r="BX194" s="29"/>
      <c r="BY194" s="29"/>
      <c r="BZ194" s="29"/>
      <c r="CA194" s="29"/>
      <c r="CB194" s="29"/>
      <c r="CC194" s="29"/>
      <c r="CD194" s="109"/>
      <c r="CE194" s="29"/>
      <c r="CF194" s="29"/>
      <c r="CG194" s="29"/>
      <c r="CH194" s="29"/>
      <c r="CI194" s="29"/>
      <c r="CJ194" s="29"/>
      <c r="CK194" s="29"/>
      <c r="CL194" s="29"/>
      <c r="CM194" s="29"/>
      <c r="CN194" s="29"/>
      <c r="CO194" s="29"/>
      <c r="CP194" s="29"/>
      <c r="CQ194" s="29"/>
      <c r="CR194" s="29"/>
      <c r="CS194" s="29"/>
      <c r="CT194" s="29"/>
      <c r="CU194" s="29"/>
      <c r="CV194" s="29"/>
      <c r="CW194" s="33"/>
    </row>
    <row r="195" spans="3:101">
      <c r="C195" s="29"/>
      <c r="D195" s="29"/>
      <c r="E195" s="29"/>
      <c r="F195" s="29"/>
      <c r="G195" s="29"/>
      <c r="H195" s="29"/>
      <c r="I195"/>
      <c r="J195"/>
      <c r="K195"/>
      <c r="L195"/>
      <c r="M195"/>
      <c r="N195"/>
      <c r="O195"/>
      <c r="P195"/>
      <c r="Q195"/>
      <c r="R195"/>
      <c r="AY195" s="29"/>
      <c r="AZ195" s="109"/>
      <c r="BA195" s="29"/>
      <c r="BB195" s="29"/>
      <c r="BC195" s="29"/>
      <c r="BD195" s="29"/>
      <c r="BE195" s="29"/>
      <c r="BF195" s="29"/>
      <c r="BG195" s="29"/>
      <c r="BH195" s="109"/>
      <c r="BI195" s="29"/>
      <c r="BJ195" s="29"/>
      <c r="BK195" s="29"/>
      <c r="BL195" s="29"/>
      <c r="BM195" s="29"/>
      <c r="BN195" s="29"/>
      <c r="BO195" s="29"/>
      <c r="BP195" s="29"/>
      <c r="BQ195" s="29"/>
      <c r="BR195" s="29"/>
      <c r="BS195" s="29"/>
      <c r="BT195" s="29"/>
      <c r="BU195" s="29"/>
      <c r="BV195" s="29"/>
      <c r="BW195" s="29"/>
      <c r="BX195" s="29"/>
      <c r="BY195" s="29"/>
      <c r="BZ195" s="29"/>
      <c r="CA195" s="29"/>
      <c r="CB195" s="29"/>
      <c r="CC195" s="29"/>
      <c r="CD195" s="109"/>
      <c r="CE195" s="29"/>
      <c r="CF195" s="29"/>
      <c r="CG195" s="29"/>
      <c r="CH195" s="29"/>
      <c r="CI195" s="29"/>
      <c r="CJ195" s="29"/>
      <c r="CK195" s="29"/>
      <c r="CL195" s="29"/>
      <c r="CM195" s="29"/>
      <c r="CN195" s="29"/>
      <c r="CO195" s="29"/>
      <c r="CP195" s="29"/>
      <c r="CQ195" s="29"/>
      <c r="CR195" s="29"/>
      <c r="CS195" s="29"/>
      <c r="CT195" s="29"/>
      <c r="CU195" s="29"/>
      <c r="CV195" s="29"/>
      <c r="CW195" s="33"/>
    </row>
    <row r="196" spans="3:101">
      <c r="C196" s="29"/>
      <c r="D196" s="29"/>
      <c r="E196" s="29"/>
      <c r="F196" s="29"/>
      <c r="G196" s="29"/>
      <c r="H196" s="29"/>
      <c r="I196"/>
      <c r="J196"/>
      <c r="K196"/>
      <c r="L196"/>
      <c r="M196"/>
      <c r="N196"/>
      <c r="O196"/>
      <c r="P196"/>
      <c r="Q196"/>
      <c r="R196"/>
      <c r="AY196" s="29"/>
      <c r="AZ196" s="109"/>
      <c r="BA196" s="29"/>
      <c r="BB196" s="29"/>
      <c r="BC196" s="29"/>
      <c r="BD196" s="29"/>
      <c r="BE196" s="29"/>
      <c r="BF196" s="29"/>
      <c r="BG196" s="29"/>
      <c r="BH196" s="10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109"/>
      <c r="CE196" s="29"/>
      <c r="CF196" s="29"/>
      <c r="CG196" s="29"/>
      <c r="CH196" s="29"/>
      <c r="CI196" s="29"/>
      <c r="CJ196" s="29"/>
      <c r="CK196" s="29"/>
      <c r="CL196" s="29"/>
      <c r="CM196" s="29"/>
      <c r="CN196" s="29"/>
      <c r="CO196" s="29"/>
      <c r="CP196" s="29"/>
      <c r="CQ196" s="29"/>
      <c r="CR196" s="29"/>
      <c r="CS196" s="29"/>
      <c r="CT196" s="29"/>
      <c r="CU196" s="29"/>
      <c r="CV196" s="29"/>
      <c r="CW196" s="33"/>
    </row>
    <row r="197" spans="3:101">
      <c r="C197" s="29"/>
      <c r="D197" s="29"/>
      <c r="E197" s="29"/>
      <c r="F197" s="29"/>
      <c r="G197" s="29"/>
      <c r="H197" s="29"/>
      <c r="I197"/>
      <c r="J197"/>
      <c r="K197"/>
      <c r="L197"/>
      <c r="M197"/>
      <c r="N197"/>
      <c r="O197"/>
      <c r="P197"/>
      <c r="Q197"/>
      <c r="R197"/>
      <c r="AY197" s="29"/>
      <c r="AZ197" s="109"/>
      <c r="BA197" s="29"/>
      <c r="BB197" s="29"/>
      <c r="BC197" s="29"/>
      <c r="BD197" s="29"/>
      <c r="BE197" s="29"/>
      <c r="BF197" s="29"/>
      <c r="BG197" s="29"/>
      <c r="BH197" s="109"/>
      <c r="BI197" s="29"/>
      <c r="BJ197" s="29"/>
      <c r="BK197" s="29"/>
      <c r="BL197" s="29"/>
      <c r="BM197" s="29"/>
      <c r="BN197" s="29"/>
      <c r="BO197" s="29"/>
      <c r="BP197" s="29"/>
      <c r="BQ197" s="29"/>
      <c r="BR197" s="29"/>
      <c r="BS197" s="29"/>
      <c r="BT197" s="29"/>
      <c r="BU197" s="29"/>
      <c r="BV197" s="29"/>
      <c r="BW197" s="29"/>
      <c r="BX197" s="29"/>
      <c r="BY197" s="29"/>
      <c r="BZ197" s="29"/>
      <c r="CA197" s="29"/>
      <c r="CB197" s="29"/>
      <c r="CC197" s="29"/>
      <c r="CD197" s="109"/>
      <c r="CE197" s="29"/>
      <c r="CF197" s="29"/>
      <c r="CG197" s="29"/>
      <c r="CH197" s="29"/>
      <c r="CI197" s="29"/>
      <c r="CJ197" s="29"/>
      <c r="CK197" s="29"/>
      <c r="CL197" s="29"/>
      <c r="CM197" s="29"/>
      <c r="CN197" s="29"/>
      <c r="CO197" s="29"/>
      <c r="CP197" s="29"/>
      <c r="CQ197" s="29"/>
      <c r="CR197" s="29"/>
      <c r="CS197" s="29"/>
      <c r="CT197" s="29"/>
      <c r="CU197" s="29"/>
      <c r="CV197" s="29"/>
      <c r="CW197" s="33"/>
    </row>
    <row r="198" spans="3:101">
      <c r="C198" s="29"/>
      <c r="D198" s="29"/>
      <c r="E198" s="29"/>
      <c r="F198" s="29"/>
      <c r="G198" s="29"/>
      <c r="H198" s="29"/>
      <c r="I198"/>
      <c r="J198"/>
      <c r="K198"/>
      <c r="L198"/>
      <c r="M198"/>
      <c r="N198"/>
      <c r="O198"/>
      <c r="P198"/>
      <c r="Q198"/>
      <c r="R198"/>
      <c r="AY198" s="29"/>
      <c r="AZ198" s="33"/>
      <c r="BA198" s="29"/>
      <c r="BB198" s="29"/>
      <c r="BC198" s="29"/>
      <c r="BD198" s="29"/>
      <c r="BE198" s="29"/>
      <c r="BF198" s="29"/>
      <c r="BG198" s="29"/>
      <c r="BH198" s="33"/>
      <c r="BI198" s="29"/>
      <c r="BJ198" s="29"/>
      <c r="BK198" s="29"/>
      <c r="BL198" s="29"/>
      <c r="BM198" s="29"/>
      <c r="BN198" s="29"/>
      <c r="BO198" s="29"/>
      <c r="BP198" s="29"/>
      <c r="BQ198" s="29"/>
      <c r="BR198" s="29"/>
      <c r="BS198" s="29"/>
      <c r="BT198" s="29"/>
      <c r="BU198" s="29"/>
      <c r="BV198" s="29"/>
      <c r="BW198" s="29"/>
      <c r="BX198" s="29"/>
      <c r="BY198" s="29"/>
      <c r="BZ198" s="29"/>
      <c r="CA198" s="29"/>
      <c r="CB198" s="29"/>
      <c r="CC198" s="29"/>
      <c r="CD198" s="33"/>
      <c r="CE198" s="29"/>
      <c r="CF198" s="29"/>
      <c r="CG198" s="29"/>
      <c r="CH198" s="29"/>
      <c r="CI198" s="29"/>
      <c r="CJ198" s="29"/>
      <c r="CK198" s="29"/>
      <c r="CL198" s="29"/>
      <c r="CM198" s="29"/>
      <c r="CN198" s="29"/>
      <c r="CO198" s="29"/>
      <c r="CP198" s="29"/>
      <c r="CQ198" s="29"/>
      <c r="CR198" s="29"/>
      <c r="CS198" s="29"/>
      <c r="CT198" s="29"/>
      <c r="CU198" s="29"/>
      <c r="CV198" s="29"/>
      <c r="CW198" s="33"/>
    </row>
    <row r="199" spans="3:101">
      <c r="C199" s="29"/>
      <c r="D199" s="29"/>
      <c r="E199" s="29"/>
      <c r="F199" s="29"/>
      <c r="G199" s="29"/>
      <c r="H199" s="29"/>
      <c r="I199"/>
      <c r="J199"/>
      <c r="K199"/>
      <c r="L199"/>
      <c r="M199"/>
      <c r="N199"/>
      <c r="O199"/>
      <c r="P199"/>
      <c r="Q199"/>
      <c r="R199"/>
      <c r="AY199" s="29"/>
      <c r="AZ199" s="33"/>
      <c r="BA199" s="29"/>
      <c r="BB199" s="29"/>
      <c r="BC199" s="29"/>
      <c r="BD199" s="29"/>
      <c r="BE199" s="29"/>
      <c r="BF199" s="29"/>
      <c r="BG199" s="29"/>
      <c r="BH199" s="33"/>
      <c r="BI199" s="29"/>
      <c r="BJ199" s="29"/>
      <c r="BK199" s="29"/>
      <c r="BL199" s="29"/>
      <c r="BM199" s="29"/>
      <c r="BN199" s="29"/>
      <c r="BO199" s="29"/>
      <c r="BP199" s="29"/>
      <c r="BQ199" s="29"/>
      <c r="BR199" s="29"/>
      <c r="BS199" s="29"/>
      <c r="BT199" s="29"/>
      <c r="BU199" s="29"/>
      <c r="BV199" s="29"/>
      <c r="BW199" s="29"/>
      <c r="BX199" s="29"/>
      <c r="BY199" s="29"/>
      <c r="BZ199" s="29"/>
      <c r="CA199" s="29"/>
      <c r="CB199" s="29"/>
      <c r="CC199" s="29"/>
      <c r="CD199" s="33"/>
      <c r="CE199" s="29"/>
      <c r="CF199" s="29"/>
      <c r="CG199" s="29"/>
      <c r="CH199" s="29"/>
      <c r="CI199" s="29"/>
      <c r="CJ199" s="29"/>
      <c r="CK199" s="29"/>
      <c r="CL199" s="29"/>
      <c r="CM199" s="29"/>
      <c r="CN199" s="29"/>
      <c r="CO199" s="29"/>
      <c r="CP199" s="29"/>
      <c r="CQ199" s="29"/>
      <c r="CR199" s="29"/>
      <c r="CS199" s="29"/>
      <c r="CT199" s="29"/>
      <c r="CU199" s="29"/>
      <c r="CV199" s="29"/>
      <c r="CW199" s="33"/>
    </row>
    <row r="200" spans="3:101">
      <c r="C200" s="29"/>
      <c r="D200" s="29"/>
      <c r="E200" s="29"/>
      <c r="F200" s="29"/>
      <c r="G200" s="29"/>
      <c r="H200" s="29"/>
      <c r="I200"/>
      <c r="J200"/>
      <c r="K200"/>
      <c r="L200"/>
      <c r="M200"/>
      <c r="N200"/>
      <c r="O200"/>
      <c r="P200"/>
      <c r="Q200"/>
      <c r="R200"/>
      <c r="AY200" s="29"/>
      <c r="AZ200" s="33"/>
      <c r="BA200" s="29"/>
      <c r="BB200" s="29"/>
      <c r="BC200" s="29"/>
      <c r="BD200" s="29"/>
      <c r="BE200" s="29"/>
      <c r="BF200" s="29"/>
      <c r="BG200" s="29"/>
      <c r="BH200" s="33"/>
      <c r="BI200" s="29"/>
      <c r="BJ200" s="29"/>
      <c r="BK200" s="29"/>
      <c r="BL200" s="29"/>
      <c r="BM200" s="29"/>
      <c r="BN200" s="29"/>
      <c r="BO200" s="29"/>
      <c r="BP200" s="29"/>
      <c r="BQ200" s="29"/>
      <c r="BR200" s="29"/>
      <c r="BS200" s="29"/>
      <c r="BT200" s="29"/>
      <c r="BU200" s="29"/>
      <c r="BV200" s="29"/>
      <c r="BW200" s="29"/>
      <c r="BX200" s="29"/>
      <c r="BY200" s="29"/>
      <c r="BZ200" s="29"/>
      <c r="CA200" s="29"/>
      <c r="CB200" s="29"/>
      <c r="CC200" s="29"/>
      <c r="CD200" s="33"/>
      <c r="CE200" s="29"/>
      <c r="CF200" s="29"/>
      <c r="CG200" s="29"/>
      <c r="CH200" s="29"/>
      <c r="CI200" s="29"/>
      <c r="CJ200" s="29"/>
      <c r="CK200" s="29"/>
      <c r="CL200" s="29"/>
      <c r="CM200" s="29"/>
      <c r="CN200" s="29"/>
      <c r="CO200" s="29"/>
      <c r="CP200" s="29"/>
      <c r="CQ200" s="29"/>
      <c r="CR200" s="29"/>
      <c r="CS200" s="29"/>
      <c r="CT200" s="29"/>
      <c r="CU200" s="29"/>
      <c r="CV200" s="29"/>
      <c r="CW200" s="33"/>
    </row>
    <row r="201" spans="3:101">
      <c r="C201" s="29"/>
      <c r="D201" s="29"/>
      <c r="E201" s="29"/>
      <c r="F201" s="29"/>
      <c r="G201" s="29"/>
      <c r="H201" s="29"/>
      <c r="I201"/>
      <c r="J201"/>
      <c r="K201"/>
      <c r="L201"/>
      <c r="M201"/>
      <c r="N201"/>
      <c r="O201"/>
      <c r="P201"/>
      <c r="Q201"/>
      <c r="R201"/>
      <c r="AY201" s="29"/>
      <c r="AZ201" s="33"/>
      <c r="BA201" s="29"/>
      <c r="BB201" s="29"/>
      <c r="BC201" s="29"/>
      <c r="BD201" s="29"/>
      <c r="BE201" s="29"/>
      <c r="BF201" s="29"/>
      <c r="BG201" s="29"/>
      <c r="BH201" s="33"/>
      <c r="BI201" s="29"/>
      <c r="BJ201" s="29"/>
      <c r="BK201" s="29"/>
      <c r="BL201" s="29"/>
      <c r="BM201" s="29"/>
      <c r="BN201" s="29"/>
      <c r="BO201" s="29"/>
      <c r="BP201" s="29"/>
      <c r="BQ201" s="29"/>
      <c r="BR201" s="29"/>
      <c r="BS201" s="29"/>
      <c r="BT201" s="29"/>
      <c r="BU201" s="29"/>
      <c r="BV201" s="29"/>
      <c r="BW201" s="29"/>
      <c r="BX201" s="29"/>
      <c r="BY201" s="29"/>
      <c r="BZ201" s="29"/>
      <c r="CA201" s="29"/>
      <c r="CB201" s="29"/>
      <c r="CC201" s="29"/>
      <c r="CD201" s="33"/>
      <c r="CE201" s="29"/>
      <c r="CF201" s="29"/>
      <c r="CG201" s="29"/>
      <c r="CH201" s="29"/>
      <c r="CI201" s="29"/>
      <c r="CJ201" s="29"/>
      <c r="CK201" s="29"/>
      <c r="CL201" s="29"/>
      <c r="CM201" s="29"/>
      <c r="CN201" s="29"/>
      <c r="CO201" s="29"/>
      <c r="CP201" s="29"/>
      <c r="CQ201" s="29"/>
      <c r="CR201" s="29"/>
      <c r="CS201" s="29"/>
      <c r="CT201" s="29"/>
      <c r="CU201" s="29"/>
      <c r="CV201" s="29"/>
      <c r="CW201" s="33"/>
    </row>
    <row r="202" spans="3:101">
      <c r="C202" s="29"/>
      <c r="D202" s="29"/>
      <c r="E202" s="29"/>
      <c r="F202" s="29"/>
      <c r="G202" s="29"/>
      <c r="H202" s="29"/>
      <c r="I202"/>
      <c r="J202"/>
      <c r="K202"/>
      <c r="L202"/>
      <c r="M202"/>
      <c r="N202"/>
      <c r="O202"/>
      <c r="P202"/>
      <c r="Q202"/>
      <c r="R202"/>
      <c r="AY202" s="29"/>
      <c r="AZ202" s="33"/>
      <c r="BA202" s="29"/>
      <c r="BB202" s="29"/>
      <c r="BC202" s="29"/>
      <c r="BD202" s="29"/>
      <c r="BE202" s="29"/>
      <c r="BF202" s="29"/>
      <c r="BG202" s="29"/>
      <c r="BH202" s="33"/>
      <c r="BI202" s="29"/>
      <c r="BJ202" s="29"/>
      <c r="BK202" s="29"/>
      <c r="BL202" s="29"/>
      <c r="BM202" s="29"/>
      <c r="BN202" s="29"/>
      <c r="BO202" s="29"/>
      <c r="BP202" s="29"/>
      <c r="BQ202" s="29"/>
      <c r="BR202" s="29"/>
      <c r="BS202" s="29"/>
      <c r="BT202" s="29"/>
      <c r="BU202" s="29"/>
      <c r="BV202" s="29"/>
      <c r="BW202" s="29"/>
      <c r="BX202" s="29"/>
      <c r="BY202" s="29"/>
      <c r="BZ202" s="29"/>
      <c r="CA202" s="29"/>
      <c r="CB202" s="29"/>
      <c r="CC202" s="29"/>
      <c r="CD202" s="33"/>
      <c r="CE202" s="29"/>
      <c r="CF202" s="29"/>
      <c r="CG202" s="29"/>
      <c r="CH202" s="29"/>
      <c r="CI202" s="29"/>
      <c r="CJ202" s="29"/>
      <c r="CK202" s="29"/>
      <c r="CL202" s="29"/>
      <c r="CM202" s="29"/>
      <c r="CN202" s="29"/>
      <c r="CO202" s="29"/>
      <c r="CP202" s="29"/>
      <c r="CQ202" s="29"/>
      <c r="CR202" s="29"/>
      <c r="CS202" s="29"/>
      <c r="CT202" s="29"/>
      <c r="CU202" s="29"/>
      <c r="CV202" s="29"/>
      <c r="CW202" s="33"/>
    </row>
    <row r="203" spans="3:101">
      <c r="C203" s="29"/>
      <c r="D203" s="29"/>
      <c r="E203" s="29"/>
      <c r="F203" s="29"/>
      <c r="G203" s="29"/>
      <c r="H203" s="29"/>
      <c r="I203"/>
      <c r="J203"/>
      <c r="K203"/>
      <c r="L203"/>
      <c r="M203"/>
      <c r="N203"/>
      <c r="O203"/>
      <c r="P203"/>
      <c r="Q203"/>
      <c r="R203"/>
      <c r="AY203" s="29"/>
      <c r="AZ203" s="33"/>
      <c r="BA203" s="29"/>
      <c r="BB203" s="29"/>
      <c r="BC203" s="29"/>
      <c r="BD203" s="29"/>
      <c r="BE203" s="29"/>
      <c r="BF203" s="29"/>
      <c r="BG203" s="29"/>
      <c r="BH203" s="33"/>
      <c r="BI203" s="29"/>
      <c r="BJ203" s="29"/>
      <c r="BK203" s="29"/>
      <c r="BL203" s="29"/>
      <c r="BM203" s="29"/>
      <c r="BN203" s="29"/>
      <c r="BO203" s="29"/>
      <c r="BP203" s="29"/>
      <c r="BQ203" s="29"/>
      <c r="BR203" s="29"/>
      <c r="BS203" s="29"/>
      <c r="BT203" s="29"/>
      <c r="BU203" s="29"/>
      <c r="BV203" s="29"/>
      <c r="BW203" s="29"/>
      <c r="BX203" s="29"/>
      <c r="BY203" s="29"/>
      <c r="BZ203" s="29"/>
      <c r="CA203" s="29"/>
      <c r="CB203" s="29"/>
      <c r="CC203" s="29"/>
      <c r="CD203" s="33"/>
      <c r="CE203" s="29"/>
      <c r="CF203" s="29"/>
      <c r="CG203" s="29"/>
      <c r="CH203" s="29"/>
      <c r="CI203" s="29"/>
      <c r="CJ203" s="29"/>
      <c r="CK203" s="29"/>
      <c r="CL203" s="29"/>
      <c r="CM203" s="29"/>
      <c r="CN203" s="29"/>
      <c r="CO203" s="29"/>
      <c r="CP203" s="29"/>
      <c r="CQ203" s="29"/>
      <c r="CR203" s="29"/>
      <c r="CS203" s="29"/>
      <c r="CT203" s="29"/>
      <c r="CU203" s="29"/>
      <c r="CV203" s="29"/>
      <c r="CW203" s="33"/>
    </row>
    <row r="204" spans="3:101">
      <c r="C204" s="29"/>
      <c r="D204" s="29"/>
      <c r="E204" s="29"/>
      <c r="F204" s="29"/>
      <c r="G204" s="29"/>
      <c r="H204" s="29"/>
      <c r="I204"/>
      <c r="J204"/>
      <c r="K204"/>
      <c r="L204"/>
      <c r="M204"/>
      <c r="N204"/>
      <c r="O204"/>
      <c r="P204"/>
      <c r="Q204"/>
      <c r="R204"/>
      <c r="AY204" s="29"/>
      <c r="AZ204" s="33"/>
      <c r="BA204" s="29"/>
      <c r="BB204" s="29"/>
      <c r="BC204" s="29"/>
      <c r="BD204" s="29"/>
      <c r="BE204" s="29"/>
      <c r="BF204" s="29"/>
      <c r="BG204" s="29"/>
      <c r="BH204" s="33"/>
      <c r="BI204" s="29"/>
      <c r="BJ204" s="29"/>
      <c r="BK204" s="29"/>
      <c r="BL204" s="29"/>
      <c r="BM204" s="29"/>
      <c r="BN204" s="29"/>
      <c r="BO204" s="29"/>
      <c r="BP204" s="29"/>
      <c r="BQ204" s="29"/>
      <c r="BR204" s="29"/>
      <c r="BS204" s="29"/>
      <c r="BT204" s="29"/>
      <c r="BU204" s="29"/>
      <c r="BV204" s="29"/>
      <c r="BW204" s="29"/>
      <c r="BX204" s="29"/>
      <c r="BY204" s="29"/>
      <c r="BZ204" s="29"/>
      <c r="CA204" s="29"/>
      <c r="CB204" s="29"/>
      <c r="CC204" s="29"/>
      <c r="CD204" s="33"/>
      <c r="CE204" s="29"/>
      <c r="CF204" s="29"/>
      <c r="CG204" s="29"/>
      <c r="CH204" s="29"/>
      <c r="CI204" s="29"/>
      <c r="CJ204" s="29"/>
      <c r="CK204" s="29"/>
      <c r="CL204" s="29"/>
      <c r="CM204" s="29"/>
      <c r="CN204" s="29"/>
      <c r="CO204" s="29"/>
      <c r="CP204" s="29"/>
      <c r="CQ204" s="29"/>
      <c r="CR204" s="29"/>
      <c r="CS204" s="29"/>
      <c r="CT204" s="29"/>
      <c r="CU204" s="29"/>
      <c r="CV204" s="29"/>
      <c r="CW204" s="33"/>
    </row>
    <row r="205" spans="3:101">
      <c r="C205" s="29"/>
      <c r="D205" s="29"/>
      <c r="E205" s="29"/>
      <c r="F205" s="29"/>
      <c r="G205" s="29"/>
      <c r="H205" s="29"/>
      <c r="I205"/>
      <c r="J205"/>
      <c r="K205"/>
      <c r="L205"/>
      <c r="M205"/>
      <c r="N205"/>
      <c r="O205"/>
      <c r="P205"/>
      <c r="Q205"/>
      <c r="R205"/>
      <c r="AY205" s="29"/>
      <c r="AZ205" s="33"/>
      <c r="BA205" s="29"/>
      <c r="BB205" s="29"/>
      <c r="BC205" s="29"/>
      <c r="BD205" s="29"/>
      <c r="BE205" s="29"/>
      <c r="BF205" s="29"/>
      <c r="BG205" s="29"/>
      <c r="BH205" s="33"/>
      <c r="BI205" s="29"/>
      <c r="BJ205" s="29"/>
      <c r="BK205" s="29"/>
      <c r="BL205" s="29"/>
      <c r="BM205" s="29"/>
      <c r="BN205" s="29"/>
      <c r="BO205" s="29"/>
      <c r="BP205" s="29"/>
      <c r="BQ205" s="29"/>
      <c r="BR205" s="29"/>
      <c r="BS205" s="29"/>
      <c r="BT205" s="29"/>
      <c r="BU205" s="29"/>
      <c r="BV205" s="29"/>
      <c r="BW205" s="29"/>
      <c r="BX205" s="29"/>
      <c r="BY205" s="29"/>
      <c r="BZ205" s="29"/>
      <c r="CA205" s="29"/>
      <c r="CB205" s="29"/>
      <c r="CC205" s="29"/>
      <c r="CD205" s="33"/>
      <c r="CE205" s="29"/>
      <c r="CF205" s="29"/>
      <c r="CG205" s="29"/>
      <c r="CH205" s="29"/>
      <c r="CI205" s="29"/>
      <c r="CJ205" s="29"/>
      <c r="CK205" s="29"/>
      <c r="CL205" s="29"/>
      <c r="CM205" s="29"/>
      <c r="CN205" s="29"/>
      <c r="CO205" s="29"/>
      <c r="CP205" s="29"/>
      <c r="CQ205" s="29"/>
      <c r="CR205" s="29"/>
      <c r="CS205" s="29"/>
      <c r="CT205" s="29"/>
      <c r="CU205" s="29"/>
      <c r="CV205" s="29"/>
      <c r="CW205" s="33"/>
    </row>
    <row r="206" spans="3:101">
      <c r="C206" s="29"/>
      <c r="D206" s="29"/>
      <c r="E206" s="29"/>
      <c r="F206" s="29"/>
      <c r="G206" s="29"/>
      <c r="H206" s="29"/>
      <c r="I206"/>
      <c r="J206"/>
      <c r="K206"/>
      <c r="L206"/>
      <c r="M206"/>
      <c r="N206"/>
      <c r="O206"/>
      <c r="P206"/>
      <c r="Q206"/>
      <c r="R206"/>
      <c r="AY206" s="29"/>
      <c r="AZ206" s="33"/>
      <c r="BA206" s="29"/>
      <c r="BB206" s="29"/>
      <c r="BC206" s="29"/>
      <c r="BD206" s="29"/>
      <c r="BE206" s="29"/>
      <c r="BF206" s="29"/>
      <c r="BG206" s="29"/>
      <c r="BH206" s="33"/>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33"/>
      <c r="CE206" s="29"/>
      <c r="CF206" s="29"/>
      <c r="CG206" s="29"/>
      <c r="CH206" s="29"/>
      <c r="CI206" s="29"/>
      <c r="CJ206" s="29"/>
      <c r="CK206" s="29"/>
      <c r="CL206" s="29"/>
      <c r="CM206" s="29"/>
      <c r="CN206" s="29"/>
      <c r="CO206" s="29"/>
      <c r="CP206" s="29"/>
      <c r="CQ206" s="29"/>
      <c r="CR206" s="29"/>
      <c r="CS206" s="29"/>
      <c r="CT206" s="29"/>
      <c r="CU206" s="29"/>
      <c r="CV206" s="29"/>
      <c r="CW206" s="33"/>
    </row>
    <row r="207" spans="3:101">
      <c r="C207" s="29"/>
      <c r="D207" s="29"/>
      <c r="E207" s="29"/>
      <c r="F207" s="29"/>
      <c r="G207" s="29"/>
      <c r="H207" s="29"/>
      <c r="I207"/>
      <c r="J207"/>
      <c r="K207"/>
      <c r="L207"/>
      <c r="M207"/>
      <c r="N207"/>
      <c r="O207"/>
      <c r="P207"/>
      <c r="Q207"/>
      <c r="R207"/>
      <c r="AY207" s="29"/>
      <c r="AZ207" s="33"/>
      <c r="BA207" s="29"/>
      <c r="BB207" s="29"/>
      <c r="BC207" s="29"/>
      <c r="BD207" s="29"/>
      <c r="BE207" s="29"/>
      <c r="BF207" s="29"/>
      <c r="BG207" s="29"/>
      <c r="BH207" s="33"/>
      <c r="BI207" s="29"/>
      <c r="BJ207" s="29"/>
      <c r="BK207" s="29"/>
      <c r="BL207" s="29"/>
      <c r="BM207" s="29"/>
      <c r="BN207" s="29"/>
      <c r="BO207" s="29"/>
      <c r="BP207" s="29"/>
      <c r="BQ207" s="29"/>
      <c r="BR207" s="29"/>
      <c r="BS207" s="29"/>
      <c r="BT207" s="29"/>
      <c r="BU207" s="29"/>
      <c r="BV207" s="29"/>
      <c r="BW207" s="29"/>
      <c r="BX207" s="29"/>
      <c r="BY207" s="29"/>
      <c r="BZ207" s="29"/>
      <c r="CA207" s="29"/>
      <c r="CB207" s="29"/>
      <c r="CC207" s="29"/>
      <c r="CD207" s="33"/>
      <c r="CE207" s="29"/>
      <c r="CF207" s="29"/>
      <c r="CG207" s="29"/>
      <c r="CH207" s="29"/>
      <c r="CI207" s="29"/>
      <c r="CJ207" s="29"/>
      <c r="CK207" s="29"/>
      <c r="CL207" s="29"/>
      <c r="CM207" s="29"/>
      <c r="CN207" s="29"/>
      <c r="CO207" s="29"/>
      <c r="CP207" s="29"/>
      <c r="CQ207" s="29"/>
      <c r="CR207" s="29"/>
      <c r="CS207" s="29"/>
      <c r="CT207" s="29"/>
      <c r="CU207" s="29"/>
      <c r="CV207" s="29"/>
      <c r="CW207" s="33"/>
    </row>
    <row r="208" spans="3:101">
      <c r="C208" s="29"/>
      <c r="D208" s="29"/>
      <c r="E208" s="29"/>
      <c r="F208" s="29"/>
      <c r="G208" s="29"/>
      <c r="H208" s="29"/>
      <c r="I208"/>
      <c r="J208"/>
      <c r="K208"/>
      <c r="L208"/>
      <c r="M208"/>
      <c r="N208"/>
      <c r="O208"/>
      <c r="P208"/>
      <c r="Q208"/>
      <c r="R208"/>
      <c r="AY208" s="29"/>
      <c r="AZ208" s="33"/>
      <c r="BA208" s="29"/>
      <c r="BB208" s="29"/>
      <c r="BC208" s="29"/>
      <c r="BD208" s="29"/>
      <c r="BE208" s="29"/>
      <c r="BF208" s="29"/>
      <c r="BG208" s="29"/>
      <c r="BH208" s="33"/>
      <c r="BI208" s="29"/>
      <c r="BJ208" s="29"/>
      <c r="BK208" s="29"/>
      <c r="BL208" s="29"/>
      <c r="BM208" s="29"/>
      <c r="BN208" s="29"/>
      <c r="BO208" s="29"/>
      <c r="BP208" s="29"/>
      <c r="BQ208" s="29"/>
      <c r="BR208" s="29"/>
      <c r="BS208" s="29"/>
      <c r="BT208" s="29"/>
      <c r="BU208" s="29"/>
      <c r="BV208" s="29"/>
      <c r="BW208" s="29"/>
      <c r="BX208" s="29"/>
      <c r="BY208" s="29"/>
      <c r="BZ208" s="29"/>
      <c r="CA208" s="29"/>
      <c r="CB208" s="29"/>
      <c r="CC208" s="29"/>
      <c r="CD208" s="33"/>
      <c r="CE208" s="29"/>
      <c r="CF208" s="29"/>
      <c r="CG208" s="29"/>
      <c r="CH208" s="29"/>
      <c r="CI208" s="29"/>
      <c r="CJ208" s="29"/>
      <c r="CK208" s="29"/>
      <c r="CL208" s="29"/>
      <c r="CM208" s="29"/>
      <c r="CN208" s="29"/>
      <c r="CO208" s="29"/>
      <c r="CP208" s="29"/>
      <c r="CQ208" s="29"/>
      <c r="CR208" s="29"/>
      <c r="CS208" s="29"/>
      <c r="CT208" s="29"/>
      <c r="CU208" s="29"/>
      <c r="CV208" s="29"/>
      <c r="CW208" s="33"/>
    </row>
    <row r="209" spans="3:101">
      <c r="C209" s="29"/>
      <c r="D209" s="29"/>
      <c r="E209" s="29"/>
      <c r="F209" s="29"/>
      <c r="G209" s="29"/>
      <c r="H209" s="29"/>
      <c r="I209"/>
      <c r="J209"/>
      <c r="K209"/>
      <c r="L209"/>
      <c r="M209"/>
      <c r="N209"/>
      <c r="O209"/>
      <c r="P209"/>
      <c r="Q209"/>
      <c r="R209"/>
      <c r="AY209" s="29"/>
      <c r="AZ209" s="33"/>
      <c r="BA209" s="29"/>
      <c r="BB209" s="29"/>
      <c r="BC209" s="29"/>
      <c r="BD209" s="29"/>
      <c r="BE209" s="29"/>
      <c r="BF209" s="29"/>
      <c r="BG209" s="29"/>
      <c r="BH209" s="33"/>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33"/>
      <c r="CE209" s="29"/>
      <c r="CF209" s="29"/>
      <c r="CG209" s="29"/>
      <c r="CH209" s="29"/>
      <c r="CI209" s="29"/>
      <c r="CJ209" s="29"/>
      <c r="CK209" s="29"/>
      <c r="CL209" s="29"/>
      <c r="CM209" s="29"/>
      <c r="CN209" s="29"/>
      <c r="CO209" s="29"/>
      <c r="CP209" s="29"/>
      <c r="CQ209" s="29"/>
      <c r="CR209" s="29"/>
      <c r="CS209" s="29"/>
      <c r="CT209" s="29"/>
      <c r="CU209" s="29"/>
      <c r="CV209" s="29"/>
      <c r="CW209" s="33"/>
    </row>
    <row r="210" spans="3:101">
      <c r="C210" s="29"/>
      <c r="D210" s="29"/>
      <c r="E210" s="29"/>
      <c r="F210" s="29"/>
      <c r="G210" s="29"/>
      <c r="H210" s="29"/>
      <c r="I210"/>
      <c r="J210"/>
      <c r="K210"/>
      <c r="L210"/>
      <c r="M210"/>
      <c r="N210"/>
      <c r="O210"/>
      <c r="P210"/>
      <c r="Q210"/>
      <c r="R210"/>
      <c r="AY210" s="29"/>
      <c r="AZ210" s="33"/>
      <c r="BA210" s="29"/>
      <c r="BB210" s="29"/>
      <c r="BC210" s="29"/>
      <c r="BD210" s="29"/>
      <c r="BE210" s="29"/>
      <c r="BF210" s="29"/>
      <c r="BG210" s="29"/>
      <c r="BH210" s="33"/>
      <c r="BI210" s="29"/>
      <c r="BJ210" s="29"/>
      <c r="BK210" s="29"/>
      <c r="BL210" s="29"/>
      <c r="BM210" s="29"/>
      <c r="BN210" s="29"/>
      <c r="BO210" s="29"/>
      <c r="BP210" s="29"/>
      <c r="BQ210" s="29"/>
      <c r="BR210" s="29"/>
      <c r="BS210" s="29"/>
      <c r="BT210" s="29"/>
      <c r="BU210" s="29"/>
      <c r="BV210" s="29"/>
      <c r="BW210" s="29"/>
      <c r="BX210" s="29"/>
      <c r="BY210" s="29"/>
      <c r="BZ210" s="29"/>
      <c r="CA210" s="29"/>
      <c r="CB210" s="29"/>
      <c r="CC210" s="29"/>
      <c r="CD210" s="33"/>
      <c r="CE210" s="29"/>
      <c r="CF210" s="29"/>
      <c r="CG210" s="29"/>
      <c r="CH210" s="29"/>
      <c r="CI210" s="29"/>
      <c r="CJ210" s="29"/>
      <c r="CK210" s="29"/>
      <c r="CL210" s="29"/>
      <c r="CM210" s="29"/>
      <c r="CN210" s="29"/>
      <c r="CO210" s="29"/>
      <c r="CP210" s="29"/>
      <c r="CQ210" s="29"/>
      <c r="CR210" s="29"/>
      <c r="CS210" s="29"/>
      <c r="CT210" s="29"/>
      <c r="CU210" s="29"/>
      <c r="CV210" s="29"/>
      <c r="CW210" s="33"/>
    </row>
    <row r="211" spans="3:101">
      <c r="C211" s="29"/>
      <c r="D211" s="29"/>
      <c r="E211" s="29"/>
      <c r="F211" s="29"/>
      <c r="G211" s="29"/>
      <c r="H211" s="29"/>
      <c r="I211"/>
      <c r="J211"/>
      <c r="K211"/>
      <c r="L211"/>
      <c r="M211"/>
      <c r="N211"/>
      <c r="O211"/>
      <c r="P211"/>
      <c r="Q211"/>
      <c r="R211"/>
      <c r="AY211" s="29"/>
      <c r="AZ211" s="33"/>
      <c r="BA211" s="29"/>
      <c r="BB211" s="29"/>
      <c r="BC211" s="29"/>
      <c r="BD211" s="29"/>
      <c r="BE211" s="29"/>
      <c r="BF211" s="29"/>
      <c r="BG211" s="29"/>
      <c r="BH211" s="33"/>
      <c r="BI211" s="29"/>
      <c r="BJ211" s="29"/>
      <c r="BK211" s="29"/>
      <c r="BL211" s="29"/>
      <c r="BM211" s="29"/>
      <c r="BN211" s="29"/>
      <c r="BO211" s="29"/>
      <c r="BP211" s="29"/>
      <c r="BQ211" s="29"/>
      <c r="BR211" s="29"/>
      <c r="BS211" s="29"/>
      <c r="BT211" s="29"/>
      <c r="BU211" s="29"/>
      <c r="BV211" s="29"/>
      <c r="BW211" s="29"/>
      <c r="BX211" s="29"/>
      <c r="BY211" s="29"/>
      <c r="BZ211" s="29"/>
      <c r="CA211" s="29"/>
      <c r="CB211" s="29"/>
      <c r="CC211" s="29"/>
      <c r="CD211" s="33"/>
      <c r="CE211" s="29"/>
      <c r="CF211" s="29"/>
      <c r="CG211" s="29"/>
      <c r="CH211" s="29"/>
      <c r="CI211" s="29"/>
      <c r="CJ211" s="29"/>
      <c r="CK211" s="29"/>
      <c r="CL211" s="29"/>
      <c r="CM211" s="29"/>
      <c r="CN211" s="29"/>
      <c r="CO211" s="29"/>
      <c r="CP211" s="29"/>
      <c r="CQ211" s="29"/>
      <c r="CR211" s="29"/>
      <c r="CS211" s="29"/>
      <c r="CT211" s="29"/>
      <c r="CU211" s="29"/>
      <c r="CV211" s="29"/>
      <c r="CW211" s="33"/>
    </row>
    <row r="212" spans="3:101">
      <c r="C212" s="29"/>
      <c r="D212" s="29"/>
      <c r="E212" s="29"/>
      <c r="F212" s="29"/>
      <c r="G212" s="29"/>
      <c r="H212" s="29"/>
      <c r="I212"/>
      <c r="J212"/>
      <c r="K212"/>
      <c r="L212"/>
      <c r="M212"/>
      <c r="N212"/>
      <c r="O212"/>
      <c r="P212"/>
      <c r="Q212"/>
      <c r="R212"/>
      <c r="AY212" s="29"/>
      <c r="AZ212" s="33"/>
      <c r="BA212" s="29"/>
      <c r="BB212" s="29"/>
      <c r="BC212" s="29"/>
      <c r="BD212" s="29"/>
      <c r="BE212" s="29"/>
      <c r="BF212" s="29"/>
      <c r="BG212" s="29"/>
      <c r="BH212" s="33"/>
      <c r="BI212" s="29"/>
      <c r="BJ212" s="29"/>
      <c r="BK212" s="29"/>
      <c r="BL212" s="29"/>
      <c r="BM212" s="29"/>
      <c r="BN212" s="29"/>
      <c r="BO212" s="29"/>
      <c r="BP212" s="29"/>
      <c r="BQ212" s="29"/>
      <c r="BR212" s="29"/>
      <c r="BS212" s="29"/>
      <c r="BT212" s="29"/>
      <c r="BU212" s="29"/>
      <c r="BV212" s="29"/>
      <c r="BW212" s="29"/>
      <c r="BX212" s="29"/>
      <c r="BY212" s="29"/>
      <c r="BZ212" s="29"/>
      <c r="CA212" s="29"/>
      <c r="CB212" s="29"/>
      <c r="CC212" s="29"/>
      <c r="CD212" s="33"/>
      <c r="CE212" s="29"/>
      <c r="CF212" s="29"/>
      <c r="CG212" s="29"/>
      <c r="CH212" s="29"/>
      <c r="CI212" s="29"/>
      <c r="CJ212" s="29"/>
      <c r="CK212" s="29"/>
      <c r="CL212" s="29"/>
      <c r="CM212" s="29"/>
      <c r="CN212" s="29"/>
      <c r="CO212" s="29"/>
      <c r="CP212" s="29"/>
      <c r="CQ212" s="29"/>
      <c r="CR212" s="29"/>
      <c r="CS212" s="29"/>
      <c r="CT212" s="29"/>
      <c r="CU212" s="29"/>
      <c r="CV212" s="29"/>
      <c r="CW212" s="33"/>
    </row>
    <row r="213" spans="3:101">
      <c r="C213" s="29"/>
      <c r="D213" s="29"/>
      <c r="E213" s="29"/>
      <c r="F213" s="29"/>
      <c r="G213" s="29"/>
      <c r="H213" s="29"/>
      <c r="I213"/>
      <c r="J213"/>
      <c r="K213"/>
      <c r="L213"/>
      <c r="M213"/>
      <c r="N213"/>
      <c r="O213"/>
      <c r="P213"/>
      <c r="Q213"/>
      <c r="R213"/>
      <c r="AY213" s="29"/>
      <c r="AZ213" s="33"/>
      <c r="BA213" s="29"/>
      <c r="BB213" s="29"/>
      <c r="BC213" s="29"/>
      <c r="BD213" s="29"/>
      <c r="BE213" s="29"/>
      <c r="BF213" s="29"/>
      <c r="BG213" s="29"/>
      <c r="BH213" s="33"/>
      <c r="BI213" s="29"/>
      <c r="BJ213" s="29"/>
      <c r="BK213" s="29"/>
      <c r="BL213" s="29"/>
      <c r="BM213" s="29"/>
      <c r="BN213" s="29"/>
      <c r="BO213" s="29"/>
      <c r="BP213" s="29"/>
      <c r="BQ213" s="29"/>
      <c r="BR213" s="29"/>
      <c r="BS213" s="29"/>
      <c r="BT213" s="29"/>
      <c r="BU213" s="29"/>
      <c r="BV213" s="29"/>
      <c r="BW213" s="29"/>
      <c r="BX213" s="29"/>
      <c r="BY213" s="29"/>
      <c r="BZ213" s="29"/>
      <c r="CA213" s="29"/>
      <c r="CB213" s="29"/>
      <c r="CC213" s="29"/>
      <c r="CD213" s="33"/>
      <c r="CE213" s="29"/>
      <c r="CF213" s="29"/>
      <c r="CG213" s="29"/>
      <c r="CH213" s="29"/>
      <c r="CI213" s="29"/>
      <c r="CJ213" s="29"/>
      <c r="CK213" s="29"/>
      <c r="CL213" s="29"/>
      <c r="CM213" s="29"/>
      <c r="CN213" s="29"/>
      <c r="CO213" s="29"/>
      <c r="CP213" s="29"/>
      <c r="CQ213" s="29"/>
      <c r="CR213" s="29"/>
      <c r="CS213" s="29"/>
      <c r="CT213" s="29"/>
      <c r="CU213" s="29"/>
      <c r="CV213" s="29"/>
      <c r="CW213" s="33"/>
    </row>
    <row r="214" spans="3:101">
      <c r="C214" s="29"/>
      <c r="D214" s="29"/>
      <c r="E214" s="29"/>
      <c r="F214" s="29"/>
      <c r="G214" s="29"/>
      <c r="H214" s="29"/>
      <c r="I214"/>
      <c r="J214"/>
      <c r="K214"/>
      <c r="L214"/>
      <c r="M214"/>
      <c r="N214"/>
      <c r="O214"/>
      <c r="P214"/>
      <c r="Q214"/>
      <c r="R214"/>
      <c r="AY214" s="29"/>
      <c r="AZ214" s="33"/>
      <c r="BA214" s="29"/>
      <c r="BB214" s="29"/>
      <c r="BC214" s="29"/>
      <c r="BD214" s="29"/>
      <c r="BE214" s="29"/>
      <c r="BF214" s="29"/>
      <c r="BG214" s="29"/>
      <c r="BH214" s="33"/>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33"/>
      <c r="CE214" s="29"/>
      <c r="CF214" s="29"/>
      <c r="CG214" s="29"/>
      <c r="CH214" s="29"/>
      <c r="CI214" s="29"/>
      <c r="CJ214" s="29"/>
      <c r="CK214" s="29"/>
      <c r="CL214" s="29"/>
      <c r="CM214" s="29"/>
      <c r="CN214" s="29"/>
      <c r="CO214" s="29"/>
      <c r="CP214" s="29"/>
      <c r="CQ214" s="29"/>
      <c r="CR214" s="29"/>
      <c r="CS214" s="29"/>
      <c r="CT214" s="29"/>
      <c r="CU214" s="29"/>
      <c r="CV214" s="29"/>
      <c r="CW214" s="33"/>
    </row>
    <row r="215" spans="3:101">
      <c r="C215" s="29"/>
      <c r="D215" s="29"/>
      <c r="E215" s="29"/>
      <c r="F215" s="29"/>
      <c r="G215" s="29"/>
      <c r="H215" s="29"/>
      <c r="I215"/>
      <c r="J215"/>
      <c r="K215"/>
      <c r="L215"/>
      <c r="M215"/>
      <c r="N215"/>
      <c r="O215"/>
      <c r="P215"/>
      <c r="Q215"/>
      <c r="R215"/>
      <c r="AY215" s="29"/>
      <c r="AZ215" s="33"/>
      <c r="BA215" s="29"/>
      <c r="BB215" s="29"/>
      <c r="BC215" s="29"/>
      <c r="BD215" s="29"/>
      <c r="BE215" s="29"/>
      <c r="BF215" s="29"/>
      <c r="BG215" s="29"/>
      <c r="BH215" s="33"/>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33"/>
      <c r="CE215" s="29"/>
      <c r="CF215" s="29"/>
      <c r="CG215" s="29"/>
      <c r="CH215" s="29"/>
      <c r="CI215" s="29"/>
      <c r="CJ215" s="29"/>
      <c r="CK215" s="29"/>
      <c r="CL215" s="29"/>
      <c r="CM215" s="29"/>
      <c r="CN215" s="29"/>
      <c r="CO215" s="29"/>
      <c r="CP215" s="29"/>
      <c r="CQ215" s="29"/>
      <c r="CR215" s="29"/>
      <c r="CS215" s="29"/>
      <c r="CT215" s="29"/>
      <c r="CU215" s="29"/>
      <c r="CV215" s="29"/>
      <c r="CW215" s="33"/>
    </row>
    <row r="216" spans="3:101">
      <c r="C216" s="29"/>
      <c r="D216" s="29"/>
      <c r="E216" s="29"/>
      <c r="F216" s="29"/>
      <c r="G216" s="29"/>
      <c r="H216" s="29"/>
      <c r="I216"/>
      <c r="J216"/>
      <c r="K216"/>
      <c r="L216"/>
      <c r="M216"/>
      <c r="N216"/>
      <c r="O216"/>
      <c r="P216"/>
      <c r="Q216"/>
      <c r="R216"/>
      <c r="AY216" s="29"/>
      <c r="AZ216" s="109"/>
      <c r="BA216" s="29"/>
      <c r="BB216" s="29"/>
      <c r="BC216" s="29"/>
      <c r="BD216" s="29"/>
      <c r="BE216" s="29"/>
      <c r="BF216" s="29"/>
      <c r="BG216" s="29"/>
      <c r="BH216" s="109"/>
      <c r="BI216" s="29"/>
      <c r="BJ216" s="29"/>
      <c r="BK216" s="29"/>
      <c r="BL216" s="29"/>
      <c r="BM216" s="29"/>
      <c r="BN216" s="29"/>
      <c r="BO216" s="29"/>
      <c r="BP216" s="29"/>
      <c r="BQ216" s="29"/>
      <c r="BR216" s="29"/>
      <c r="BS216" s="29"/>
      <c r="BT216" s="29"/>
      <c r="BU216" s="29"/>
      <c r="BV216" s="29"/>
      <c r="BW216" s="29"/>
      <c r="BX216" s="29"/>
      <c r="BY216" s="29"/>
      <c r="BZ216" s="29"/>
      <c r="CA216" s="29"/>
      <c r="CB216" s="29"/>
      <c r="CC216" s="29"/>
      <c r="CD216" s="109"/>
      <c r="CE216" s="29"/>
      <c r="CF216" s="29"/>
      <c r="CG216" s="29"/>
      <c r="CH216" s="29"/>
      <c r="CI216" s="29"/>
      <c r="CJ216" s="29"/>
      <c r="CK216" s="29"/>
      <c r="CL216" s="29"/>
      <c r="CM216" s="29"/>
      <c r="CN216" s="29"/>
      <c r="CO216" s="29"/>
      <c r="CP216" s="29"/>
      <c r="CQ216" s="29"/>
      <c r="CR216" s="29"/>
      <c r="CS216" s="29"/>
      <c r="CT216" s="29"/>
      <c r="CU216" s="29"/>
      <c r="CV216" s="29"/>
      <c r="CW216" s="33"/>
    </row>
    <row r="217" spans="3:101">
      <c r="C217" s="29"/>
      <c r="D217" s="29"/>
      <c r="E217" s="29"/>
      <c r="F217" s="29"/>
      <c r="G217" s="29"/>
      <c r="H217" s="29"/>
      <c r="I217"/>
      <c r="J217"/>
      <c r="K217"/>
      <c r="L217"/>
      <c r="M217"/>
      <c r="N217"/>
      <c r="O217"/>
      <c r="P217"/>
      <c r="Q217"/>
      <c r="R217"/>
      <c r="AY217" s="29"/>
      <c r="AZ217" s="109"/>
      <c r="BA217" s="29"/>
      <c r="BB217" s="29"/>
      <c r="BC217" s="29"/>
      <c r="BD217" s="29"/>
      <c r="BE217" s="29"/>
      <c r="BF217" s="29"/>
      <c r="BG217" s="29"/>
      <c r="BH217" s="109"/>
      <c r="BI217" s="29"/>
      <c r="BJ217" s="29"/>
      <c r="BK217" s="29"/>
      <c r="BL217" s="29"/>
      <c r="BM217" s="29"/>
      <c r="BN217" s="29"/>
      <c r="BO217" s="29"/>
      <c r="BP217" s="29"/>
      <c r="BQ217" s="29"/>
      <c r="BR217" s="29"/>
      <c r="BS217" s="29"/>
      <c r="BT217" s="29"/>
      <c r="BU217" s="29"/>
      <c r="BV217" s="29"/>
      <c r="BW217" s="29"/>
      <c r="BX217" s="29"/>
      <c r="BY217" s="29"/>
      <c r="BZ217" s="29"/>
      <c r="CA217" s="29"/>
      <c r="CB217" s="29"/>
      <c r="CC217" s="29"/>
      <c r="CD217" s="109"/>
      <c r="CE217" s="29"/>
      <c r="CF217" s="29"/>
      <c r="CG217" s="29"/>
      <c r="CH217" s="29"/>
      <c r="CI217" s="29"/>
      <c r="CJ217" s="29"/>
      <c r="CK217" s="29"/>
      <c r="CL217" s="29"/>
      <c r="CM217" s="29"/>
      <c r="CN217" s="29"/>
      <c r="CO217" s="29"/>
      <c r="CP217" s="29"/>
      <c r="CQ217" s="29"/>
      <c r="CR217" s="29"/>
      <c r="CS217" s="29"/>
      <c r="CT217" s="29"/>
      <c r="CU217" s="29"/>
      <c r="CV217" s="29"/>
      <c r="CW217" s="33"/>
    </row>
    <row r="218" spans="3:101">
      <c r="C218" s="29"/>
      <c r="D218" s="29"/>
      <c r="E218" s="29"/>
      <c r="F218" s="29"/>
      <c r="G218" s="29"/>
      <c r="H218" s="29"/>
      <c r="I218"/>
      <c r="J218"/>
      <c r="K218"/>
      <c r="L218"/>
      <c r="M218"/>
      <c r="N218"/>
      <c r="O218"/>
      <c r="P218"/>
      <c r="Q218"/>
      <c r="R218"/>
      <c r="AY218" s="29"/>
      <c r="AZ218" s="33"/>
      <c r="BA218" s="29"/>
      <c r="BB218" s="29"/>
      <c r="BC218" s="29"/>
      <c r="BD218" s="29"/>
      <c r="BE218" s="29"/>
      <c r="BF218" s="29"/>
      <c r="BG218" s="29"/>
      <c r="BH218" s="33"/>
      <c r="BI218" s="29"/>
      <c r="BJ218" s="29"/>
      <c r="BK218" s="29"/>
      <c r="BL218" s="29"/>
      <c r="BM218" s="29"/>
      <c r="BN218" s="29"/>
      <c r="BO218" s="29"/>
      <c r="BP218" s="29"/>
      <c r="BQ218" s="29"/>
      <c r="BR218" s="29"/>
      <c r="BS218" s="29"/>
      <c r="BT218" s="29"/>
      <c r="BU218" s="29"/>
      <c r="BV218" s="29"/>
      <c r="BW218" s="29"/>
      <c r="BX218" s="29"/>
      <c r="BY218" s="29"/>
      <c r="BZ218" s="29"/>
      <c r="CA218" s="29"/>
      <c r="CB218" s="29"/>
      <c r="CC218" s="29"/>
      <c r="CD218" s="33"/>
      <c r="CE218" s="29"/>
      <c r="CF218" s="29"/>
      <c r="CG218" s="29"/>
      <c r="CH218" s="29"/>
      <c r="CI218" s="29"/>
      <c r="CJ218" s="29"/>
      <c r="CK218" s="29"/>
      <c r="CL218" s="29"/>
      <c r="CM218" s="29"/>
      <c r="CN218" s="29"/>
      <c r="CO218" s="29"/>
      <c r="CP218" s="29"/>
      <c r="CQ218" s="29"/>
      <c r="CR218" s="29"/>
      <c r="CS218" s="29"/>
      <c r="CT218" s="29"/>
      <c r="CU218" s="29"/>
      <c r="CV218" s="29"/>
      <c r="CW218" s="33"/>
    </row>
    <row r="219" spans="3:101">
      <c r="C219" s="29"/>
      <c r="D219" s="29"/>
      <c r="E219" s="29"/>
      <c r="F219" s="29"/>
      <c r="G219" s="29"/>
      <c r="H219" s="29"/>
      <c r="I219"/>
      <c r="J219"/>
      <c r="K219"/>
      <c r="L219"/>
      <c r="M219"/>
      <c r="N219"/>
      <c r="O219"/>
      <c r="P219"/>
      <c r="Q219"/>
      <c r="R219"/>
      <c r="AY219" s="29"/>
      <c r="AZ219" s="109"/>
      <c r="BA219" s="29"/>
      <c r="BB219" s="29"/>
      <c r="BC219" s="29"/>
      <c r="BD219" s="29"/>
      <c r="BE219" s="29"/>
      <c r="BF219" s="29"/>
      <c r="BG219" s="29"/>
      <c r="BH219" s="109"/>
      <c r="BI219" s="29"/>
      <c r="BJ219" s="29"/>
      <c r="BK219" s="29"/>
      <c r="BL219" s="29"/>
      <c r="BM219" s="29"/>
      <c r="BN219" s="29"/>
      <c r="BO219" s="29"/>
      <c r="BP219" s="29"/>
      <c r="BQ219" s="29"/>
      <c r="BR219" s="29"/>
      <c r="BS219" s="29"/>
      <c r="BT219" s="29"/>
      <c r="BU219" s="29"/>
      <c r="BV219" s="29"/>
      <c r="BW219" s="29"/>
      <c r="BX219" s="29"/>
      <c r="BY219" s="29"/>
      <c r="BZ219" s="29"/>
      <c r="CA219" s="29"/>
      <c r="CB219" s="29"/>
      <c r="CC219" s="29"/>
      <c r="CD219" s="109"/>
      <c r="CE219" s="29"/>
      <c r="CF219" s="29"/>
      <c r="CG219" s="29"/>
      <c r="CH219" s="29"/>
      <c r="CI219" s="29"/>
      <c r="CJ219" s="29"/>
      <c r="CK219" s="29"/>
      <c r="CL219" s="29"/>
      <c r="CM219" s="29"/>
      <c r="CN219" s="29"/>
      <c r="CO219" s="29"/>
      <c r="CP219" s="29"/>
      <c r="CQ219" s="29"/>
      <c r="CR219" s="29"/>
      <c r="CS219" s="29"/>
      <c r="CT219" s="29"/>
      <c r="CU219" s="29"/>
      <c r="CV219" s="29"/>
      <c r="CW219" s="33"/>
    </row>
    <row r="220" spans="3:101">
      <c r="C220" s="29"/>
      <c r="D220" s="29"/>
      <c r="E220" s="29"/>
      <c r="F220" s="29"/>
      <c r="G220" s="29"/>
      <c r="H220" s="29"/>
      <c r="I220"/>
      <c r="J220"/>
      <c r="K220"/>
      <c r="L220"/>
      <c r="M220"/>
      <c r="N220"/>
      <c r="O220"/>
      <c r="P220"/>
      <c r="Q220"/>
      <c r="R220"/>
      <c r="AY220" s="29"/>
      <c r="AZ220" s="109"/>
      <c r="BA220" s="29"/>
      <c r="BB220" s="29"/>
      <c r="BC220" s="29"/>
      <c r="BD220" s="29"/>
      <c r="BE220" s="29"/>
      <c r="BF220" s="29"/>
      <c r="BG220" s="29"/>
      <c r="BH220" s="109"/>
      <c r="BI220" s="29"/>
      <c r="BJ220" s="29"/>
      <c r="BK220" s="29"/>
      <c r="BL220" s="29"/>
      <c r="BM220" s="29"/>
      <c r="BN220" s="29"/>
      <c r="BO220" s="29"/>
      <c r="BP220" s="29"/>
      <c r="BQ220" s="29"/>
      <c r="BR220" s="29"/>
      <c r="BS220" s="29"/>
      <c r="BT220" s="29"/>
      <c r="BU220" s="29"/>
      <c r="BV220" s="29"/>
      <c r="BW220" s="29"/>
      <c r="BX220" s="29"/>
      <c r="BY220" s="29"/>
      <c r="BZ220" s="29"/>
      <c r="CA220" s="29"/>
      <c r="CB220" s="29"/>
      <c r="CC220" s="29"/>
      <c r="CD220" s="109"/>
      <c r="CE220" s="29"/>
      <c r="CF220" s="29"/>
      <c r="CG220" s="29"/>
      <c r="CH220" s="29"/>
      <c r="CI220" s="29"/>
      <c r="CJ220" s="29"/>
      <c r="CK220" s="29"/>
      <c r="CL220" s="29"/>
      <c r="CM220" s="29"/>
      <c r="CN220" s="29"/>
      <c r="CO220" s="29"/>
      <c r="CP220" s="29"/>
      <c r="CQ220" s="29"/>
      <c r="CR220" s="29"/>
      <c r="CS220" s="29"/>
      <c r="CT220" s="29"/>
      <c r="CU220" s="29"/>
      <c r="CV220" s="29"/>
      <c r="CW220" s="33"/>
    </row>
    <row r="221" spans="3:101">
      <c r="C221" s="29"/>
      <c r="D221" s="29"/>
      <c r="E221" s="29"/>
      <c r="F221" s="29"/>
      <c r="G221" s="29"/>
      <c r="H221" s="29"/>
      <c r="I221"/>
      <c r="J221"/>
      <c r="K221"/>
      <c r="L221"/>
      <c r="M221"/>
      <c r="N221"/>
      <c r="O221"/>
      <c r="P221"/>
      <c r="Q221"/>
      <c r="R221"/>
      <c r="AY221" s="29"/>
      <c r="AZ221" s="33"/>
      <c r="BA221" s="29"/>
      <c r="BB221" s="29"/>
      <c r="BC221" s="29"/>
      <c r="BD221" s="29"/>
      <c r="BE221" s="29"/>
      <c r="BF221" s="29"/>
      <c r="BG221" s="29"/>
      <c r="BH221" s="33"/>
      <c r="BI221" s="29"/>
      <c r="BJ221" s="29"/>
      <c r="BK221" s="29"/>
      <c r="BL221" s="29"/>
      <c r="BM221" s="29"/>
      <c r="BN221" s="29"/>
      <c r="BO221" s="29"/>
      <c r="BP221" s="29"/>
      <c r="BQ221" s="29"/>
      <c r="BR221" s="29"/>
      <c r="BS221" s="29"/>
      <c r="BT221" s="29"/>
      <c r="BU221" s="29"/>
      <c r="BV221" s="29"/>
      <c r="BW221" s="29"/>
      <c r="BX221" s="29"/>
      <c r="BY221" s="29"/>
      <c r="BZ221" s="29"/>
      <c r="CA221" s="29"/>
      <c r="CB221" s="29"/>
      <c r="CC221" s="29"/>
      <c r="CD221" s="33"/>
      <c r="CE221" s="29"/>
      <c r="CF221" s="29"/>
      <c r="CG221" s="29"/>
      <c r="CH221" s="29"/>
      <c r="CI221" s="29"/>
      <c r="CJ221" s="29"/>
      <c r="CK221" s="29"/>
      <c r="CL221" s="29"/>
      <c r="CM221" s="29"/>
      <c r="CN221" s="29"/>
      <c r="CO221" s="29"/>
      <c r="CP221" s="29"/>
      <c r="CQ221" s="29"/>
      <c r="CR221" s="29"/>
      <c r="CS221" s="29"/>
      <c r="CT221" s="29"/>
      <c r="CU221" s="29"/>
      <c r="CV221" s="29"/>
      <c r="CW221" s="33"/>
    </row>
    <row r="222" spans="3:101">
      <c r="C222" s="29"/>
      <c r="D222" s="29"/>
      <c r="E222" s="29"/>
      <c r="F222" s="29"/>
      <c r="G222" s="29"/>
      <c r="H222" s="29"/>
      <c r="I222"/>
      <c r="J222"/>
      <c r="K222"/>
      <c r="L222"/>
      <c r="M222"/>
      <c r="N222"/>
      <c r="O222"/>
      <c r="P222"/>
      <c r="Q222"/>
      <c r="R222"/>
      <c r="AY222" s="29"/>
      <c r="AZ222" s="109"/>
      <c r="BA222" s="29"/>
      <c r="BB222" s="29"/>
      <c r="BC222" s="29"/>
      <c r="BD222" s="29"/>
      <c r="BE222" s="29"/>
      <c r="BF222" s="29"/>
      <c r="BG222" s="29"/>
      <c r="BH222" s="109"/>
      <c r="BI222" s="29"/>
      <c r="BJ222" s="29"/>
      <c r="BK222" s="29"/>
      <c r="BL222" s="29"/>
      <c r="BM222" s="29"/>
      <c r="BN222" s="29"/>
      <c r="BO222" s="29"/>
      <c r="BP222" s="29"/>
      <c r="BQ222" s="29"/>
      <c r="BR222" s="29"/>
      <c r="BS222" s="29"/>
      <c r="BT222" s="29"/>
      <c r="BU222" s="29"/>
      <c r="BV222" s="29"/>
      <c r="BW222" s="29"/>
      <c r="BX222" s="29"/>
      <c r="BY222" s="29"/>
      <c r="BZ222" s="29"/>
      <c r="CA222" s="29"/>
      <c r="CB222" s="29"/>
      <c r="CC222" s="29"/>
      <c r="CD222" s="109"/>
      <c r="CE222" s="29"/>
      <c r="CF222" s="29"/>
      <c r="CG222" s="29"/>
      <c r="CH222" s="29"/>
      <c r="CI222" s="29"/>
      <c r="CJ222" s="29"/>
      <c r="CK222" s="29"/>
      <c r="CL222" s="29"/>
      <c r="CM222" s="29"/>
      <c r="CN222" s="29"/>
      <c r="CO222" s="29"/>
      <c r="CP222" s="29"/>
      <c r="CQ222" s="29"/>
      <c r="CR222" s="29"/>
      <c r="CS222" s="29"/>
      <c r="CT222" s="29"/>
      <c r="CU222" s="29"/>
      <c r="CV222" s="29"/>
      <c r="CW222" s="33"/>
    </row>
    <row r="223" spans="3:101">
      <c r="C223" s="29"/>
      <c r="D223" s="29"/>
      <c r="E223" s="29"/>
      <c r="F223" s="29"/>
      <c r="G223" s="29"/>
      <c r="H223" s="29"/>
      <c r="I223"/>
      <c r="J223"/>
      <c r="K223"/>
      <c r="L223"/>
      <c r="M223"/>
      <c r="N223"/>
      <c r="O223"/>
      <c r="P223"/>
      <c r="Q223"/>
      <c r="R223"/>
      <c r="AY223" s="29"/>
      <c r="AZ223" s="109"/>
      <c r="BA223" s="29"/>
      <c r="BB223" s="29"/>
      <c r="BC223" s="29"/>
      <c r="BD223" s="29"/>
      <c r="BE223" s="29"/>
      <c r="BF223" s="29"/>
      <c r="BG223" s="29"/>
      <c r="BH223" s="109"/>
      <c r="BI223" s="29"/>
      <c r="BJ223" s="29"/>
      <c r="BK223" s="29"/>
      <c r="BL223" s="29"/>
      <c r="BM223" s="29"/>
      <c r="BN223" s="29"/>
      <c r="BO223" s="29"/>
      <c r="BP223" s="29"/>
      <c r="BQ223" s="29"/>
      <c r="BR223" s="29"/>
      <c r="BS223" s="29"/>
      <c r="BT223" s="29"/>
      <c r="BU223" s="29"/>
      <c r="BV223" s="29"/>
      <c r="BW223" s="29"/>
      <c r="BX223" s="29"/>
      <c r="BY223" s="29"/>
      <c r="BZ223" s="29"/>
      <c r="CA223" s="29"/>
      <c r="CB223" s="29"/>
      <c r="CC223" s="29"/>
      <c r="CD223" s="109"/>
      <c r="CE223" s="29"/>
      <c r="CF223" s="29"/>
      <c r="CG223" s="29"/>
      <c r="CH223" s="29"/>
      <c r="CI223" s="29"/>
      <c r="CJ223" s="29"/>
      <c r="CK223" s="29"/>
      <c r="CL223" s="29"/>
      <c r="CM223" s="29"/>
      <c r="CN223" s="29"/>
      <c r="CO223" s="29"/>
      <c r="CP223" s="29"/>
      <c r="CQ223" s="29"/>
      <c r="CR223" s="29"/>
      <c r="CS223" s="29"/>
      <c r="CT223" s="29"/>
      <c r="CU223" s="29"/>
      <c r="CV223" s="29"/>
      <c r="CW223" s="33"/>
    </row>
    <row r="224" spans="3:101">
      <c r="C224" s="29"/>
      <c r="D224" s="29"/>
      <c r="E224" s="29"/>
      <c r="F224" s="29"/>
      <c r="G224" s="29"/>
      <c r="H224" s="29"/>
      <c r="I224"/>
      <c r="J224"/>
      <c r="K224"/>
      <c r="L224"/>
      <c r="M224"/>
      <c r="N224"/>
      <c r="O224"/>
      <c r="P224"/>
      <c r="Q224"/>
      <c r="R224"/>
      <c r="AY224" s="29"/>
      <c r="AZ224" s="33"/>
      <c r="BA224" s="29"/>
      <c r="BB224" s="29"/>
      <c r="BC224" s="29"/>
      <c r="BD224" s="29"/>
      <c r="BE224" s="29"/>
      <c r="BF224" s="29"/>
      <c r="BG224" s="29"/>
      <c r="BH224" s="33"/>
      <c r="BI224" s="29"/>
      <c r="BJ224" s="29"/>
      <c r="BK224" s="29"/>
      <c r="BL224" s="29"/>
      <c r="BM224" s="29"/>
      <c r="BN224" s="29"/>
      <c r="BO224" s="29"/>
      <c r="BP224" s="29"/>
      <c r="BQ224" s="29"/>
      <c r="BR224" s="29"/>
      <c r="BS224" s="29"/>
      <c r="BT224" s="29"/>
      <c r="BU224" s="29"/>
      <c r="BV224" s="29"/>
      <c r="BW224" s="29"/>
      <c r="BX224" s="29"/>
      <c r="BY224" s="29"/>
      <c r="BZ224" s="29"/>
      <c r="CA224" s="29"/>
      <c r="CB224" s="29"/>
      <c r="CC224" s="29"/>
      <c r="CD224" s="33"/>
      <c r="CE224" s="29"/>
      <c r="CF224" s="29"/>
      <c r="CG224" s="29"/>
      <c r="CH224" s="29"/>
      <c r="CI224" s="29"/>
      <c r="CJ224" s="29"/>
      <c r="CK224" s="29"/>
      <c r="CL224" s="29"/>
      <c r="CM224" s="29"/>
      <c r="CN224" s="29"/>
      <c r="CO224" s="29"/>
      <c r="CP224" s="29"/>
      <c r="CQ224" s="29"/>
      <c r="CR224" s="29"/>
      <c r="CS224" s="29"/>
      <c r="CT224" s="29"/>
      <c r="CU224" s="29"/>
      <c r="CV224" s="29"/>
      <c r="CW224" s="33"/>
    </row>
    <row r="225" spans="3:101">
      <c r="C225" s="29"/>
      <c r="D225" s="29"/>
      <c r="E225" s="29"/>
      <c r="F225" s="29"/>
      <c r="G225" s="29"/>
      <c r="H225" s="29"/>
      <c r="I225"/>
      <c r="J225"/>
      <c r="K225"/>
      <c r="L225"/>
      <c r="M225"/>
      <c r="N225"/>
      <c r="O225"/>
      <c r="P225"/>
      <c r="Q225"/>
      <c r="R225"/>
      <c r="AY225" s="29"/>
      <c r="AZ225" s="109"/>
      <c r="BA225" s="29"/>
      <c r="BB225" s="29"/>
      <c r="BC225" s="29"/>
      <c r="BD225" s="29"/>
      <c r="BE225" s="29"/>
      <c r="BF225" s="29"/>
      <c r="BG225" s="29"/>
      <c r="BH225" s="109"/>
      <c r="BI225" s="29"/>
      <c r="BJ225" s="29"/>
      <c r="BK225" s="29"/>
      <c r="BL225" s="29"/>
      <c r="BM225" s="29"/>
      <c r="BN225" s="29"/>
      <c r="BO225" s="29"/>
      <c r="BP225" s="29"/>
      <c r="BQ225" s="29"/>
      <c r="BR225" s="29"/>
      <c r="BS225" s="29"/>
      <c r="BT225" s="29"/>
      <c r="BU225" s="29"/>
      <c r="BV225" s="29"/>
      <c r="BW225" s="29"/>
      <c r="BX225" s="29"/>
      <c r="BY225" s="29"/>
      <c r="BZ225" s="29"/>
      <c r="CA225" s="29"/>
      <c r="CB225" s="29"/>
      <c r="CC225" s="29"/>
      <c r="CD225" s="109"/>
      <c r="CE225" s="29"/>
      <c r="CF225" s="29"/>
      <c r="CG225" s="29"/>
      <c r="CH225" s="29"/>
      <c r="CI225" s="29"/>
      <c r="CJ225" s="29"/>
      <c r="CK225" s="29"/>
      <c r="CL225" s="29"/>
      <c r="CM225" s="29"/>
      <c r="CN225" s="29"/>
      <c r="CO225" s="29"/>
      <c r="CP225" s="29"/>
      <c r="CQ225" s="29"/>
      <c r="CR225" s="29"/>
      <c r="CS225" s="29"/>
      <c r="CT225" s="29"/>
      <c r="CU225" s="29"/>
      <c r="CV225" s="29"/>
      <c r="CW225" s="33"/>
    </row>
    <row r="226" spans="3:101">
      <c r="C226" s="29"/>
      <c r="D226" s="29"/>
      <c r="E226" s="29"/>
      <c r="F226" s="29"/>
      <c r="G226" s="29"/>
      <c r="H226" s="29"/>
      <c r="I226"/>
      <c r="J226"/>
      <c r="K226"/>
      <c r="L226"/>
      <c r="M226"/>
      <c r="N226"/>
      <c r="O226"/>
      <c r="P226"/>
      <c r="Q226"/>
      <c r="R226"/>
      <c r="AY226" s="29"/>
      <c r="AZ226" s="109"/>
      <c r="BA226" s="29"/>
      <c r="BB226" s="29"/>
      <c r="BC226" s="29"/>
      <c r="BD226" s="29"/>
      <c r="BE226" s="29"/>
      <c r="BF226" s="29"/>
      <c r="BG226" s="29"/>
      <c r="BH226" s="109"/>
      <c r="BI226" s="29"/>
      <c r="BJ226" s="29"/>
      <c r="BK226" s="29"/>
      <c r="BL226" s="29"/>
      <c r="BM226" s="29"/>
      <c r="BN226" s="29"/>
      <c r="BO226" s="29"/>
      <c r="BP226" s="29"/>
      <c r="BQ226" s="29"/>
      <c r="BR226" s="29"/>
      <c r="BS226" s="29"/>
      <c r="BT226" s="29"/>
      <c r="BU226" s="29"/>
      <c r="BV226" s="29"/>
      <c r="BW226" s="29"/>
      <c r="BX226" s="29"/>
      <c r="BY226" s="29"/>
      <c r="BZ226" s="29"/>
      <c r="CA226" s="29"/>
      <c r="CB226" s="29"/>
      <c r="CC226" s="29"/>
      <c r="CD226" s="109"/>
      <c r="CE226" s="29"/>
      <c r="CF226" s="29"/>
      <c r="CG226" s="29"/>
      <c r="CH226" s="29"/>
      <c r="CI226" s="29"/>
      <c r="CJ226" s="29"/>
      <c r="CK226" s="29"/>
      <c r="CL226" s="29"/>
      <c r="CM226" s="29"/>
      <c r="CN226" s="29"/>
      <c r="CO226" s="29"/>
      <c r="CP226" s="29"/>
      <c r="CQ226" s="29"/>
      <c r="CR226" s="29"/>
      <c r="CS226" s="29"/>
      <c r="CT226" s="29"/>
      <c r="CU226" s="29"/>
      <c r="CV226" s="29"/>
      <c r="CW226" s="33"/>
    </row>
    <row r="227" spans="3:101">
      <c r="C227" s="29"/>
      <c r="D227" s="29"/>
      <c r="E227" s="29"/>
      <c r="F227" s="29"/>
      <c r="G227" s="29"/>
      <c r="H227" s="29"/>
      <c r="I227"/>
      <c r="J227"/>
      <c r="K227"/>
      <c r="L227"/>
      <c r="M227"/>
      <c r="N227"/>
      <c r="O227"/>
      <c r="P227"/>
      <c r="Q227"/>
      <c r="R227"/>
      <c r="AY227" s="29"/>
      <c r="AZ227" s="33"/>
      <c r="BA227" s="29"/>
      <c r="BB227" s="29"/>
      <c r="BC227" s="29"/>
      <c r="BD227" s="29"/>
      <c r="BE227" s="29"/>
      <c r="BF227" s="29"/>
      <c r="BG227" s="29"/>
      <c r="BH227" s="33"/>
      <c r="BI227" s="29"/>
      <c r="BJ227" s="29"/>
      <c r="BK227" s="29"/>
      <c r="BL227" s="29"/>
      <c r="BM227" s="29"/>
      <c r="BN227" s="29"/>
      <c r="BO227" s="29"/>
      <c r="BP227" s="29"/>
      <c r="BQ227" s="29"/>
      <c r="BR227" s="29"/>
      <c r="BS227" s="29"/>
      <c r="BT227" s="29"/>
      <c r="BU227" s="29"/>
      <c r="BV227" s="29"/>
      <c r="BW227" s="29"/>
      <c r="BX227" s="29"/>
      <c r="BY227" s="29"/>
      <c r="BZ227" s="29"/>
      <c r="CA227" s="29"/>
      <c r="CB227" s="29"/>
      <c r="CC227" s="29"/>
      <c r="CD227" s="33"/>
      <c r="CE227" s="29"/>
      <c r="CF227" s="29"/>
      <c r="CG227" s="29"/>
      <c r="CH227" s="29"/>
      <c r="CI227" s="29"/>
      <c r="CJ227" s="29"/>
      <c r="CK227" s="29"/>
      <c r="CL227" s="29"/>
      <c r="CM227" s="29"/>
      <c r="CN227" s="29"/>
      <c r="CO227" s="29"/>
      <c r="CP227" s="29"/>
      <c r="CQ227" s="29"/>
      <c r="CR227" s="29"/>
      <c r="CS227" s="29"/>
      <c r="CT227" s="29"/>
      <c r="CU227" s="29"/>
      <c r="CV227" s="29"/>
      <c r="CW227" s="33"/>
    </row>
    <row r="228" spans="3:101">
      <c r="C228" s="29"/>
      <c r="D228" s="29"/>
      <c r="E228" s="29"/>
      <c r="F228" s="29"/>
      <c r="G228" s="29"/>
      <c r="H228" s="29"/>
      <c r="I228"/>
      <c r="J228"/>
      <c r="K228"/>
      <c r="L228"/>
      <c r="M228"/>
      <c r="N228"/>
      <c r="O228"/>
      <c r="P228"/>
      <c r="Q228"/>
      <c r="R228"/>
      <c r="AY228" s="29"/>
      <c r="AZ228" s="109"/>
      <c r="BA228" s="29"/>
      <c r="BB228" s="29"/>
      <c r="BC228" s="29"/>
      <c r="BD228" s="29"/>
      <c r="BE228" s="29"/>
      <c r="BF228" s="29"/>
      <c r="BG228" s="29"/>
      <c r="BH228" s="109"/>
      <c r="BI228" s="29"/>
      <c r="BJ228" s="29"/>
      <c r="BK228" s="29"/>
      <c r="BL228" s="29"/>
      <c r="BM228" s="29"/>
      <c r="BN228" s="29"/>
      <c r="BO228" s="29"/>
      <c r="BP228" s="29"/>
      <c r="BQ228" s="29"/>
      <c r="BR228" s="29"/>
      <c r="BS228" s="29"/>
      <c r="BT228" s="29"/>
      <c r="BU228" s="29"/>
      <c r="BV228" s="29"/>
      <c r="BW228" s="29"/>
      <c r="BX228" s="29"/>
      <c r="BY228" s="29"/>
      <c r="BZ228" s="29"/>
      <c r="CA228" s="29"/>
      <c r="CB228" s="29"/>
      <c r="CC228" s="29"/>
      <c r="CD228" s="109"/>
      <c r="CE228" s="29"/>
      <c r="CF228" s="29"/>
      <c r="CG228" s="29"/>
      <c r="CH228" s="29"/>
      <c r="CI228" s="29"/>
      <c r="CJ228" s="29"/>
      <c r="CK228" s="29"/>
      <c r="CL228" s="29"/>
      <c r="CM228" s="29"/>
      <c r="CN228" s="29"/>
      <c r="CO228" s="29"/>
      <c r="CP228" s="29"/>
      <c r="CQ228" s="29"/>
      <c r="CR228" s="29"/>
      <c r="CS228" s="29"/>
      <c r="CT228" s="29"/>
      <c r="CU228" s="29"/>
      <c r="CV228" s="29"/>
      <c r="CW228" s="33"/>
    </row>
    <row r="229" spans="3:101">
      <c r="C229" s="29"/>
      <c r="D229" s="29"/>
      <c r="E229" s="29"/>
      <c r="F229" s="29"/>
      <c r="G229" s="29"/>
      <c r="H229" s="29"/>
      <c r="I229"/>
      <c r="J229"/>
      <c r="K229"/>
      <c r="L229"/>
      <c r="M229"/>
      <c r="N229"/>
      <c r="O229"/>
      <c r="P229"/>
      <c r="Q229"/>
      <c r="R229"/>
      <c r="AY229" s="29"/>
      <c r="AZ229" s="109"/>
      <c r="BA229" s="29"/>
      <c r="BB229" s="29"/>
      <c r="BC229" s="29"/>
      <c r="BD229" s="29"/>
      <c r="BE229" s="29"/>
      <c r="BF229" s="29"/>
      <c r="BG229" s="29"/>
      <c r="BH229" s="109"/>
      <c r="BI229" s="29"/>
      <c r="BJ229" s="29"/>
      <c r="BK229" s="29"/>
      <c r="BL229" s="29"/>
      <c r="BM229" s="29"/>
      <c r="BN229" s="29"/>
      <c r="BO229" s="29"/>
      <c r="BP229" s="29"/>
      <c r="BQ229" s="29"/>
      <c r="BR229" s="29"/>
      <c r="BS229" s="29"/>
      <c r="BT229" s="29"/>
      <c r="BU229" s="29"/>
      <c r="BV229" s="29"/>
      <c r="BW229" s="29"/>
      <c r="BX229" s="29"/>
      <c r="BY229" s="29"/>
      <c r="BZ229" s="29"/>
      <c r="CA229" s="29"/>
      <c r="CB229" s="29"/>
      <c r="CC229" s="29"/>
      <c r="CD229" s="109"/>
      <c r="CE229" s="29"/>
      <c r="CF229" s="29"/>
      <c r="CG229" s="29"/>
      <c r="CH229" s="29"/>
      <c r="CI229" s="29"/>
      <c r="CJ229" s="29"/>
      <c r="CK229" s="29"/>
      <c r="CL229" s="29"/>
      <c r="CM229" s="29"/>
      <c r="CN229" s="29"/>
      <c r="CO229" s="29"/>
      <c r="CP229" s="29"/>
      <c r="CQ229" s="29"/>
      <c r="CR229" s="29"/>
      <c r="CS229" s="29"/>
      <c r="CT229" s="29"/>
      <c r="CU229" s="29"/>
      <c r="CV229" s="29"/>
      <c r="CW229" s="33"/>
    </row>
    <row r="230" spans="3:101">
      <c r="C230" s="29"/>
      <c r="D230" s="29"/>
      <c r="E230" s="29"/>
      <c r="F230" s="29"/>
      <c r="G230" s="29"/>
      <c r="H230" s="29"/>
      <c r="I230"/>
      <c r="J230"/>
      <c r="K230"/>
      <c r="L230"/>
      <c r="M230"/>
      <c r="N230"/>
      <c r="O230"/>
      <c r="P230"/>
      <c r="Q230"/>
      <c r="R230"/>
      <c r="AY230" s="29"/>
      <c r="AZ230" s="33"/>
      <c r="BA230" s="29"/>
      <c r="BB230" s="29"/>
      <c r="BC230" s="29"/>
      <c r="BD230" s="29"/>
      <c r="BE230" s="29"/>
      <c r="BF230" s="29"/>
      <c r="BG230" s="29"/>
      <c r="BH230" s="33"/>
      <c r="BI230" s="29"/>
      <c r="BJ230" s="29"/>
      <c r="BK230" s="29"/>
      <c r="BL230" s="29"/>
      <c r="BM230" s="29"/>
      <c r="BN230" s="29"/>
      <c r="BO230" s="29"/>
      <c r="BP230" s="29"/>
      <c r="BQ230" s="29"/>
      <c r="BR230" s="29"/>
      <c r="BS230" s="29"/>
      <c r="BT230" s="29"/>
      <c r="BU230" s="29"/>
      <c r="BV230" s="29"/>
      <c r="BW230" s="29"/>
      <c r="BX230" s="29"/>
      <c r="BY230" s="29"/>
      <c r="BZ230" s="29"/>
      <c r="CA230" s="29"/>
      <c r="CB230" s="29"/>
      <c r="CC230" s="29"/>
      <c r="CD230" s="33"/>
      <c r="CE230" s="29"/>
      <c r="CF230" s="29"/>
      <c r="CG230" s="29"/>
      <c r="CH230" s="29"/>
      <c r="CI230" s="29"/>
      <c r="CJ230" s="29"/>
      <c r="CK230" s="29"/>
      <c r="CL230" s="29"/>
      <c r="CM230" s="29"/>
      <c r="CN230" s="29"/>
      <c r="CO230" s="29"/>
      <c r="CP230" s="29"/>
      <c r="CQ230" s="29"/>
      <c r="CR230" s="29"/>
      <c r="CS230" s="29"/>
      <c r="CT230" s="29"/>
      <c r="CU230" s="29"/>
      <c r="CV230" s="29"/>
      <c r="CW230" s="33"/>
    </row>
    <row r="231" spans="3:101">
      <c r="C231" s="29"/>
      <c r="D231" s="29"/>
      <c r="E231" s="29"/>
      <c r="F231" s="29"/>
      <c r="G231" s="29"/>
      <c r="H231" s="29"/>
      <c r="I231"/>
      <c r="J231"/>
      <c r="K231"/>
      <c r="L231"/>
      <c r="M231"/>
      <c r="N231"/>
      <c r="O231"/>
      <c r="P231"/>
      <c r="Q231"/>
      <c r="R231"/>
      <c r="AY231" s="29"/>
      <c r="AZ231" s="109"/>
      <c r="BA231" s="29"/>
      <c r="BB231" s="29"/>
      <c r="BC231" s="29"/>
      <c r="BD231" s="29"/>
      <c r="BE231" s="29"/>
      <c r="BF231" s="29"/>
      <c r="BG231" s="29"/>
      <c r="BH231" s="109"/>
      <c r="BI231" s="29"/>
      <c r="BJ231" s="29"/>
      <c r="BK231" s="29"/>
      <c r="BL231" s="29"/>
      <c r="BM231" s="29"/>
      <c r="BN231" s="29"/>
      <c r="BO231" s="29"/>
      <c r="BP231" s="29"/>
      <c r="BQ231" s="29"/>
      <c r="BR231" s="29"/>
      <c r="BS231" s="29"/>
      <c r="BT231" s="29"/>
      <c r="BU231" s="29"/>
      <c r="BV231" s="29"/>
      <c r="BW231" s="29"/>
      <c r="BX231" s="29"/>
      <c r="BY231" s="29"/>
      <c r="BZ231" s="29"/>
      <c r="CA231" s="29"/>
      <c r="CB231" s="29"/>
      <c r="CC231" s="29"/>
      <c r="CD231" s="109"/>
      <c r="CE231" s="29"/>
      <c r="CF231" s="29"/>
      <c r="CG231" s="29"/>
      <c r="CH231" s="29"/>
      <c r="CI231" s="29"/>
      <c r="CJ231" s="29"/>
      <c r="CK231" s="29"/>
      <c r="CL231" s="29"/>
      <c r="CM231" s="29"/>
      <c r="CN231" s="29"/>
      <c r="CO231" s="29"/>
      <c r="CP231" s="29"/>
      <c r="CQ231" s="29"/>
      <c r="CR231" s="29"/>
      <c r="CS231" s="29"/>
      <c r="CT231" s="29"/>
      <c r="CU231" s="29"/>
      <c r="CV231" s="29"/>
      <c r="CW231" s="33"/>
    </row>
    <row r="232" spans="3:101">
      <c r="C232" s="29"/>
      <c r="D232" s="29"/>
      <c r="E232" s="29"/>
      <c r="F232" s="29"/>
      <c r="G232" s="29"/>
      <c r="H232" s="29"/>
      <c r="I232"/>
      <c r="J232"/>
      <c r="K232"/>
      <c r="L232"/>
      <c r="M232"/>
      <c r="N232"/>
      <c r="O232"/>
      <c r="P232"/>
      <c r="Q232"/>
      <c r="R232"/>
      <c r="AY232" s="29"/>
      <c r="AZ232" s="109"/>
      <c r="BA232" s="29"/>
      <c r="BB232" s="29"/>
      <c r="BC232" s="29"/>
      <c r="BD232" s="29"/>
      <c r="BE232" s="29"/>
      <c r="BF232" s="29"/>
      <c r="BG232" s="29"/>
      <c r="BH232" s="10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109"/>
      <c r="CE232" s="29"/>
      <c r="CF232" s="29"/>
      <c r="CG232" s="29"/>
      <c r="CH232" s="29"/>
      <c r="CI232" s="29"/>
      <c r="CJ232" s="29"/>
      <c r="CK232" s="29"/>
      <c r="CL232" s="29"/>
      <c r="CM232" s="29"/>
      <c r="CN232" s="29"/>
      <c r="CO232" s="29"/>
      <c r="CP232" s="29"/>
      <c r="CQ232" s="29"/>
      <c r="CR232" s="29"/>
      <c r="CS232" s="29"/>
      <c r="CT232" s="29"/>
      <c r="CU232" s="29"/>
      <c r="CV232" s="29"/>
      <c r="CW232" s="33"/>
    </row>
    <row r="233" spans="3:101">
      <c r="C233" s="29"/>
      <c r="D233" s="29"/>
      <c r="E233" s="29"/>
      <c r="F233" s="29"/>
      <c r="G233" s="29"/>
      <c r="H233" s="29"/>
      <c r="I233"/>
      <c r="J233"/>
      <c r="K233"/>
      <c r="L233"/>
      <c r="M233"/>
      <c r="N233"/>
      <c r="O233"/>
      <c r="P233"/>
      <c r="Q233"/>
      <c r="R233"/>
      <c r="AY233" s="29"/>
      <c r="AZ233" s="33"/>
      <c r="BA233" s="29"/>
      <c r="BB233" s="29"/>
      <c r="BC233" s="29"/>
      <c r="BD233" s="29"/>
      <c r="BE233" s="29"/>
      <c r="BF233" s="29"/>
      <c r="BG233" s="29"/>
      <c r="BH233" s="33"/>
      <c r="BI233" s="29"/>
      <c r="BJ233" s="29"/>
      <c r="BK233" s="29"/>
      <c r="BL233" s="29"/>
      <c r="BM233" s="29"/>
      <c r="BN233" s="29"/>
      <c r="BO233" s="29"/>
      <c r="BP233" s="29"/>
      <c r="BQ233" s="29"/>
      <c r="BR233" s="29"/>
      <c r="BS233" s="29"/>
      <c r="BT233" s="29"/>
      <c r="BU233" s="29"/>
      <c r="BV233" s="29"/>
      <c r="BW233" s="29"/>
      <c r="BX233" s="29"/>
      <c r="BY233" s="29"/>
      <c r="BZ233" s="29"/>
      <c r="CA233" s="29"/>
      <c r="CB233" s="29"/>
      <c r="CC233" s="29"/>
      <c r="CD233" s="33"/>
      <c r="CE233" s="29"/>
      <c r="CF233" s="29"/>
      <c r="CG233" s="29"/>
      <c r="CH233" s="29"/>
      <c r="CI233" s="29"/>
      <c r="CJ233" s="29"/>
      <c r="CK233" s="29"/>
      <c r="CL233" s="29"/>
      <c r="CM233" s="29"/>
      <c r="CN233" s="29"/>
      <c r="CO233" s="29"/>
      <c r="CP233" s="29"/>
      <c r="CQ233" s="29"/>
      <c r="CR233" s="29"/>
      <c r="CS233" s="29"/>
      <c r="CT233" s="29"/>
      <c r="CU233" s="29"/>
      <c r="CV233" s="29"/>
      <c r="CW233" s="33"/>
    </row>
    <row r="234" spans="3:101">
      <c r="C234" s="29"/>
      <c r="D234" s="29"/>
      <c r="E234" s="29"/>
      <c r="F234" s="29"/>
      <c r="G234" s="29"/>
      <c r="H234" s="29"/>
      <c r="I234"/>
      <c r="J234"/>
      <c r="K234"/>
      <c r="L234"/>
      <c r="M234"/>
      <c r="N234"/>
      <c r="O234"/>
      <c r="P234"/>
      <c r="Q234"/>
      <c r="R234"/>
      <c r="AY234" s="29"/>
      <c r="AZ234" s="109"/>
      <c r="BA234" s="29"/>
      <c r="BB234" s="29"/>
      <c r="BC234" s="29"/>
      <c r="BD234" s="29"/>
      <c r="BE234" s="29"/>
      <c r="BF234" s="29"/>
      <c r="BG234" s="29"/>
      <c r="BH234" s="109"/>
      <c r="BI234" s="29"/>
      <c r="BJ234" s="29"/>
      <c r="BK234" s="29"/>
      <c r="BL234" s="29"/>
      <c r="BM234" s="29"/>
      <c r="BN234" s="29"/>
      <c r="BO234" s="29"/>
      <c r="BP234" s="29"/>
      <c r="BQ234" s="29"/>
      <c r="BR234" s="29"/>
      <c r="BS234" s="29"/>
      <c r="BT234" s="29"/>
      <c r="BU234" s="29"/>
      <c r="BV234" s="29"/>
      <c r="BW234" s="29"/>
      <c r="BX234" s="29"/>
      <c r="BY234" s="29"/>
      <c r="BZ234" s="29"/>
      <c r="CA234" s="29"/>
      <c r="CB234" s="29"/>
      <c r="CC234" s="29"/>
      <c r="CD234" s="109"/>
      <c r="CE234" s="29"/>
      <c r="CF234" s="29"/>
      <c r="CG234" s="29"/>
      <c r="CH234" s="29"/>
      <c r="CI234" s="29"/>
      <c r="CJ234" s="29"/>
      <c r="CK234" s="29"/>
      <c r="CL234" s="29"/>
      <c r="CM234" s="29"/>
      <c r="CN234" s="29"/>
      <c r="CO234" s="29"/>
      <c r="CP234" s="29"/>
      <c r="CQ234" s="29"/>
      <c r="CR234" s="29"/>
      <c r="CS234" s="29"/>
      <c r="CT234" s="29"/>
      <c r="CU234" s="29"/>
      <c r="CV234" s="29"/>
      <c r="CW234" s="33"/>
    </row>
    <row r="235" spans="3:101">
      <c r="C235" s="29"/>
      <c r="D235" s="29"/>
      <c r="E235" s="29"/>
      <c r="F235" s="29"/>
      <c r="G235" s="29"/>
      <c r="H235" s="29"/>
      <c r="I235"/>
      <c r="J235"/>
      <c r="K235"/>
      <c r="L235"/>
      <c r="M235"/>
      <c r="N235"/>
      <c r="O235"/>
      <c r="P235"/>
      <c r="Q235"/>
      <c r="R235"/>
      <c r="AY235" s="29"/>
      <c r="AZ235" s="109"/>
      <c r="BA235" s="29"/>
      <c r="BB235" s="29"/>
      <c r="BC235" s="29"/>
      <c r="BD235" s="29"/>
      <c r="BE235" s="29"/>
      <c r="BF235" s="29"/>
      <c r="BG235" s="29"/>
      <c r="BH235" s="109"/>
      <c r="BI235" s="29"/>
      <c r="BJ235" s="29"/>
      <c r="BK235" s="29"/>
      <c r="BL235" s="29"/>
      <c r="BM235" s="29"/>
      <c r="BN235" s="29"/>
      <c r="BO235" s="29"/>
      <c r="BP235" s="29"/>
      <c r="BQ235" s="29"/>
      <c r="BR235" s="29"/>
      <c r="BS235" s="29"/>
      <c r="BT235" s="29"/>
      <c r="BU235" s="29"/>
      <c r="BV235" s="29"/>
      <c r="BW235" s="29"/>
      <c r="BX235" s="29"/>
      <c r="BY235" s="29"/>
      <c r="BZ235" s="29"/>
      <c r="CA235" s="29"/>
      <c r="CB235" s="29"/>
      <c r="CC235" s="29"/>
      <c r="CD235" s="109"/>
      <c r="CE235" s="29"/>
      <c r="CF235" s="29"/>
      <c r="CG235" s="29"/>
      <c r="CH235" s="29"/>
      <c r="CI235" s="29"/>
      <c r="CJ235" s="29"/>
      <c r="CK235" s="29"/>
      <c r="CL235" s="29"/>
      <c r="CM235" s="29"/>
      <c r="CN235" s="29"/>
      <c r="CO235" s="29"/>
      <c r="CP235" s="29"/>
      <c r="CQ235" s="29"/>
      <c r="CR235" s="29"/>
      <c r="CS235" s="29"/>
      <c r="CT235" s="29"/>
      <c r="CU235" s="29"/>
      <c r="CV235" s="29"/>
      <c r="CW235" s="33"/>
    </row>
    <row r="236" spans="3:101">
      <c r="C236" s="29"/>
      <c r="D236" s="29"/>
      <c r="E236" s="29"/>
      <c r="F236" s="29"/>
      <c r="G236" s="29"/>
      <c r="H236" s="29"/>
      <c r="I236"/>
      <c r="J236"/>
      <c r="K236"/>
      <c r="L236"/>
      <c r="M236"/>
      <c r="N236"/>
      <c r="O236"/>
      <c r="P236"/>
      <c r="Q236"/>
      <c r="R236"/>
      <c r="AY236" s="29"/>
      <c r="AZ236" s="33"/>
      <c r="BA236" s="29"/>
      <c r="BB236" s="29"/>
      <c r="BC236" s="29"/>
      <c r="BD236" s="29"/>
      <c r="BE236" s="29"/>
      <c r="BF236" s="29"/>
      <c r="BG236" s="29"/>
      <c r="BH236" s="33"/>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33"/>
      <c r="CE236" s="29"/>
      <c r="CF236" s="29"/>
      <c r="CG236" s="29"/>
      <c r="CH236" s="29"/>
      <c r="CI236" s="29"/>
      <c r="CJ236" s="29"/>
      <c r="CK236" s="29"/>
      <c r="CL236" s="29"/>
      <c r="CM236" s="29"/>
      <c r="CN236" s="29"/>
      <c r="CO236" s="29"/>
      <c r="CP236" s="29"/>
      <c r="CQ236" s="29"/>
      <c r="CR236" s="29"/>
      <c r="CS236" s="29"/>
      <c r="CT236" s="29"/>
      <c r="CU236" s="29"/>
      <c r="CV236" s="29"/>
      <c r="CW236" s="33"/>
    </row>
    <row r="237" spans="3:101">
      <c r="C237" s="29"/>
      <c r="D237" s="29"/>
      <c r="E237" s="29"/>
      <c r="F237" s="29"/>
      <c r="G237" s="29"/>
      <c r="H237" s="29"/>
      <c r="I237"/>
      <c r="J237"/>
      <c r="K237"/>
      <c r="L237"/>
      <c r="M237"/>
      <c r="N237"/>
      <c r="O237"/>
      <c r="P237"/>
      <c r="Q237"/>
      <c r="R237"/>
      <c r="AY237" s="29"/>
      <c r="AZ237" s="109"/>
      <c r="BA237" s="29"/>
      <c r="BB237" s="29"/>
      <c r="BC237" s="29"/>
      <c r="BD237" s="29"/>
      <c r="BE237" s="29"/>
      <c r="BF237" s="29"/>
      <c r="BG237" s="29"/>
      <c r="BH237" s="109"/>
      <c r="BI237" s="29"/>
      <c r="BJ237" s="29"/>
      <c r="BK237" s="29"/>
      <c r="BL237" s="29"/>
      <c r="BM237" s="29"/>
      <c r="BN237" s="29"/>
      <c r="BO237" s="29"/>
      <c r="BP237" s="29"/>
      <c r="BQ237" s="29"/>
      <c r="BR237" s="29"/>
      <c r="BS237" s="29"/>
      <c r="BT237" s="29"/>
      <c r="BU237" s="29"/>
      <c r="BV237" s="29"/>
      <c r="BW237" s="29"/>
      <c r="BX237" s="29"/>
      <c r="BY237" s="29"/>
      <c r="BZ237" s="29"/>
      <c r="CA237" s="29"/>
      <c r="CB237" s="29"/>
      <c r="CC237" s="29"/>
      <c r="CD237" s="109"/>
      <c r="CE237" s="29"/>
      <c r="CF237" s="29"/>
      <c r="CG237" s="29"/>
      <c r="CH237" s="29"/>
      <c r="CI237" s="29"/>
      <c r="CJ237" s="29"/>
      <c r="CK237" s="29"/>
      <c r="CL237" s="29"/>
      <c r="CM237" s="29"/>
      <c r="CN237" s="29"/>
      <c r="CO237" s="29"/>
      <c r="CP237" s="29"/>
      <c r="CQ237" s="29"/>
      <c r="CR237" s="29"/>
      <c r="CS237" s="29"/>
      <c r="CT237" s="29"/>
      <c r="CU237" s="29"/>
      <c r="CV237" s="29"/>
      <c r="CW237" s="33"/>
    </row>
    <row r="238" spans="3:101">
      <c r="C238" s="29"/>
      <c r="D238" s="29"/>
      <c r="E238" s="29"/>
      <c r="F238" s="29"/>
      <c r="G238" s="29"/>
      <c r="H238" s="29"/>
      <c r="I238"/>
      <c r="J238"/>
      <c r="K238"/>
      <c r="L238"/>
      <c r="M238"/>
      <c r="N238"/>
      <c r="O238"/>
      <c r="P238"/>
      <c r="Q238"/>
      <c r="R238"/>
      <c r="AY238" s="29"/>
      <c r="AZ238" s="109"/>
      <c r="BA238" s="29"/>
      <c r="BB238" s="29"/>
      <c r="BC238" s="29"/>
      <c r="BD238" s="29"/>
      <c r="BE238" s="29"/>
      <c r="BF238" s="29"/>
      <c r="BG238" s="29"/>
      <c r="BH238" s="109"/>
      <c r="BI238" s="29"/>
      <c r="BJ238" s="29"/>
      <c r="BK238" s="29"/>
      <c r="BL238" s="29"/>
      <c r="BM238" s="29"/>
      <c r="BN238" s="29"/>
      <c r="BO238" s="29"/>
      <c r="BP238" s="29"/>
      <c r="BQ238" s="29"/>
      <c r="BR238" s="29"/>
      <c r="BS238" s="29"/>
      <c r="BT238" s="29"/>
      <c r="BU238" s="29"/>
      <c r="BV238" s="29"/>
      <c r="BW238" s="29"/>
      <c r="BX238" s="29"/>
      <c r="BY238" s="29"/>
      <c r="BZ238" s="29"/>
      <c r="CA238" s="29"/>
      <c r="CB238" s="29"/>
      <c r="CC238" s="29"/>
      <c r="CD238" s="109"/>
      <c r="CE238" s="29"/>
      <c r="CF238" s="29"/>
      <c r="CG238" s="29"/>
      <c r="CH238" s="29"/>
      <c r="CI238" s="29"/>
      <c r="CJ238" s="29"/>
      <c r="CK238" s="29"/>
      <c r="CL238" s="29"/>
      <c r="CM238" s="29"/>
      <c r="CN238" s="29"/>
      <c r="CO238" s="29"/>
      <c r="CP238" s="29"/>
      <c r="CQ238" s="29"/>
      <c r="CR238" s="29"/>
      <c r="CS238" s="29"/>
      <c r="CT238" s="29"/>
      <c r="CU238" s="29"/>
      <c r="CV238" s="29"/>
      <c r="CW238" s="33"/>
    </row>
    <row r="239" spans="3:101">
      <c r="C239" s="29"/>
      <c r="D239" s="29"/>
      <c r="E239" s="29"/>
      <c r="F239" s="29"/>
      <c r="G239" s="29"/>
      <c r="H239" s="29"/>
      <c r="I239"/>
      <c r="J239"/>
      <c r="K239"/>
      <c r="L239"/>
      <c r="M239"/>
      <c r="N239"/>
      <c r="O239"/>
      <c r="P239"/>
      <c r="Q239"/>
      <c r="R239"/>
      <c r="AY239" s="29"/>
      <c r="AZ239" s="33"/>
      <c r="BA239" s="29"/>
      <c r="BB239" s="29"/>
      <c r="BC239" s="29"/>
      <c r="BD239" s="29"/>
      <c r="BE239" s="29"/>
      <c r="BF239" s="29"/>
      <c r="BG239" s="29"/>
      <c r="BH239" s="33"/>
      <c r="BI239" s="29"/>
      <c r="BJ239" s="29"/>
      <c r="BK239" s="29"/>
      <c r="BL239" s="29"/>
      <c r="BM239" s="29"/>
      <c r="BN239" s="29"/>
      <c r="BO239" s="29"/>
      <c r="BP239" s="29"/>
      <c r="BQ239" s="29"/>
      <c r="BR239" s="29"/>
      <c r="BS239" s="29"/>
      <c r="BT239" s="29"/>
      <c r="BU239" s="29"/>
      <c r="BV239" s="29"/>
      <c r="BW239" s="29"/>
      <c r="BX239" s="29"/>
      <c r="BY239" s="29"/>
      <c r="BZ239" s="29"/>
      <c r="CA239" s="29"/>
      <c r="CB239" s="29"/>
      <c r="CC239" s="29"/>
      <c r="CD239" s="33"/>
      <c r="CE239" s="29"/>
      <c r="CF239" s="29"/>
      <c r="CG239" s="29"/>
      <c r="CH239" s="29"/>
      <c r="CI239" s="29"/>
      <c r="CJ239" s="29"/>
      <c r="CK239" s="29"/>
      <c r="CL239" s="29"/>
      <c r="CM239" s="29"/>
      <c r="CN239" s="29"/>
      <c r="CO239" s="29"/>
      <c r="CP239" s="29"/>
      <c r="CQ239" s="29"/>
      <c r="CR239" s="29"/>
      <c r="CS239" s="29"/>
      <c r="CT239" s="29"/>
      <c r="CU239" s="29"/>
      <c r="CV239" s="29"/>
      <c r="CW239" s="33"/>
    </row>
    <row r="240" spans="3:101">
      <c r="C240" s="29"/>
      <c r="D240" s="29"/>
      <c r="E240" s="29"/>
      <c r="F240" s="29"/>
      <c r="G240" s="29"/>
      <c r="H240" s="29"/>
      <c r="I240"/>
      <c r="J240"/>
      <c r="K240"/>
      <c r="L240"/>
      <c r="M240"/>
      <c r="N240"/>
      <c r="O240"/>
      <c r="P240"/>
      <c r="Q240"/>
      <c r="R240"/>
      <c r="AY240" s="29"/>
      <c r="AZ240" s="109"/>
      <c r="BA240" s="29"/>
      <c r="BB240" s="29"/>
      <c r="BC240" s="29"/>
      <c r="BD240" s="29"/>
      <c r="BE240" s="29"/>
      <c r="BF240" s="29"/>
      <c r="BG240" s="29"/>
      <c r="BH240" s="109"/>
      <c r="BI240" s="29"/>
      <c r="BJ240" s="29"/>
      <c r="BK240" s="29"/>
      <c r="BL240" s="29"/>
      <c r="BM240" s="29"/>
      <c r="BN240" s="29"/>
      <c r="BO240" s="29"/>
      <c r="BP240" s="29"/>
      <c r="BQ240" s="29"/>
      <c r="BR240" s="29"/>
      <c r="BS240" s="29"/>
      <c r="BT240" s="29"/>
      <c r="BU240" s="29"/>
      <c r="BV240" s="29"/>
      <c r="BW240" s="29"/>
      <c r="BX240" s="29"/>
      <c r="BY240" s="29"/>
      <c r="BZ240" s="29"/>
      <c r="CA240" s="29"/>
      <c r="CB240" s="29"/>
      <c r="CC240" s="29"/>
      <c r="CD240" s="109"/>
      <c r="CE240" s="29"/>
      <c r="CF240" s="29"/>
      <c r="CG240" s="29"/>
      <c r="CH240" s="29"/>
      <c r="CI240" s="29"/>
      <c r="CJ240" s="29"/>
      <c r="CK240" s="29"/>
      <c r="CL240" s="29"/>
      <c r="CM240" s="29"/>
      <c r="CN240" s="29"/>
      <c r="CO240" s="29"/>
      <c r="CP240" s="29"/>
      <c r="CQ240" s="29"/>
      <c r="CR240" s="29"/>
      <c r="CS240" s="29"/>
      <c r="CT240" s="29"/>
      <c r="CU240" s="29"/>
      <c r="CV240" s="29"/>
      <c r="CW240" s="33"/>
    </row>
    <row r="241" spans="3:101">
      <c r="C241" s="29"/>
      <c r="D241" s="29"/>
      <c r="E241" s="29"/>
      <c r="F241" s="29"/>
      <c r="G241" s="29"/>
      <c r="H241" s="29"/>
      <c r="I241"/>
      <c r="J241"/>
      <c r="K241"/>
      <c r="L241"/>
      <c r="M241"/>
      <c r="N241"/>
      <c r="O241"/>
      <c r="P241"/>
      <c r="Q241"/>
      <c r="R241"/>
      <c r="AY241" s="29"/>
      <c r="AZ241" s="109"/>
      <c r="BA241" s="29"/>
      <c r="BB241" s="29"/>
      <c r="BC241" s="29"/>
      <c r="BD241" s="29"/>
      <c r="BE241" s="29"/>
      <c r="BF241" s="29"/>
      <c r="BG241" s="29"/>
      <c r="BH241" s="109"/>
      <c r="BI241" s="29"/>
      <c r="BJ241" s="29"/>
      <c r="BK241" s="29"/>
      <c r="BL241" s="29"/>
      <c r="BM241" s="29"/>
      <c r="BN241" s="29"/>
      <c r="BO241" s="29"/>
      <c r="BP241" s="29"/>
      <c r="BQ241" s="29"/>
      <c r="BR241" s="29"/>
      <c r="BS241" s="29"/>
      <c r="BT241" s="29"/>
      <c r="BU241" s="29"/>
      <c r="BV241" s="29"/>
      <c r="BW241" s="29"/>
      <c r="BX241" s="29"/>
      <c r="BY241" s="29"/>
      <c r="BZ241" s="29"/>
      <c r="CA241" s="29"/>
      <c r="CB241" s="29"/>
      <c r="CC241" s="29"/>
      <c r="CD241" s="109"/>
      <c r="CE241" s="29"/>
      <c r="CF241" s="29"/>
      <c r="CG241" s="29"/>
      <c r="CH241" s="29"/>
      <c r="CI241" s="29"/>
      <c r="CJ241" s="29"/>
      <c r="CK241" s="29"/>
      <c r="CL241" s="29"/>
      <c r="CM241" s="29"/>
      <c r="CN241" s="29"/>
      <c r="CO241" s="29"/>
      <c r="CP241" s="29"/>
      <c r="CQ241" s="29"/>
      <c r="CR241" s="29"/>
      <c r="CS241" s="29"/>
      <c r="CT241" s="29"/>
      <c r="CU241" s="29"/>
      <c r="CV241" s="29"/>
      <c r="CW241" s="33"/>
    </row>
    <row r="242" spans="3:101">
      <c r="C242" s="29"/>
      <c r="D242" s="29"/>
      <c r="E242" s="29"/>
      <c r="F242" s="29"/>
      <c r="G242" s="29"/>
      <c r="H242" s="29"/>
      <c r="I242"/>
      <c r="J242"/>
      <c r="K242"/>
      <c r="L242"/>
      <c r="M242"/>
      <c r="N242"/>
      <c r="O242"/>
      <c r="P242"/>
      <c r="Q242"/>
      <c r="R242"/>
      <c r="AY242" s="29"/>
      <c r="AZ242" s="33"/>
      <c r="BA242" s="29"/>
      <c r="BB242" s="29"/>
      <c r="BC242" s="29"/>
      <c r="BD242" s="29"/>
      <c r="BE242" s="29"/>
      <c r="BF242" s="29"/>
      <c r="BG242" s="29"/>
      <c r="BH242" s="33"/>
      <c r="BI242" s="29"/>
      <c r="BJ242" s="29"/>
      <c r="BK242" s="29"/>
      <c r="BL242" s="29"/>
      <c r="BM242" s="29"/>
      <c r="BN242" s="29"/>
      <c r="BO242" s="29"/>
      <c r="BP242" s="29"/>
      <c r="BQ242" s="29"/>
      <c r="BR242" s="29"/>
      <c r="BS242" s="29"/>
      <c r="BT242" s="29"/>
      <c r="BU242" s="29"/>
      <c r="BV242" s="29"/>
      <c r="BW242" s="29"/>
      <c r="BX242" s="29"/>
      <c r="BY242" s="29"/>
      <c r="BZ242" s="29"/>
      <c r="CA242" s="29"/>
      <c r="CB242" s="29"/>
      <c r="CC242" s="29"/>
      <c r="CD242" s="33"/>
      <c r="CE242" s="29"/>
      <c r="CF242" s="29"/>
      <c r="CG242" s="29"/>
      <c r="CH242" s="29"/>
      <c r="CI242" s="29"/>
      <c r="CJ242" s="29"/>
      <c r="CK242" s="29"/>
      <c r="CL242" s="29"/>
      <c r="CM242" s="29"/>
      <c r="CN242" s="29"/>
      <c r="CO242" s="29"/>
      <c r="CP242" s="29"/>
      <c r="CQ242" s="29"/>
      <c r="CR242" s="29"/>
      <c r="CS242" s="29"/>
      <c r="CT242" s="29"/>
      <c r="CU242" s="29"/>
      <c r="CV242" s="29"/>
      <c r="CW242" s="33"/>
    </row>
    <row r="243" spans="3:101">
      <c r="C243" s="29"/>
      <c r="D243" s="29"/>
      <c r="E243" s="29"/>
      <c r="F243" s="29"/>
      <c r="G243" s="29"/>
      <c r="H243" s="29"/>
      <c r="I243"/>
      <c r="J243"/>
      <c r="K243"/>
      <c r="L243"/>
      <c r="M243"/>
      <c r="N243"/>
      <c r="O243"/>
      <c r="P243"/>
      <c r="Q243"/>
      <c r="R243"/>
      <c r="AY243" s="29"/>
      <c r="AZ243" s="33"/>
      <c r="BA243" s="29"/>
      <c r="BB243" s="29"/>
      <c r="BC243" s="29"/>
      <c r="BD243" s="29"/>
      <c r="BE243" s="29"/>
      <c r="BF243" s="29"/>
      <c r="BG243" s="29"/>
      <c r="BH243" s="33"/>
      <c r="BI243" s="29"/>
      <c r="BJ243" s="29"/>
      <c r="BK243" s="29"/>
      <c r="BL243" s="29"/>
      <c r="BM243" s="29"/>
      <c r="BN243" s="29"/>
      <c r="BO243" s="29"/>
      <c r="BP243" s="29"/>
      <c r="BQ243" s="29"/>
      <c r="BR243" s="29"/>
      <c r="BS243" s="29"/>
      <c r="BT243" s="29"/>
      <c r="BU243" s="29"/>
      <c r="BV243" s="29"/>
      <c r="BW243" s="29"/>
      <c r="BX243" s="29"/>
      <c r="BY243" s="29"/>
      <c r="BZ243" s="29"/>
      <c r="CA243" s="29"/>
      <c r="CB243" s="29"/>
      <c r="CC243" s="29"/>
      <c r="CD243" s="33"/>
      <c r="CE243" s="29"/>
      <c r="CF243" s="29"/>
      <c r="CG243" s="29"/>
      <c r="CH243" s="29"/>
      <c r="CI243" s="29"/>
      <c r="CJ243" s="29"/>
      <c r="CK243" s="29"/>
      <c r="CL243" s="29"/>
      <c r="CM243" s="29"/>
      <c r="CN243" s="29"/>
      <c r="CO243" s="29"/>
      <c r="CP243" s="29"/>
      <c r="CQ243" s="29"/>
      <c r="CR243" s="29"/>
      <c r="CS243" s="29"/>
      <c r="CT243" s="29"/>
      <c r="CU243" s="29"/>
      <c r="CV243" s="29"/>
      <c r="CW243" s="33"/>
    </row>
    <row r="244" spans="3:101">
      <c r="C244" s="29"/>
      <c r="D244" s="29"/>
      <c r="E244" s="29"/>
      <c r="F244" s="29"/>
      <c r="G244" s="29"/>
      <c r="H244" s="29"/>
      <c r="I244"/>
      <c r="J244"/>
      <c r="K244"/>
      <c r="L244"/>
      <c r="M244"/>
      <c r="N244"/>
      <c r="O244"/>
      <c r="P244"/>
      <c r="Q244"/>
      <c r="R244"/>
      <c r="AY244" s="29"/>
      <c r="AZ244" s="33"/>
      <c r="BA244" s="29"/>
      <c r="BB244" s="29"/>
      <c r="BC244" s="29"/>
      <c r="BD244" s="29"/>
      <c r="BE244" s="29"/>
      <c r="BF244" s="29"/>
      <c r="BG244" s="29"/>
      <c r="BH244" s="33"/>
      <c r="BI244" s="29"/>
      <c r="BJ244" s="29"/>
      <c r="BK244" s="29"/>
      <c r="BL244" s="29"/>
      <c r="BM244" s="29"/>
      <c r="BN244" s="29"/>
      <c r="BO244" s="29"/>
      <c r="BP244" s="29"/>
      <c r="BQ244" s="29"/>
      <c r="BR244" s="29"/>
      <c r="BS244" s="29"/>
      <c r="BT244" s="29"/>
      <c r="BU244" s="29"/>
      <c r="BV244" s="29"/>
      <c r="BW244" s="29"/>
      <c r="BX244" s="29"/>
      <c r="BY244" s="29"/>
      <c r="BZ244" s="29"/>
      <c r="CA244" s="29"/>
      <c r="CB244" s="29"/>
      <c r="CC244" s="29"/>
      <c r="CD244" s="33"/>
      <c r="CE244" s="29"/>
      <c r="CF244" s="29"/>
      <c r="CG244" s="29"/>
      <c r="CH244" s="29"/>
      <c r="CI244" s="29"/>
      <c r="CJ244" s="29"/>
      <c r="CK244" s="29"/>
      <c r="CL244" s="29"/>
      <c r="CM244" s="29"/>
      <c r="CN244" s="29"/>
      <c r="CO244" s="29"/>
      <c r="CP244" s="29"/>
      <c r="CQ244" s="29"/>
      <c r="CR244" s="29"/>
      <c r="CS244" s="29"/>
      <c r="CT244" s="29"/>
      <c r="CU244" s="29"/>
      <c r="CV244" s="29"/>
      <c r="CW244" s="33"/>
    </row>
    <row r="245" spans="3:101">
      <c r="C245" s="29"/>
      <c r="D245" s="29"/>
      <c r="E245" s="29"/>
      <c r="F245" s="29"/>
      <c r="G245" s="29"/>
      <c r="H245" s="29"/>
      <c r="I245"/>
      <c r="J245"/>
      <c r="K245"/>
      <c r="L245"/>
      <c r="M245"/>
      <c r="N245"/>
      <c r="O245"/>
      <c r="P245"/>
      <c r="Q245"/>
      <c r="R245"/>
      <c r="AY245" s="29"/>
      <c r="AZ245" s="33"/>
      <c r="BA245" s="29"/>
      <c r="BB245" s="29"/>
      <c r="BC245" s="29"/>
      <c r="BD245" s="29"/>
      <c r="BE245" s="29"/>
      <c r="BF245" s="29"/>
      <c r="BG245" s="29"/>
      <c r="BH245" s="33"/>
      <c r="BI245" s="29"/>
      <c r="BJ245" s="29"/>
      <c r="BK245" s="29"/>
      <c r="BL245" s="29"/>
      <c r="BM245" s="29"/>
      <c r="BN245" s="29"/>
      <c r="BO245" s="29"/>
      <c r="BP245" s="29"/>
      <c r="BQ245" s="29"/>
      <c r="BR245" s="29"/>
      <c r="BS245" s="29"/>
      <c r="BT245" s="29"/>
      <c r="BU245" s="29"/>
      <c r="BV245" s="29"/>
      <c r="BW245" s="29"/>
      <c r="BX245" s="29"/>
      <c r="BY245" s="29"/>
      <c r="BZ245" s="29"/>
      <c r="CA245" s="29"/>
      <c r="CB245" s="29"/>
      <c r="CC245" s="29"/>
      <c r="CD245" s="33"/>
      <c r="CE245" s="29"/>
      <c r="CF245" s="29"/>
      <c r="CG245" s="29"/>
      <c r="CH245" s="29"/>
      <c r="CI245" s="29"/>
      <c r="CJ245" s="29"/>
      <c r="CK245" s="29"/>
      <c r="CL245" s="29"/>
      <c r="CM245" s="29"/>
      <c r="CN245" s="29"/>
      <c r="CO245" s="29"/>
      <c r="CP245" s="29"/>
      <c r="CQ245" s="29"/>
      <c r="CR245" s="29"/>
      <c r="CS245" s="29"/>
      <c r="CT245" s="29"/>
      <c r="CU245" s="29"/>
      <c r="CV245" s="29"/>
      <c r="CW245" s="33"/>
    </row>
    <row r="246" spans="3:101">
      <c r="C246" s="29"/>
      <c r="D246" s="29"/>
      <c r="E246" s="29"/>
      <c r="F246" s="29"/>
      <c r="G246" s="29"/>
      <c r="H246" s="29"/>
      <c r="I246"/>
      <c r="J246"/>
      <c r="K246"/>
      <c r="L246"/>
      <c r="M246"/>
      <c r="N246"/>
      <c r="O246"/>
      <c r="P246"/>
      <c r="Q246"/>
      <c r="R246"/>
      <c r="AY246" s="29"/>
      <c r="AZ246" s="33"/>
      <c r="BA246" s="29"/>
      <c r="BB246" s="29"/>
      <c r="BC246" s="29"/>
      <c r="BD246" s="29"/>
      <c r="BE246" s="29"/>
      <c r="BF246" s="29"/>
      <c r="BG246" s="29"/>
      <c r="BH246" s="33"/>
      <c r="BI246" s="29"/>
      <c r="BJ246" s="29"/>
      <c r="BK246" s="29"/>
      <c r="BL246" s="29"/>
      <c r="BM246" s="29"/>
      <c r="BN246" s="29"/>
      <c r="BO246" s="29"/>
      <c r="BP246" s="29"/>
      <c r="BQ246" s="29"/>
      <c r="BR246" s="29"/>
      <c r="BS246" s="29"/>
      <c r="BT246" s="29"/>
      <c r="BU246" s="29"/>
      <c r="BV246" s="29"/>
      <c r="BW246" s="29"/>
      <c r="BX246" s="29"/>
      <c r="BY246" s="29"/>
      <c r="BZ246" s="29"/>
      <c r="CA246" s="29"/>
      <c r="CB246" s="29"/>
      <c r="CC246" s="29"/>
      <c r="CD246" s="33"/>
      <c r="CE246" s="29"/>
      <c r="CF246" s="29"/>
      <c r="CG246" s="29"/>
      <c r="CH246" s="29"/>
      <c r="CI246" s="29"/>
      <c r="CJ246" s="29"/>
      <c r="CK246" s="29"/>
      <c r="CL246" s="29"/>
      <c r="CM246" s="29"/>
      <c r="CN246" s="29"/>
      <c r="CO246" s="29"/>
      <c r="CP246" s="29"/>
      <c r="CQ246" s="29"/>
      <c r="CR246" s="29"/>
      <c r="CS246" s="29"/>
      <c r="CT246" s="29"/>
      <c r="CU246" s="29"/>
      <c r="CV246" s="29"/>
      <c r="CW246" s="33"/>
    </row>
    <row r="247" spans="3:101">
      <c r="C247" s="29"/>
      <c r="D247" s="29"/>
      <c r="E247" s="29"/>
      <c r="F247" s="29"/>
      <c r="G247" s="29"/>
      <c r="H247" s="29"/>
      <c r="I247"/>
      <c r="J247"/>
      <c r="K247"/>
      <c r="L247"/>
      <c r="M247"/>
      <c r="N247"/>
      <c r="O247"/>
      <c r="P247"/>
      <c r="Q247"/>
      <c r="R247"/>
      <c r="AY247" s="29"/>
      <c r="AZ247" s="33"/>
      <c r="BA247" s="29"/>
      <c r="BB247" s="29"/>
      <c r="BC247" s="29"/>
      <c r="BD247" s="29"/>
      <c r="BE247" s="29"/>
      <c r="BF247" s="29"/>
      <c r="BG247" s="29"/>
      <c r="BH247" s="33"/>
      <c r="BI247" s="29"/>
      <c r="BJ247" s="29"/>
      <c r="BK247" s="29"/>
      <c r="BL247" s="29"/>
      <c r="BM247" s="29"/>
      <c r="BN247" s="29"/>
      <c r="BO247" s="29"/>
      <c r="BP247" s="29"/>
      <c r="BQ247" s="29"/>
      <c r="BR247" s="29"/>
      <c r="BS247" s="29"/>
      <c r="BT247" s="29"/>
      <c r="BU247" s="29"/>
      <c r="BV247" s="29"/>
      <c r="BW247" s="29"/>
      <c r="BX247" s="29"/>
      <c r="BY247" s="29"/>
      <c r="BZ247" s="29"/>
      <c r="CA247" s="29"/>
      <c r="CB247" s="29"/>
      <c r="CC247" s="29"/>
      <c r="CD247" s="33"/>
      <c r="CE247" s="29"/>
      <c r="CF247" s="29"/>
      <c r="CG247" s="29"/>
      <c r="CH247" s="29"/>
      <c r="CI247" s="29"/>
      <c r="CJ247" s="29"/>
      <c r="CK247" s="29"/>
      <c r="CL247" s="29"/>
      <c r="CM247" s="29"/>
      <c r="CN247" s="29"/>
      <c r="CO247" s="29"/>
      <c r="CP247" s="29"/>
      <c r="CQ247" s="29"/>
      <c r="CR247" s="29"/>
      <c r="CS247" s="29"/>
      <c r="CT247" s="29"/>
      <c r="CU247" s="29"/>
      <c r="CV247" s="29"/>
      <c r="CW247" s="33"/>
    </row>
    <row r="248" spans="3:101">
      <c r="C248" s="29"/>
      <c r="D248" s="29"/>
      <c r="E248" s="29"/>
      <c r="F248" s="29"/>
      <c r="G248" s="29"/>
      <c r="H248" s="29"/>
      <c r="I248"/>
      <c r="J248"/>
      <c r="K248"/>
      <c r="L248"/>
      <c r="M248"/>
      <c r="N248"/>
      <c r="O248"/>
      <c r="P248"/>
      <c r="Q248"/>
      <c r="R248"/>
      <c r="AY248" s="29"/>
      <c r="AZ248" s="33"/>
      <c r="BA248" s="29"/>
      <c r="BB248" s="29"/>
      <c r="BC248" s="29"/>
      <c r="BD248" s="29"/>
      <c r="BE248" s="29"/>
      <c r="BF248" s="29"/>
      <c r="BG248" s="29"/>
      <c r="BH248" s="33"/>
      <c r="BI248" s="29"/>
      <c r="BJ248" s="29"/>
      <c r="BK248" s="29"/>
      <c r="BL248" s="29"/>
      <c r="BM248" s="29"/>
      <c r="BN248" s="29"/>
      <c r="BO248" s="29"/>
      <c r="BP248" s="29"/>
      <c r="BQ248" s="29"/>
      <c r="BR248" s="29"/>
      <c r="BS248" s="29"/>
      <c r="BT248" s="29"/>
      <c r="BU248" s="29"/>
      <c r="BV248" s="29"/>
      <c r="BW248" s="29"/>
      <c r="BX248" s="29"/>
      <c r="BY248" s="29"/>
      <c r="BZ248" s="29"/>
      <c r="CA248" s="29"/>
      <c r="CB248" s="29"/>
      <c r="CC248" s="29"/>
      <c r="CD248" s="33"/>
      <c r="CE248" s="29"/>
      <c r="CF248" s="29"/>
      <c r="CG248" s="29"/>
      <c r="CH248" s="29"/>
      <c r="CI248" s="29"/>
      <c r="CJ248" s="29"/>
      <c r="CK248" s="29"/>
      <c r="CL248" s="29"/>
      <c r="CM248" s="29"/>
      <c r="CN248" s="29"/>
      <c r="CO248" s="29"/>
      <c r="CP248" s="29"/>
      <c r="CQ248" s="29"/>
      <c r="CR248" s="29"/>
      <c r="CS248" s="29"/>
      <c r="CT248" s="29"/>
      <c r="CU248" s="29"/>
      <c r="CV248" s="29"/>
      <c r="CW248" s="33"/>
    </row>
    <row r="249" spans="3:101">
      <c r="C249" s="29"/>
      <c r="D249" s="29"/>
      <c r="E249" s="29"/>
      <c r="F249" s="29"/>
      <c r="G249" s="29"/>
      <c r="H249" s="29"/>
      <c r="I249"/>
      <c r="J249"/>
      <c r="K249"/>
      <c r="L249"/>
      <c r="M249"/>
      <c r="N249"/>
      <c r="O249"/>
      <c r="P249"/>
      <c r="Q249"/>
      <c r="R249"/>
      <c r="AY249" s="29"/>
      <c r="AZ249" s="33"/>
      <c r="BA249" s="29"/>
      <c r="BB249" s="29"/>
      <c r="BC249" s="29"/>
      <c r="BD249" s="29"/>
      <c r="BE249" s="29"/>
      <c r="BF249" s="29"/>
      <c r="BG249" s="29"/>
      <c r="BH249" s="33"/>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33"/>
      <c r="CE249" s="29"/>
      <c r="CF249" s="29"/>
      <c r="CG249" s="29"/>
      <c r="CH249" s="29"/>
      <c r="CI249" s="29"/>
      <c r="CJ249" s="29"/>
      <c r="CK249" s="29"/>
      <c r="CL249" s="29"/>
      <c r="CM249" s="29"/>
      <c r="CN249" s="29"/>
      <c r="CO249" s="29"/>
      <c r="CP249" s="29"/>
      <c r="CQ249" s="29"/>
      <c r="CR249" s="29"/>
      <c r="CS249" s="29"/>
      <c r="CT249" s="29"/>
      <c r="CU249" s="29"/>
      <c r="CV249" s="29"/>
      <c r="CW249" s="33"/>
    </row>
    <row r="250" spans="3:101">
      <c r="C250" s="29"/>
      <c r="D250" s="29"/>
      <c r="E250" s="29"/>
      <c r="F250" s="29"/>
      <c r="G250" s="29"/>
      <c r="H250" s="29"/>
      <c r="I250"/>
      <c r="J250"/>
      <c r="K250"/>
      <c r="L250"/>
      <c r="M250"/>
      <c r="N250"/>
      <c r="O250"/>
      <c r="P250"/>
      <c r="Q250"/>
      <c r="R250"/>
      <c r="AY250" s="29"/>
      <c r="AZ250" s="33"/>
      <c r="BA250" s="29"/>
      <c r="BB250" s="29"/>
      <c r="BC250" s="29"/>
      <c r="BD250" s="29"/>
      <c r="BE250" s="29"/>
      <c r="BF250" s="29"/>
      <c r="BG250" s="29"/>
      <c r="BH250" s="33"/>
      <c r="BI250" s="29"/>
      <c r="BJ250" s="29"/>
      <c r="BK250" s="29"/>
      <c r="BL250" s="29"/>
      <c r="BM250" s="29"/>
      <c r="BN250" s="29"/>
      <c r="BO250" s="29"/>
      <c r="BP250" s="29"/>
      <c r="BQ250" s="29"/>
      <c r="BR250" s="29"/>
      <c r="BS250" s="29"/>
      <c r="BT250" s="29"/>
      <c r="BU250" s="29"/>
      <c r="BV250" s="29"/>
      <c r="BW250" s="29"/>
      <c r="BX250" s="29"/>
      <c r="BY250" s="29"/>
      <c r="BZ250" s="29"/>
      <c r="CA250" s="29"/>
      <c r="CB250" s="29"/>
      <c r="CC250" s="29"/>
      <c r="CD250" s="33"/>
      <c r="CE250" s="29"/>
      <c r="CF250" s="29"/>
      <c r="CG250" s="29"/>
      <c r="CH250" s="29"/>
      <c r="CI250" s="29"/>
      <c r="CJ250" s="29"/>
      <c r="CK250" s="29"/>
      <c r="CL250" s="29"/>
      <c r="CM250" s="29"/>
      <c r="CN250" s="29"/>
      <c r="CO250" s="29"/>
      <c r="CP250" s="29"/>
      <c r="CQ250" s="29"/>
      <c r="CR250" s="29"/>
      <c r="CS250" s="29"/>
      <c r="CT250" s="29"/>
      <c r="CU250" s="29"/>
      <c r="CV250" s="29"/>
      <c r="CW250" s="33"/>
    </row>
    <row r="251" spans="3:101">
      <c r="C251" s="29"/>
      <c r="D251" s="29"/>
      <c r="E251" s="29"/>
      <c r="F251" s="29"/>
      <c r="G251" s="29"/>
      <c r="H251" s="29"/>
      <c r="I251"/>
      <c r="J251"/>
      <c r="K251"/>
      <c r="L251"/>
      <c r="M251"/>
      <c r="N251"/>
      <c r="O251"/>
      <c r="P251"/>
      <c r="Q251"/>
      <c r="R251"/>
      <c r="AY251" s="29"/>
      <c r="AZ251" s="33"/>
      <c r="BA251" s="29"/>
      <c r="BB251" s="29"/>
      <c r="BC251" s="29"/>
      <c r="BD251" s="29"/>
      <c r="BE251" s="29"/>
      <c r="BF251" s="29"/>
      <c r="BG251" s="29"/>
      <c r="BH251" s="33"/>
      <c r="BI251" s="29"/>
      <c r="BJ251" s="29"/>
      <c r="BK251" s="29"/>
      <c r="BL251" s="29"/>
      <c r="BM251" s="29"/>
      <c r="BN251" s="29"/>
      <c r="BO251" s="29"/>
      <c r="BP251" s="29"/>
      <c r="BQ251" s="29"/>
      <c r="BR251" s="29"/>
      <c r="BS251" s="29"/>
      <c r="BT251" s="29"/>
      <c r="BU251" s="29"/>
      <c r="BV251" s="29"/>
      <c r="BW251" s="29"/>
      <c r="BX251" s="29"/>
      <c r="BY251" s="29"/>
      <c r="BZ251" s="29"/>
      <c r="CA251" s="29"/>
      <c r="CB251" s="29"/>
      <c r="CC251" s="29"/>
      <c r="CD251" s="33"/>
      <c r="CE251" s="29"/>
      <c r="CF251" s="29"/>
      <c r="CG251" s="29"/>
      <c r="CH251" s="29"/>
      <c r="CI251" s="29"/>
      <c r="CJ251" s="29"/>
      <c r="CK251" s="29"/>
      <c r="CL251" s="29"/>
      <c r="CM251" s="29"/>
      <c r="CN251" s="29"/>
      <c r="CO251" s="29"/>
      <c r="CP251" s="29"/>
      <c r="CQ251" s="29"/>
      <c r="CR251" s="29"/>
      <c r="CS251" s="29"/>
      <c r="CT251" s="29"/>
      <c r="CU251" s="29"/>
      <c r="CV251" s="29"/>
      <c r="CW251" s="33"/>
    </row>
    <row r="252" spans="3:101">
      <c r="C252" s="29"/>
      <c r="D252" s="29"/>
      <c r="E252" s="29"/>
      <c r="F252" s="29"/>
      <c r="G252" s="29"/>
      <c r="H252" s="29"/>
      <c r="I252"/>
      <c r="J252"/>
      <c r="K252"/>
      <c r="L252"/>
      <c r="M252"/>
      <c r="N252"/>
      <c r="O252"/>
      <c r="P252"/>
      <c r="Q252"/>
      <c r="R252"/>
      <c r="AY252" s="29"/>
      <c r="AZ252" s="33"/>
      <c r="BA252" s="29"/>
      <c r="BB252" s="29"/>
      <c r="BC252" s="29"/>
      <c r="BD252" s="29"/>
      <c r="BE252" s="29"/>
      <c r="BF252" s="29"/>
      <c r="BG252" s="29"/>
      <c r="BH252" s="33"/>
      <c r="BI252" s="29"/>
      <c r="BJ252" s="29"/>
      <c r="BK252" s="29"/>
      <c r="BL252" s="29"/>
      <c r="BM252" s="29"/>
      <c r="BN252" s="29"/>
      <c r="BO252" s="29"/>
      <c r="BP252" s="29"/>
      <c r="BQ252" s="29"/>
      <c r="BR252" s="29"/>
      <c r="BS252" s="29"/>
      <c r="BT252" s="29"/>
      <c r="BU252" s="29"/>
      <c r="BV252" s="29"/>
      <c r="BW252" s="29"/>
      <c r="BX252" s="29"/>
      <c r="BY252" s="29"/>
      <c r="BZ252" s="29"/>
      <c r="CA252" s="29"/>
      <c r="CB252" s="29"/>
      <c r="CC252" s="29"/>
      <c r="CD252" s="33"/>
      <c r="CE252" s="29"/>
      <c r="CF252" s="29"/>
      <c r="CG252" s="29"/>
      <c r="CH252" s="29"/>
      <c r="CI252" s="29"/>
      <c r="CJ252" s="29"/>
      <c r="CK252" s="29"/>
      <c r="CL252" s="29"/>
      <c r="CM252" s="29"/>
      <c r="CN252" s="29"/>
      <c r="CO252" s="29"/>
      <c r="CP252" s="29"/>
      <c r="CQ252" s="29"/>
      <c r="CR252" s="29"/>
      <c r="CS252" s="29"/>
      <c r="CT252" s="29"/>
      <c r="CU252" s="29"/>
      <c r="CV252" s="29"/>
      <c r="CW252" s="33"/>
    </row>
    <row r="253" spans="3:101">
      <c r="C253" s="29"/>
      <c r="D253" s="29"/>
      <c r="E253" s="29"/>
      <c r="F253" s="29"/>
      <c r="G253" s="29"/>
      <c r="H253" s="29"/>
      <c r="I253"/>
      <c r="J253"/>
      <c r="K253"/>
      <c r="L253"/>
      <c r="M253"/>
      <c r="N253"/>
      <c r="O253"/>
      <c r="P253"/>
      <c r="Q253"/>
      <c r="R253"/>
      <c r="AY253" s="29"/>
      <c r="AZ253" s="33"/>
      <c r="BA253" s="29"/>
      <c r="BB253" s="29"/>
      <c r="BC253" s="29"/>
      <c r="BD253" s="29"/>
      <c r="BE253" s="29"/>
      <c r="BF253" s="29"/>
      <c r="BG253" s="29"/>
      <c r="BH253" s="33"/>
      <c r="BI253" s="29"/>
      <c r="BJ253" s="29"/>
      <c r="BK253" s="29"/>
      <c r="BL253" s="29"/>
      <c r="BM253" s="29"/>
      <c r="BN253" s="29"/>
      <c r="BO253" s="29"/>
      <c r="BP253" s="29"/>
      <c r="BQ253" s="29"/>
      <c r="BR253" s="29"/>
      <c r="BS253" s="29"/>
      <c r="BT253" s="29"/>
      <c r="BU253" s="29"/>
      <c r="BV253" s="29"/>
      <c r="BW253" s="29"/>
      <c r="BX253" s="29"/>
      <c r="BY253" s="29"/>
      <c r="BZ253" s="29"/>
      <c r="CA253" s="29"/>
      <c r="CB253" s="29"/>
      <c r="CC253" s="29"/>
      <c r="CD253" s="33"/>
      <c r="CE253" s="29"/>
      <c r="CF253" s="29"/>
      <c r="CG253" s="29"/>
      <c r="CH253" s="29"/>
      <c r="CI253" s="29"/>
      <c r="CJ253" s="29"/>
      <c r="CK253" s="29"/>
      <c r="CL253" s="29"/>
      <c r="CM253" s="29"/>
      <c r="CN253" s="29"/>
      <c r="CO253" s="29"/>
      <c r="CP253" s="29"/>
      <c r="CQ253" s="29"/>
      <c r="CR253" s="29"/>
      <c r="CS253" s="29"/>
      <c r="CT253" s="29"/>
      <c r="CU253" s="29"/>
      <c r="CV253" s="29"/>
      <c r="CW253" s="33"/>
    </row>
    <row r="254" spans="3:101">
      <c r="C254" s="29"/>
      <c r="D254" s="29"/>
      <c r="E254" s="29"/>
      <c r="F254" s="29"/>
      <c r="G254" s="29"/>
      <c r="H254" s="29"/>
      <c r="I254"/>
      <c r="J254"/>
      <c r="K254"/>
      <c r="L254"/>
      <c r="M254"/>
      <c r="N254"/>
      <c r="O254"/>
      <c r="P254"/>
      <c r="Q254"/>
      <c r="R254"/>
      <c r="AY254" s="29"/>
      <c r="AZ254" s="33"/>
      <c r="BA254" s="29"/>
      <c r="BB254" s="29"/>
      <c r="BC254" s="29"/>
      <c r="BD254" s="29"/>
      <c r="BE254" s="29"/>
      <c r="BF254" s="29"/>
      <c r="BG254" s="29"/>
      <c r="BH254" s="33"/>
      <c r="BI254" s="29"/>
      <c r="BJ254" s="29"/>
      <c r="BK254" s="29"/>
      <c r="BL254" s="29"/>
      <c r="BM254" s="29"/>
      <c r="BN254" s="29"/>
      <c r="BO254" s="29"/>
      <c r="BP254" s="29"/>
      <c r="BQ254" s="29"/>
      <c r="BR254" s="29"/>
      <c r="BS254" s="29"/>
      <c r="BT254" s="29"/>
      <c r="BU254" s="29"/>
      <c r="BV254" s="29"/>
      <c r="BW254" s="29"/>
      <c r="BX254" s="29"/>
      <c r="BY254" s="29"/>
      <c r="BZ254" s="29"/>
      <c r="CA254" s="29"/>
      <c r="CB254" s="29"/>
      <c r="CC254" s="29"/>
      <c r="CD254" s="33"/>
      <c r="CE254" s="29"/>
      <c r="CF254" s="29"/>
      <c r="CG254" s="29"/>
      <c r="CH254" s="29"/>
      <c r="CI254" s="29"/>
      <c r="CJ254" s="29"/>
      <c r="CK254" s="29"/>
      <c r="CL254" s="29"/>
      <c r="CM254" s="29"/>
      <c r="CN254" s="29"/>
      <c r="CO254" s="29"/>
      <c r="CP254" s="29"/>
      <c r="CQ254" s="29"/>
      <c r="CR254" s="29"/>
      <c r="CS254" s="29"/>
      <c r="CT254" s="29"/>
      <c r="CU254" s="29"/>
      <c r="CV254" s="29"/>
      <c r="CW254" s="33"/>
    </row>
    <row r="255" spans="3:101">
      <c r="C255" s="29"/>
      <c r="D255" s="29"/>
      <c r="E255" s="29"/>
      <c r="F255" s="29"/>
      <c r="G255" s="29"/>
      <c r="H255" s="29"/>
      <c r="I255"/>
      <c r="J255"/>
      <c r="K255"/>
      <c r="L255"/>
      <c r="M255"/>
      <c r="N255"/>
      <c r="O255"/>
      <c r="P255"/>
      <c r="Q255"/>
      <c r="R255"/>
      <c r="AY255" s="29"/>
      <c r="AZ255" s="109"/>
      <c r="BA255" s="29"/>
      <c r="BB255" s="29"/>
      <c r="BC255" s="29"/>
      <c r="BD255" s="29"/>
      <c r="BE255" s="29"/>
      <c r="BF255" s="29"/>
      <c r="BG255" s="29"/>
      <c r="BH255" s="109"/>
      <c r="BI255" s="29"/>
      <c r="BJ255" s="29"/>
      <c r="BK255" s="29"/>
      <c r="BL255" s="29"/>
      <c r="BM255" s="29"/>
      <c r="BN255" s="29"/>
      <c r="BO255" s="29"/>
      <c r="BP255" s="29"/>
      <c r="BQ255" s="29"/>
      <c r="BR255" s="29"/>
      <c r="BS255" s="29"/>
      <c r="BT255" s="29"/>
      <c r="BU255" s="29"/>
      <c r="BV255" s="29"/>
      <c r="BW255" s="29"/>
      <c r="BX255" s="29"/>
      <c r="BY255" s="29"/>
      <c r="BZ255" s="29"/>
      <c r="CA255" s="29"/>
      <c r="CB255" s="29"/>
      <c r="CC255" s="29"/>
      <c r="CD255" s="109"/>
      <c r="CE255" s="29"/>
      <c r="CF255" s="29"/>
      <c r="CG255" s="29"/>
      <c r="CH255" s="29"/>
      <c r="CI255" s="29"/>
      <c r="CJ255" s="29"/>
      <c r="CK255" s="29"/>
      <c r="CL255" s="29"/>
      <c r="CM255" s="29"/>
      <c r="CN255" s="29"/>
      <c r="CO255" s="29"/>
      <c r="CP255" s="29"/>
      <c r="CQ255" s="29"/>
      <c r="CR255" s="29"/>
      <c r="CS255" s="29"/>
      <c r="CT255" s="29"/>
      <c r="CU255" s="29"/>
      <c r="CV255" s="29"/>
      <c r="CW255" s="33"/>
    </row>
    <row r="256" spans="3:101">
      <c r="C256" s="29"/>
      <c r="D256" s="29"/>
      <c r="E256" s="29"/>
      <c r="F256" s="29"/>
      <c r="G256" s="29"/>
      <c r="H256" s="29"/>
      <c r="I256"/>
      <c r="J256"/>
      <c r="K256"/>
      <c r="L256"/>
      <c r="M256"/>
      <c r="N256"/>
      <c r="O256"/>
      <c r="P256"/>
      <c r="Q256"/>
      <c r="R256"/>
      <c r="AY256" s="29"/>
      <c r="AZ256" s="109"/>
      <c r="BA256" s="29"/>
      <c r="BB256" s="29"/>
      <c r="BC256" s="29"/>
      <c r="BD256" s="29"/>
      <c r="BE256" s="29"/>
      <c r="BF256" s="29"/>
      <c r="BG256" s="29"/>
      <c r="BH256" s="109"/>
      <c r="BI256" s="29"/>
      <c r="BJ256" s="29"/>
      <c r="BK256" s="29"/>
      <c r="BL256" s="29"/>
      <c r="BM256" s="29"/>
      <c r="BN256" s="29"/>
      <c r="BO256" s="29"/>
      <c r="BP256" s="29"/>
      <c r="BQ256" s="29"/>
      <c r="BR256" s="29"/>
      <c r="BS256" s="29"/>
      <c r="BT256" s="29"/>
      <c r="BU256" s="29"/>
      <c r="BV256" s="29"/>
      <c r="BW256" s="29"/>
      <c r="BX256" s="29"/>
      <c r="BY256" s="29"/>
      <c r="BZ256" s="29"/>
      <c r="CA256" s="29"/>
      <c r="CB256" s="29"/>
      <c r="CC256" s="29"/>
      <c r="CD256" s="109"/>
      <c r="CE256" s="29"/>
      <c r="CF256" s="29"/>
      <c r="CG256" s="29"/>
      <c r="CH256" s="29"/>
      <c r="CI256" s="29"/>
      <c r="CJ256" s="29"/>
      <c r="CK256" s="29"/>
      <c r="CL256" s="29"/>
      <c r="CM256" s="29"/>
      <c r="CN256" s="29"/>
      <c r="CO256" s="29"/>
      <c r="CP256" s="29"/>
      <c r="CQ256" s="29"/>
      <c r="CR256" s="29"/>
      <c r="CS256" s="29"/>
      <c r="CT256" s="29"/>
      <c r="CU256" s="29"/>
      <c r="CV256" s="29"/>
      <c r="CW256" s="33"/>
    </row>
    <row r="257" spans="3:101">
      <c r="C257" s="29"/>
      <c r="D257" s="29"/>
      <c r="E257" s="29"/>
      <c r="F257" s="29"/>
      <c r="G257" s="29"/>
      <c r="H257" s="29"/>
      <c r="I257"/>
      <c r="J257"/>
      <c r="K257"/>
      <c r="L257"/>
      <c r="M257"/>
      <c r="N257"/>
      <c r="O257"/>
      <c r="P257"/>
      <c r="Q257"/>
      <c r="R257"/>
      <c r="AY257" s="29"/>
      <c r="AZ257" s="109"/>
      <c r="BA257" s="29"/>
      <c r="BB257" s="29"/>
      <c r="BC257" s="29"/>
      <c r="BD257" s="29"/>
      <c r="BE257" s="29"/>
      <c r="BF257" s="29"/>
      <c r="BG257" s="29"/>
      <c r="BH257" s="109"/>
      <c r="BI257" s="29"/>
      <c r="BJ257" s="29"/>
      <c r="BK257" s="29"/>
      <c r="BL257" s="29"/>
      <c r="BM257" s="29"/>
      <c r="BN257" s="29"/>
      <c r="BO257" s="29"/>
      <c r="BP257" s="29"/>
      <c r="BQ257" s="29"/>
      <c r="BR257" s="29"/>
      <c r="BS257" s="29"/>
      <c r="BT257" s="29"/>
      <c r="BU257" s="29"/>
      <c r="BV257" s="29"/>
      <c r="BW257" s="29"/>
      <c r="BX257" s="29"/>
      <c r="BY257" s="29"/>
      <c r="BZ257" s="29"/>
      <c r="CA257" s="29"/>
      <c r="CB257" s="29"/>
      <c r="CC257" s="29"/>
      <c r="CD257" s="109"/>
      <c r="CE257" s="29"/>
      <c r="CF257" s="29"/>
      <c r="CG257" s="29"/>
      <c r="CH257" s="29"/>
      <c r="CI257" s="29"/>
      <c r="CJ257" s="29"/>
      <c r="CK257" s="29"/>
      <c r="CL257" s="29"/>
      <c r="CM257" s="29"/>
      <c r="CN257" s="29"/>
      <c r="CO257" s="29"/>
      <c r="CP257" s="29"/>
      <c r="CQ257" s="29"/>
      <c r="CR257" s="29"/>
      <c r="CS257" s="29"/>
      <c r="CT257" s="29"/>
      <c r="CU257" s="29"/>
      <c r="CV257" s="29"/>
      <c r="CW257" s="33"/>
    </row>
    <row r="258" spans="3:101">
      <c r="C258" s="29"/>
      <c r="D258" s="29"/>
      <c r="E258" s="29"/>
      <c r="F258" s="29"/>
      <c r="G258" s="29"/>
      <c r="H258" s="29"/>
      <c r="I258"/>
      <c r="J258"/>
      <c r="K258"/>
      <c r="L258"/>
      <c r="M258"/>
      <c r="N258"/>
      <c r="O258"/>
      <c r="P258"/>
      <c r="Q258"/>
      <c r="R258"/>
      <c r="AY258" s="29"/>
      <c r="AZ258" s="33"/>
      <c r="BA258" s="29"/>
      <c r="BB258" s="29"/>
      <c r="BC258" s="29"/>
      <c r="BD258" s="29"/>
      <c r="BE258" s="29"/>
      <c r="BF258" s="29"/>
      <c r="BG258" s="29"/>
      <c r="BH258" s="33"/>
      <c r="BI258" s="29"/>
      <c r="BJ258" s="29"/>
      <c r="BK258" s="29"/>
      <c r="BL258" s="29"/>
      <c r="BM258" s="29"/>
      <c r="BN258" s="29"/>
      <c r="BO258" s="29"/>
      <c r="BP258" s="29"/>
      <c r="BQ258" s="29"/>
      <c r="BR258" s="29"/>
      <c r="BS258" s="29"/>
      <c r="BT258" s="29"/>
      <c r="BU258" s="29"/>
      <c r="BV258" s="29"/>
      <c r="BW258" s="29"/>
      <c r="BX258" s="29"/>
      <c r="BY258" s="29"/>
      <c r="BZ258" s="29"/>
      <c r="CA258" s="29"/>
      <c r="CB258" s="29"/>
      <c r="CC258" s="29"/>
      <c r="CD258" s="33"/>
      <c r="CE258" s="29"/>
      <c r="CF258" s="29"/>
      <c r="CG258" s="29"/>
      <c r="CH258" s="29"/>
      <c r="CI258" s="29"/>
      <c r="CJ258" s="29"/>
      <c r="CK258" s="29"/>
      <c r="CL258" s="29"/>
      <c r="CM258" s="29"/>
      <c r="CN258" s="29"/>
      <c r="CO258" s="29"/>
      <c r="CP258" s="29"/>
      <c r="CQ258" s="29"/>
      <c r="CR258" s="29"/>
      <c r="CS258" s="29"/>
      <c r="CT258" s="29"/>
      <c r="CU258" s="29"/>
      <c r="CV258" s="29"/>
      <c r="CW258" s="33"/>
    </row>
    <row r="259" spans="3:101">
      <c r="C259" s="29"/>
      <c r="D259" s="29"/>
      <c r="E259" s="29"/>
      <c r="F259" s="29"/>
      <c r="G259" s="29"/>
      <c r="H259" s="29"/>
      <c r="I259"/>
      <c r="J259"/>
      <c r="K259"/>
      <c r="L259"/>
      <c r="M259"/>
      <c r="N259"/>
      <c r="O259"/>
      <c r="P259"/>
      <c r="Q259"/>
      <c r="R259"/>
      <c r="AY259" s="29"/>
      <c r="AZ259" s="33"/>
      <c r="BA259" s="29"/>
      <c r="BB259" s="29"/>
      <c r="BC259" s="29"/>
      <c r="BD259" s="29"/>
      <c r="BE259" s="29"/>
      <c r="BF259" s="29"/>
      <c r="BG259" s="29"/>
      <c r="BH259" s="33"/>
      <c r="BI259" s="29"/>
      <c r="BJ259" s="29"/>
      <c r="BK259" s="29"/>
      <c r="BL259" s="29"/>
      <c r="BM259" s="29"/>
      <c r="BN259" s="29"/>
      <c r="BO259" s="29"/>
      <c r="BP259" s="29"/>
      <c r="BQ259" s="29"/>
      <c r="BR259" s="29"/>
      <c r="BS259" s="29"/>
      <c r="BT259" s="29"/>
      <c r="BU259" s="29"/>
      <c r="BV259" s="29"/>
      <c r="BW259" s="29"/>
      <c r="BX259" s="29"/>
      <c r="BY259" s="29"/>
      <c r="BZ259" s="29"/>
      <c r="CA259" s="29"/>
      <c r="CB259" s="29"/>
      <c r="CC259" s="29"/>
      <c r="CD259" s="33"/>
      <c r="CE259" s="29"/>
      <c r="CF259" s="29"/>
      <c r="CG259" s="29"/>
      <c r="CH259" s="29"/>
      <c r="CI259" s="29"/>
      <c r="CJ259" s="29"/>
      <c r="CK259" s="29"/>
      <c r="CL259" s="29"/>
      <c r="CM259" s="29"/>
      <c r="CN259" s="29"/>
      <c r="CO259" s="29"/>
      <c r="CP259" s="29"/>
      <c r="CQ259" s="29"/>
      <c r="CR259" s="29"/>
      <c r="CS259" s="29"/>
      <c r="CT259" s="29"/>
      <c r="CU259" s="29"/>
      <c r="CV259" s="29"/>
      <c r="CW259" s="33"/>
    </row>
    <row r="260" spans="3:101">
      <c r="C260" s="29"/>
      <c r="D260" s="29"/>
      <c r="E260" s="29"/>
      <c r="F260" s="29"/>
      <c r="G260" s="29"/>
      <c r="H260" s="29"/>
      <c r="I260"/>
      <c r="J260"/>
      <c r="K260"/>
      <c r="L260"/>
      <c r="M260"/>
      <c r="N260"/>
      <c r="O260"/>
      <c r="P260"/>
      <c r="Q260"/>
      <c r="R260"/>
      <c r="AY260" s="29"/>
      <c r="AZ260" s="33"/>
      <c r="BA260" s="29"/>
      <c r="BB260" s="29"/>
      <c r="BC260" s="29"/>
      <c r="BD260" s="29"/>
      <c r="BE260" s="29"/>
      <c r="BF260" s="29"/>
      <c r="BG260" s="29"/>
      <c r="BH260" s="33"/>
      <c r="BI260" s="29"/>
      <c r="BJ260" s="29"/>
      <c r="BK260" s="29"/>
      <c r="BL260" s="29"/>
      <c r="BM260" s="29"/>
      <c r="BN260" s="29"/>
      <c r="BO260" s="29"/>
      <c r="BP260" s="29"/>
      <c r="BQ260" s="29"/>
      <c r="BR260" s="29"/>
      <c r="BS260" s="29"/>
      <c r="BT260" s="29"/>
      <c r="BU260" s="29"/>
      <c r="BV260" s="29"/>
      <c r="BW260" s="29"/>
      <c r="BX260" s="29"/>
      <c r="BY260" s="29"/>
      <c r="BZ260" s="29"/>
      <c r="CA260" s="29"/>
      <c r="CB260" s="29"/>
      <c r="CC260" s="29"/>
      <c r="CD260" s="33"/>
      <c r="CE260" s="29"/>
      <c r="CF260" s="29"/>
      <c r="CG260" s="29"/>
      <c r="CH260" s="29"/>
      <c r="CI260" s="29"/>
      <c r="CJ260" s="29"/>
      <c r="CK260" s="29"/>
      <c r="CL260" s="29"/>
      <c r="CM260" s="29"/>
      <c r="CN260" s="29"/>
      <c r="CO260" s="29"/>
      <c r="CP260" s="29"/>
      <c r="CQ260" s="29"/>
      <c r="CR260" s="29"/>
      <c r="CS260" s="29"/>
      <c r="CT260" s="29"/>
      <c r="CU260" s="29"/>
      <c r="CV260" s="29"/>
      <c r="CW260" s="33"/>
    </row>
    <row r="261" spans="3:101">
      <c r="C261" s="29"/>
      <c r="D261" s="29"/>
      <c r="E261" s="29"/>
      <c r="F261" s="29"/>
      <c r="G261" s="29"/>
      <c r="H261" s="29"/>
      <c r="I261"/>
      <c r="J261"/>
      <c r="K261"/>
      <c r="L261"/>
      <c r="M261"/>
      <c r="N261"/>
      <c r="O261"/>
      <c r="P261"/>
      <c r="Q261"/>
      <c r="R261"/>
      <c r="AY261" s="29"/>
      <c r="AZ261" s="33"/>
      <c r="BA261" s="29"/>
      <c r="BB261" s="29"/>
      <c r="BC261" s="29"/>
      <c r="BD261" s="29"/>
      <c r="BE261" s="29"/>
      <c r="BF261" s="29"/>
      <c r="BG261" s="29"/>
      <c r="BH261" s="33"/>
      <c r="BI261" s="29"/>
      <c r="BJ261" s="29"/>
      <c r="BK261" s="29"/>
      <c r="BL261" s="29"/>
      <c r="BM261" s="29"/>
      <c r="BN261" s="29"/>
      <c r="BO261" s="29"/>
      <c r="BP261" s="29"/>
      <c r="BQ261" s="29"/>
      <c r="BR261" s="29"/>
      <c r="BS261" s="29"/>
      <c r="BT261" s="29"/>
      <c r="BU261" s="29"/>
      <c r="BV261" s="29"/>
      <c r="BW261" s="29"/>
      <c r="BX261" s="29"/>
      <c r="BY261" s="29"/>
      <c r="BZ261" s="29"/>
      <c r="CA261" s="29"/>
      <c r="CB261" s="29"/>
      <c r="CC261" s="29"/>
      <c r="CD261" s="33"/>
      <c r="CE261" s="29"/>
      <c r="CF261" s="29"/>
      <c r="CG261" s="29"/>
      <c r="CH261" s="29"/>
      <c r="CI261" s="29"/>
      <c r="CJ261" s="29"/>
      <c r="CK261" s="29"/>
      <c r="CL261" s="29"/>
      <c r="CM261" s="29"/>
      <c r="CN261" s="29"/>
      <c r="CO261" s="29"/>
      <c r="CP261" s="29"/>
      <c r="CQ261" s="29"/>
      <c r="CR261" s="29"/>
      <c r="CS261" s="29"/>
      <c r="CT261" s="29"/>
      <c r="CU261" s="29"/>
      <c r="CV261" s="29"/>
      <c r="CW261" s="33"/>
    </row>
    <row r="262" spans="3:101">
      <c r="C262" s="29"/>
      <c r="D262" s="29"/>
      <c r="E262" s="29"/>
      <c r="F262" s="29"/>
      <c r="G262" s="29"/>
      <c r="H262" s="29"/>
      <c r="I262"/>
      <c r="J262"/>
      <c r="K262"/>
      <c r="L262"/>
      <c r="M262"/>
      <c r="N262"/>
      <c r="O262"/>
      <c r="P262"/>
      <c r="Q262"/>
      <c r="R262"/>
      <c r="AY262" s="29"/>
      <c r="AZ262" s="33"/>
      <c r="BA262" s="29"/>
      <c r="BB262" s="29"/>
      <c r="BC262" s="29"/>
      <c r="BD262" s="29"/>
      <c r="BE262" s="29"/>
      <c r="BF262" s="29"/>
      <c r="BG262" s="29"/>
      <c r="BH262" s="33"/>
      <c r="BI262" s="29"/>
      <c r="BJ262" s="29"/>
      <c r="BK262" s="29"/>
      <c r="BL262" s="29"/>
      <c r="BM262" s="29"/>
      <c r="BN262" s="29"/>
      <c r="BO262" s="29"/>
      <c r="BP262" s="29"/>
      <c r="BQ262" s="29"/>
      <c r="BR262" s="29"/>
      <c r="BS262" s="29"/>
      <c r="BT262" s="29"/>
      <c r="BU262" s="29"/>
      <c r="BV262" s="29"/>
      <c r="BW262" s="29"/>
      <c r="BX262" s="29"/>
      <c r="BY262" s="29"/>
      <c r="BZ262" s="29"/>
      <c r="CA262" s="29"/>
      <c r="CB262" s="29"/>
      <c r="CC262" s="29"/>
      <c r="CD262" s="33"/>
      <c r="CE262" s="29"/>
      <c r="CF262" s="29"/>
      <c r="CG262" s="29"/>
      <c r="CH262" s="29"/>
      <c r="CI262" s="29"/>
      <c r="CJ262" s="29"/>
      <c r="CK262" s="29"/>
      <c r="CL262" s="29"/>
      <c r="CM262" s="29"/>
      <c r="CN262" s="29"/>
      <c r="CO262" s="29"/>
      <c r="CP262" s="29"/>
      <c r="CQ262" s="29"/>
      <c r="CR262" s="29"/>
      <c r="CS262" s="29"/>
      <c r="CT262" s="29"/>
      <c r="CU262" s="29"/>
      <c r="CV262" s="29"/>
      <c r="CW262" s="33"/>
    </row>
    <row r="263" spans="3:101">
      <c r="C263" s="29"/>
      <c r="D263" s="29"/>
      <c r="E263" s="29"/>
      <c r="F263" s="29"/>
      <c r="G263" s="29"/>
      <c r="H263" s="29"/>
      <c r="I263"/>
      <c r="J263"/>
      <c r="K263"/>
      <c r="L263"/>
      <c r="M263"/>
      <c r="N263"/>
      <c r="O263"/>
      <c r="P263"/>
      <c r="Q263"/>
      <c r="R263"/>
      <c r="AY263" s="29"/>
      <c r="AZ263" s="33"/>
      <c r="BA263" s="29"/>
      <c r="BB263" s="29"/>
      <c r="BC263" s="29"/>
      <c r="BD263" s="29"/>
      <c r="BE263" s="29"/>
      <c r="BF263" s="29"/>
      <c r="BG263" s="29"/>
      <c r="BH263" s="33"/>
      <c r="BI263" s="29"/>
      <c r="BJ263" s="29"/>
      <c r="BK263" s="29"/>
      <c r="BL263" s="29"/>
      <c r="BM263" s="29"/>
      <c r="BN263" s="29"/>
      <c r="BO263" s="29"/>
      <c r="BP263" s="29"/>
      <c r="BQ263" s="29"/>
      <c r="BR263" s="29"/>
      <c r="BS263" s="29"/>
      <c r="BT263" s="29"/>
      <c r="BU263" s="29"/>
      <c r="BV263" s="29"/>
      <c r="BW263" s="29"/>
      <c r="BX263" s="29"/>
      <c r="BY263" s="29"/>
      <c r="BZ263" s="29"/>
      <c r="CA263" s="29"/>
      <c r="CB263" s="29"/>
      <c r="CC263" s="29"/>
      <c r="CD263" s="33"/>
      <c r="CE263" s="29"/>
      <c r="CF263" s="29"/>
      <c r="CG263" s="29"/>
      <c r="CH263" s="29"/>
      <c r="CI263" s="29"/>
      <c r="CJ263" s="29"/>
      <c r="CK263" s="29"/>
      <c r="CL263" s="29"/>
      <c r="CM263" s="29"/>
      <c r="CN263" s="29"/>
      <c r="CO263" s="29"/>
      <c r="CP263" s="29"/>
      <c r="CQ263" s="29"/>
      <c r="CR263" s="29"/>
      <c r="CS263" s="29"/>
      <c r="CT263" s="29"/>
      <c r="CU263" s="29"/>
      <c r="CV263" s="29"/>
      <c r="CW263" s="33"/>
    </row>
    <row r="264" spans="3:101">
      <c r="C264" s="29"/>
      <c r="D264" s="29"/>
      <c r="E264" s="29"/>
      <c r="F264" s="29"/>
      <c r="G264" s="29"/>
      <c r="H264" s="29"/>
      <c r="I264"/>
      <c r="J264"/>
      <c r="K264"/>
      <c r="L264"/>
      <c r="M264"/>
      <c r="N264"/>
      <c r="O264"/>
      <c r="P264"/>
      <c r="Q264"/>
      <c r="R264"/>
      <c r="AY264" s="29"/>
      <c r="AZ264" s="29"/>
      <c r="BA264" s="29"/>
      <c r="BB264" s="29"/>
      <c r="BC264" s="29"/>
      <c r="BD264" s="29"/>
      <c r="BE264" s="29"/>
      <c r="BF264" s="29"/>
      <c r="BG264" s="29"/>
      <c r="BH264" s="29"/>
      <c r="BI264" s="29"/>
      <c r="BJ264" s="29"/>
      <c r="BK264" s="29"/>
      <c r="BL264" s="29"/>
      <c r="BM264" s="29"/>
      <c r="BN264" s="29"/>
      <c r="BO264" s="29"/>
      <c r="BP264" s="29"/>
      <c r="BQ264" s="29"/>
      <c r="BR264" s="29"/>
      <c r="BS264" s="29"/>
      <c r="BT264" s="29"/>
      <c r="BU264" s="29"/>
      <c r="BV264" s="29"/>
      <c r="BW264" s="29"/>
      <c r="BX264" s="29"/>
      <c r="BY264" s="29"/>
      <c r="BZ264" s="29"/>
      <c r="CA264" s="29"/>
      <c r="CB264" s="29"/>
      <c r="CC264" s="29"/>
      <c r="CD264" s="29"/>
      <c r="CE264" s="29"/>
      <c r="CF264" s="29"/>
      <c r="CG264" s="29"/>
      <c r="CH264" s="29"/>
      <c r="CI264" s="29"/>
      <c r="CJ264" s="29"/>
      <c r="CK264" s="29"/>
      <c r="CL264" s="29"/>
      <c r="CM264" s="29"/>
      <c r="CN264" s="29"/>
      <c r="CO264" s="29"/>
      <c r="CP264" s="29"/>
      <c r="CQ264" s="29"/>
      <c r="CR264" s="29"/>
      <c r="CS264" s="29"/>
      <c r="CT264" s="29"/>
      <c r="CU264" s="29"/>
      <c r="CV264" s="29"/>
      <c r="CW264" s="29"/>
    </row>
    <row r="265" spans="3:101" customFormat="1"/>
    <row r="266" spans="3:101" customFormat="1"/>
    <row r="267" spans="3:101" customFormat="1"/>
    <row r="268" spans="3:101" customFormat="1"/>
    <row r="269" spans="3:101" customFormat="1"/>
    <row r="270" spans="3:101" customFormat="1"/>
    <row r="271" spans="3:101" customFormat="1"/>
    <row r="272" spans="3:101"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spans="9:18" customFormat="1"/>
    <row r="418" spans="9:18" customFormat="1"/>
    <row r="419" spans="9:18" customFormat="1"/>
    <row r="420" spans="9:18" customFormat="1"/>
    <row r="421" spans="9:18" customFormat="1"/>
    <row r="422" spans="9:18" customFormat="1"/>
    <row r="423" spans="9:18" customFormat="1"/>
    <row r="424" spans="9:18" customFormat="1">
      <c r="I424" s="7"/>
      <c r="J424" s="7"/>
      <c r="K424" s="7"/>
      <c r="L424" s="7"/>
      <c r="M424" s="7"/>
      <c r="N424" s="7"/>
      <c r="O424" s="7"/>
      <c r="P424" s="7"/>
      <c r="Q424" s="7"/>
      <c r="R424" s="7"/>
    </row>
    <row r="425" spans="9:18" customFormat="1">
      <c r="I425" s="7"/>
      <c r="J425" s="7"/>
      <c r="K425" s="7"/>
      <c r="L425" s="7"/>
      <c r="M425" s="7"/>
      <c r="N425" s="7"/>
      <c r="O425" s="7"/>
      <c r="P425" s="7"/>
      <c r="Q425" s="7"/>
      <c r="R425" s="7"/>
    </row>
    <row r="426" spans="9:18" customFormat="1">
      <c r="I426" s="7"/>
      <c r="J426" s="7"/>
      <c r="K426" s="7"/>
      <c r="L426" s="7"/>
      <c r="M426" s="7"/>
      <c r="N426" s="7"/>
      <c r="O426" s="7"/>
      <c r="P426" s="7"/>
      <c r="Q426" s="7"/>
      <c r="R426" s="7"/>
    </row>
    <row r="427" spans="9:18" customFormat="1">
      <c r="I427" s="7"/>
      <c r="J427" s="7"/>
      <c r="K427" s="7"/>
      <c r="L427" s="7"/>
      <c r="M427" s="7"/>
      <c r="N427" s="7"/>
      <c r="O427" s="7"/>
      <c r="P427" s="7"/>
      <c r="Q427" s="7"/>
      <c r="R427" s="7"/>
    </row>
    <row r="428" spans="9:18" customFormat="1">
      <c r="I428" s="7"/>
      <c r="J428" s="7"/>
      <c r="K428" s="7"/>
      <c r="L428" s="7"/>
      <c r="M428" s="7"/>
      <c r="N428" s="7"/>
      <c r="O428" s="7"/>
      <c r="P428" s="7"/>
      <c r="Q428" s="7"/>
      <c r="R428" s="7"/>
    </row>
    <row r="429" spans="9:18" customFormat="1">
      <c r="I429" s="7"/>
      <c r="J429" s="7"/>
      <c r="K429" s="7"/>
      <c r="L429" s="7"/>
      <c r="M429" s="7"/>
      <c r="N429" s="7"/>
      <c r="O429" s="7"/>
      <c r="P429" s="7"/>
      <c r="Q429" s="7"/>
      <c r="R429" s="7"/>
    </row>
    <row r="430" spans="9:18" customFormat="1">
      <c r="I430" s="7"/>
      <c r="J430" s="7"/>
      <c r="K430" s="7"/>
      <c r="L430" s="7"/>
      <c r="M430" s="7"/>
      <c r="N430" s="7"/>
      <c r="O430" s="7"/>
      <c r="P430" s="7"/>
      <c r="Q430" s="7"/>
      <c r="R430" s="7"/>
    </row>
    <row r="431" spans="9:18" customFormat="1">
      <c r="I431" s="7"/>
      <c r="J431" s="7"/>
      <c r="K431" s="7"/>
      <c r="L431" s="7"/>
      <c r="M431" s="7"/>
      <c r="N431" s="7"/>
      <c r="O431" s="7"/>
      <c r="P431" s="7"/>
      <c r="Q431" s="7"/>
      <c r="R431" s="7"/>
    </row>
    <row r="432" spans="9:18" customFormat="1">
      <c r="I432" s="7"/>
      <c r="J432" s="7"/>
      <c r="K432" s="7"/>
      <c r="L432" s="7"/>
      <c r="M432" s="7"/>
      <c r="N432" s="7"/>
      <c r="O432" s="7"/>
      <c r="P432" s="7"/>
      <c r="Q432" s="7"/>
      <c r="R432" s="7"/>
    </row>
    <row r="433" spans="3:101" customFormat="1">
      <c r="I433" s="7"/>
      <c r="J433" s="7"/>
      <c r="K433" s="7"/>
      <c r="L433" s="7"/>
      <c r="M433" s="7"/>
      <c r="N433" s="7"/>
      <c r="O433" s="7"/>
      <c r="P433" s="7"/>
      <c r="Q433" s="7"/>
      <c r="R433" s="7"/>
    </row>
    <row r="434" spans="3:101" customFormat="1">
      <c r="I434" s="7"/>
      <c r="J434" s="7"/>
      <c r="K434" s="7"/>
      <c r="L434" s="7"/>
      <c r="M434" s="7"/>
      <c r="N434" s="7"/>
      <c r="O434" s="7"/>
      <c r="P434" s="7"/>
      <c r="Q434" s="7"/>
      <c r="R434" s="7"/>
    </row>
    <row r="435" spans="3:101" customFormat="1">
      <c r="I435" s="7"/>
      <c r="J435" s="7"/>
      <c r="K435" s="7"/>
      <c r="L435" s="7"/>
      <c r="M435" s="7"/>
      <c r="N435" s="7"/>
      <c r="O435" s="7"/>
      <c r="P435" s="7"/>
      <c r="Q435" s="7"/>
      <c r="R435" s="7"/>
    </row>
    <row r="436" spans="3:101" customFormat="1">
      <c r="I436" s="7"/>
      <c r="J436" s="7"/>
      <c r="K436" s="7"/>
      <c r="L436" s="7"/>
      <c r="M436" s="7"/>
      <c r="N436" s="7"/>
      <c r="O436" s="7"/>
      <c r="P436" s="7"/>
      <c r="Q436" s="7"/>
      <c r="R436" s="7"/>
    </row>
    <row r="437" spans="3:101" customFormat="1">
      <c r="I437" s="7"/>
      <c r="J437" s="7"/>
      <c r="K437" s="7"/>
      <c r="L437" s="7"/>
      <c r="M437" s="7"/>
      <c r="N437" s="7"/>
      <c r="O437" s="7"/>
      <c r="P437" s="7"/>
      <c r="Q437" s="7"/>
      <c r="R437" s="7"/>
    </row>
    <row r="438" spans="3:101" customFormat="1">
      <c r="I438" s="7"/>
      <c r="J438" s="7"/>
      <c r="K438" s="7"/>
      <c r="L438" s="7"/>
      <c r="M438" s="7"/>
      <c r="N438" s="7"/>
      <c r="O438" s="7"/>
      <c r="P438" s="7"/>
      <c r="Q438" s="7"/>
      <c r="R438" s="7"/>
    </row>
    <row r="439" spans="3:101" customFormat="1">
      <c r="I439" s="7"/>
      <c r="J439" s="7"/>
      <c r="K439" s="7"/>
      <c r="L439" s="7"/>
      <c r="M439" s="7"/>
      <c r="N439" s="7"/>
      <c r="O439" s="7"/>
      <c r="P439" s="7"/>
      <c r="Q439" s="7"/>
      <c r="R439" s="7"/>
    </row>
    <row r="440" spans="3:101" customFormat="1">
      <c r="I440" s="7"/>
      <c r="J440" s="7"/>
      <c r="K440" s="7"/>
      <c r="L440" s="7"/>
      <c r="M440" s="7"/>
      <c r="N440" s="7"/>
      <c r="O440" s="7"/>
      <c r="P440" s="7"/>
      <c r="Q440" s="7"/>
      <c r="R440" s="7"/>
    </row>
    <row r="441" spans="3:101" customFormat="1">
      <c r="I441" s="7"/>
      <c r="J441" s="7"/>
      <c r="K441" s="7"/>
      <c r="L441" s="7"/>
      <c r="M441" s="7"/>
      <c r="N441" s="7"/>
      <c r="O441" s="7"/>
      <c r="P441" s="7"/>
      <c r="Q441" s="7"/>
      <c r="R441" s="7"/>
    </row>
    <row r="442" spans="3:101">
      <c r="C442" s="29"/>
      <c r="D442" s="29"/>
      <c r="E442" s="29"/>
      <c r="F442" s="29"/>
      <c r="G442" s="29"/>
      <c r="H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c r="CA442" s="29"/>
      <c r="CB442" s="29"/>
      <c r="CC442" s="29"/>
      <c r="CD442" s="29"/>
      <c r="CE442" s="29"/>
      <c r="CF442" s="29"/>
      <c r="CG442" s="29"/>
      <c r="CH442" s="29"/>
      <c r="CI442" s="29"/>
      <c r="CJ442" s="29"/>
      <c r="CK442" s="29"/>
      <c r="CL442" s="29"/>
      <c r="CM442" s="29"/>
      <c r="CN442" s="29"/>
      <c r="CO442" s="29"/>
      <c r="CP442" s="29"/>
      <c r="CQ442" s="29"/>
      <c r="CR442" s="29"/>
      <c r="CS442" s="29"/>
      <c r="CT442" s="29"/>
      <c r="CU442" s="29"/>
      <c r="CV442" s="29"/>
      <c r="CW442" s="29"/>
    </row>
    <row r="443" spans="3:101">
      <c r="C443" s="29"/>
      <c r="D443" s="29"/>
      <c r="E443" s="29"/>
      <c r="F443" s="29"/>
      <c r="G443" s="29"/>
      <c r="H443" s="29"/>
      <c r="AY443" s="29"/>
      <c r="AZ443" s="29"/>
      <c r="BA443" s="29"/>
      <c r="BB443" s="29"/>
      <c r="BC443" s="29"/>
      <c r="BD443" s="29"/>
      <c r="BE443" s="29"/>
      <c r="BF443" s="29"/>
      <c r="BG443" s="29"/>
      <c r="BH443" s="29"/>
      <c r="BI443" s="29"/>
      <c r="BJ443" s="29"/>
      <c r="BK443" s="29"/>
      <c r="BL443" s="29"/>
      <c r="BM443" s="29"/>
      <c r="BN443" s="29"/>
      <c r="BO443" s="29"/>
      <c r="BP443" s="29"/>
      <c r="BQ443" s="29"/>
      <c r="BR443" s="29"/>
      <c r="BS443" s="29"/>
      <c r="BT443" s="29"/>
      <c r="BU443" s="29"/>
      <c r="BV443" s="29"/>
      <c r="BW443" s="29"/>
      <c r="BX443" s="29"/>
      <c r="BY443" s="29"/>
      <c r="BZ443" s="29"/>
      <c r="CA443" s="29"/>
      <c r="CB443" s="29"/>
      <c r="CC443" s="29"/>
      <c r="CD443" s="29"/>
      <c r="CE443" s="29"/>
      <c r="CF443" s="29"/>
      <c r="CG443" s="29"/>
      <c r="CH443" s="29"/>
      <c r="CI443" s="29"/>
      <c r="CJ443" s="29"/>
      <c r="CK443" s="29"/>
      <c r="CL443" s="29"/>
      <c r="CM443" s="29"/>
      <c r="CN443" s="29"/>
      <c r="CO443" s="29"/>
      <c r="CP443" s="29"/>
      <c r="CQ443" s="29"/>
      <c r="CR443" s="29"/>
      <c r="CS443" s="29"/>
      <c r="CT443" s="29"/>
      <c r="CU443" s="29"/>
      <c r="CV443" s="29"/>
      <c r="CW443" s="29"/>
    </row>
    <row r="444" spans="3:101">
      <c r="C444" s="29"/>
      <c r="D444" s="29"/>
      <c r="E444" s="29"/>
      <c r="F444" s="29"/>
      <c r="G444" s="29"/>
      <c r="H444" s="29"/>
      <c r="AY444" s="29"/>
      <c r="AZ444" s="29"/>
      <c r="BA444" s="29"/>
      <c r="BB444" s="29"/>
      <c r="BC444" s="29"/>
      <c r="BD444" s="29"/>
      <c r="BE444" s="29"/>
      <c r="BF444" s="29"/>
      <c r="BG444" s="29"/>
      <c r="BH444" s="29"/>
      <c r="BI444" s="29"/>
      <c r="BJ444" s="29"/>
      <c r="BK444" s="29"/>
      <c r="BL444" s="29"/>
      <c r="BM444" s="29"/>
      <c r="BN444" s="29"/>
      <c r="BO444" s="29"/>
      <c r="BP444" s="29"/>
      <c r="BQ444" s="29"/>
      <c r="BR444" s="29"/>
      <c r="BS444" s="29"/>
      <c r="BT444" s="29"/>
      <c r="BU444" s="29"/>
      <c r="BV444" s="29"/>
      <c r="BW444" s="29"/>
      <c r="BX444" s="29"/>
      <c r="BY444" s="29"/>
      <c r="BZ444" s="29"/>
      <c r="CA444" s="29"/>
      <c r="CB444" s="29"/>
      <c r="CC444" s="29"/>
      <c r="CD444" s="29"/>
      <c r="CE444" s="29"/>
      <c r="CF444" s="29"/>
      <c r="CG444" s="29"/>
      <c r="CH444" s="29"/>
      <c r="CI444" s="29"/>
      <c r="CJ444" s="29"/>
      <c r="CK444" s="29"/>
      <c r="CL444" s="29"/>
      <c r="CM444" s="29"/>
      <c r="CN444" s="29"/>
      <c r="CO444" s="29"/>
      <c r="CP444" s="29"/>
      <c r="CQ444" s="29"/>
      <c r="CR444" s="29"/>
      <c r="CS444" s="29"/>
      <c r="CT444" s="29"/>
      <c r="CU444" s="29"/>
      <c r="CV444" s="29"/>
      <c r="CW444" s="29"/>
    </row>
    <row r="445" spans="3:101">
      <c r="C445" s="29"/>
      <c r="D445" s="29"/>
      <c r="E445" s="29"/>
      <c r="F445" s="29"/>
      <c r="G445" s="29"/>
      <c r="H445" s="29"/>
      <c r="AY445" s="29"/>
      <c r="AZ445" s="29"/>
      <c r="BA445" s="29"/>
      <c r="BB445" s="29"/>
      <c r="BC445" s="29"/>
      <c r="BD445" s="29"/>
      <c r="BE445" s="29"/>
      <c r="BF445" s="29"/>
      <c r="BG445" s="29"/>
      <c r="BH445" s="29"/>
      <c r="BI445" s="29"/>
      <c r="BJ445" s="29"/>
      <c r="BK445" s="29"/>
      <c r="BL445" s="29"/>
      <c r="BM445" s="29"/>
      <c r="BN445" s="29"/>
      <c r="BO445" s="29"/>
      <c r="BP445" s="29"/>
      <c r="BQ445" s="29"/>
      <c r="BR445" s="29"/>
      <c r="BS445" s="29"/>
      <c r="BT445" s="29"/>
      <c r="BU445" s="29"/>
      <c r="BV445" s="29"/>
      <c r="BW445" s="29"/>
      <c r="BX445" s="29"/>
      <c r="BY445" s="29"/>
      <c r="BZ445" s="29"/>
      <c r="CA445" s="29"/>
      <c r="CB445" s="29"/>
      <c r="CC445" s="29"/>
      <c r="CD445" s="29"/>
      <c r="CE445" s="29"/>
      <c r="CF445" s="29"/>
      <c r="CG445" s="29"/>
      <c r="CH445" s="29"/>
      <c r="CI445" s="29"/>
      <c r="CJ445" s="29"/>
      <c r="CK445" s="29"/>
      <c r="CL445" s="29"/>
      <c r="CM445" s="29"/>
      <c r="CN445" s="29"/>
      <c r="CO445" s="29"/>
      <c r="CP445" s="29"/>
      <c r="CQ445" s="29"/>
      <c r="CR445" s="29"/>
      <c r="CS445" s="29"/>
      <c r="CT445" s="29"/>
      <c r="CU445" s="29"/>
      <c r="CV445" s="29"/>
      <c r="CW445" s="29"/>
    </row>
    <row r="446" spans="3:101">
      <c r="C446" s="29"/>
      <c r="D446" s="29"/>
      <c r="E446" s="29"/>
      <c r="F446" s="29"/>
      <c r="G446" s="29"/>
      <c r="H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29"/>
      <c r="CC446" s="29"/>
      <c r="CD446" s="29"/>
      <c r="CE446" s="29"/>
      <c r="CF446" s="29"/>
      <c r="CG446" s="29"/>
      <c r="CH446" s="29"/>
      <c r="CI446" s="29"/>
      <c r="CJ446" s="29"/>
      <c r="CK446" s="29"/>
      <c r="CL446" s="29"/>
      <c r="CM446" s="29"/>
      <c r="CN446" s="29"/>
      <c r="CO446" s="29"/>
      <c r="CP446" s="29"/>
      <c r="CQ446" s="29"/>
      <c r="CR446" s="29"/>
      <c r="CS446" s="29"/>
      <c r="CT446" s="29"/>
      <c r="CU446" s="29"/>
      <c r="CV446" s="29"/>
      <c r="CW446" s="29"/>
    </row>
    <row r="447" spans="3:101">
      <c r="C447" s="29"/>
      <c r="D447" s="29"/>
      <c r="E447" s="29"/>
      <c r="F447" s="29"/>
      <c r="G447" s="29"/>
      <c r="H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c r="CA447" s="29"/>
      <c r="CB447" s="29"/>
      <c r="CC447" s="29"/>
      <c r="CD447" s="29"/>
      <c r="CE447" s="29"/>
      <c r="CF447" s="29"/>
      <c r="CG447" s="29"/>
      <c r="CH447" s="29"/>
      <c r="CI447" s="29"/>
      <c r="CJ447" s="29"/>
      <c r="CK447" s="29"/>
      <c r="CL447" s="29"/>
      <c r="CM447" s="29"/>
      <c r="CN447" s="29"/>
      <c r="CO447" s="29"/>
      <c r="CP447" s="29"/>
      <c r="CQ447" s="29"/>
      <c r="CR447" s="29"/>
      <c r="CS447" s="29"/>
      <c r="CT447" s="29"/>
      <c r="CU447" s="29"/>
      <c r="CV447" s="29"/>
      <c r="CW447" s="29"/>
    </row>
    <row r="448" spans="3:101">
      <c r="C448" s="29"/>
      <c r="D448" s="29"/>
      <c r="E448" s="29"/>
      <c r="F448" s="29"/>
      <c r="G448" s="29"/>
      <c r="H448" s="29"/>
      <c r="AY448" s="29"/>
      <c r="AZ448" s="29"/>
      <c r="BA448" s="29"/>
      <c r="BB448" s="29"/>
      <c r="BC448" s="29"/>
      <c r="BD448" s="29"/>
      <c r="BE448" s="29"/>
      <c r="BF448" s="29"/>
      <c r="BG448" s="29"/>
      <c r="BH448" s="29"/>
      <c r="BI448" s="29"/>
      <c r="BJ448" s="29"/>
      <c r="BK448" s="29"/>
      <c r="BL448" s="29"/>
      <c r="BM448" s="29"/>
      <c r="BN448" s="29"/>
      <c r="BO448" s="29"/>
      <c r="BP448" s="29"/>
      <c r="BQ448" s="29"/>
      <c r="BR448" s="29"/>
      <c r="BS448" s="29"/>
      <c r="BT448" s="29"/>
      <c r="BU448" s="29"/>
      <c r="BV448" s="29"/>
      <c r="BW448" s="29"/>
      <c r="BX448" s="29"/>
      <c r="BY448" s="29"/>
      <c r="BZ448" s="29"/>
      <c r="CA448" s="29"/>
      <c r="CB448" s="29"/>
      <c r="CC448" s="29"/>
      <c r="CD448" s="29"/>
      <c r="CE448" s="29"/>
      <c r="CF448" s="29"/>
      <c r="CG448" s="29"/>
      <c r="CH448" s="29"/>
      <c r="CI448" s="29"/>
      <c r="CJ448" s="29"/>
      <c r="CK448" s="29"/>
      <c r="CL448" s="29"/>
      <c r="CM448" s="29"/>
      <c r="CN448" s="29"/>
      <c r="CO448" s="29"/>
      <c r="CP448" s="29"/>
      <c r="CQ448" s="29"/>
      <c r="CR448" s="29"/>
      <c r="CS448" s="29"/>
      <c r="CT448" s="29"/>
      <c r="CU448" s="29"/>
      <c r="CV448" s="29"/>
      <c r="CW448" s="29"/>
    </row>
    <row r="449" spans="3:101">
      <c r="C449" s="29"/>
      <c r="D449" s="29"/>
      <c r="E449" s="29"/>
      <c r="F449" s="29"/>
      <c r="G449" s="29"/>
      <c r="H449" s="29"/>
      <c r="AY449" s="29"/>
      <c r="AZ449" s="29"/>
      <c r="BA449" s="29"/>
      <c r="BB449" s="29"/>
      <c r="BC449" s="29"/>
      <c r="BD449" s="29"/>
      <c r="BE449" s="29"/>
      <c r="BF449" s="29"/>
      <c r="BG449" s="29"/>
      <c r="BH449" s="29"/>
      <c r="BI449" s="29"/>
      <c r="BJ449" s="29"/>
      <c r="BK449" s="29"/>
      <c r="BL449" s="29"/>
      <c r="BM449" s="29"/>
      <c r="BN449" s="29"/>
      <c r="BO449" s="29"/>
      <c r="BP449" s="29"/>
      <c r="BQ449" s="29"/>
      <c r="BR449" s="29"/>
      <c r="BS449" s="29"/>
      <c r="BT449" s="29"/>
      <c r="BU449" s="29"/>
      <c r="BV449" s="29"/>
      <c r="BW449" s="29"/>
      <c r="BX449" s="29"/>
      <c r="BY449" s="29"/>
      <c r="BZ449" s="29"/>
      <c r="CA449" s="29"/>
      <c r="CB449" s="29"/>
      <c r="CC449" s="29"/>
      <c r="CD449" s="29"/>
      <c r="CE449" s="29"/>
      <c r="CF449" s="29"/>
      <c r="CG449" s="29"/>
      <c r="CH449" s="29"/>
      <c r="CI449" s="29"/>
      <c r="CJ449" s="29"/>
      <c r="CK449" s="29"/>
      <c r="CL449" s="29"/>
      <c r="CM449" s="29"/>
      <c r="CN449" s="29"/>
      <c r="CO449" s="29"/>
      <c r="CP449" s="29"/>
      <c r="CQ449" s="29"/>
      <c r="CR449" s="29"/>
      <c r="CS449" s="29"/>
      <c r="CT449" s="29"/>
      <c r="CU449" s="29"/>
      <c r="CV449" s="29"/>
      <c r="CW449" s="29"/>
    </row>
    <row r="450" spans="3:101">
      <c r="C450" s="29"/>
      <c r="D450" s="29"/>
      <c r="E450" s="29"/>
      <c r="F450" s="29"/>
      <c r="G450" s="29"/>
      <c r="H450" s="29"/>
      <c r="AY450" s="29"/>
      <c r="AZ450" s="29"/>
      <c r="BA450" s="29"/>
      <c r="BB450" s="29"/>
      <c r="BC450" s="29"/>
      <c r="BD450" s="29"/>
      <c r="BE450" s="29"/>
      <c r="BF450" s="29"/>
      <c r="BG450" s="29"/>
      <c r="BH450" s="29"/>
      <c r="BI450" s="29"/>
      <c r="BJ450" s="29"/>
      <c r="BK450" s="29"/>
      <c r="BL450" s="29"/>
      <c r="BM450" s="29"/>
      <c r="BN450" s="29"/>
      <c r="BO450" s="29"/>
      <c r="BP450" s="29"/>
      <c r="BQ450" s="29"/>
      <c r="BR450" s="29"/>
      <c r="BS450" s="29"/>
      <c r="BT450" s="29"/>
      <c r="BU450" s="29"/>
      <c r="BV450" s="29"/>
      <c r="BW450" s="29"/>
      <c r="BX450" s="29"/>
      <c r="BY450" s="29"/>
      <c r="BZ450" s="29"/>
      <c r="CA450" s="29"/>
      <c r="CB450" s="29"/>
      <c r="CC450" s="29"/>
      <c r="CD450" s="29"/>
      <c r="CE450" s="29"/>
      <c r="CF450" s="29"/>
      <c r="CG450" s="29"/>
      <c r="CH450" s="29"/>
      <c r="CI450" s="29"/>
      <c r="CJ450" s="29"/>
      <c r="CK450" s="29"/>
      <c r="CL450" s="29"/>
      <c r="CM450" s="29"/>
      <c r="CN450" s="29"/>
      <c r="CO450" s="29"/>
      <c r="CP450" s="29"/>
      <c r="CQ450" s="29"/>
      <c r="CR450" s="29"/>
      <c r="CS450" s="29"/>
      <c r="CT450" s="29"/>
      <c r="CU450" s="29"/>
      <c r="CV450" s="29"/>
      <c r="CW450" s="29"/>
    </row>
    <row r="451" spans="3:101">
      <c r="C451" s="29"/>
      <c r="D451" s="29"/>
      <c r="E451" s="29"/>
      <c r="F451" s="29"/>
      <c r="G451" s="29"/>
      <c r="H451" s="29"/>
      <c r="AY451" s="29"/>
      <c r="AZ451" s="29"/>
      <c r="BA451" s="29"/>
      <c r="BB451" s="29"/>
      <c r="BC451" s="29"/>
      <c r="BD451" s="29"/>
      <c r="BE451" s="29"/>
      <c r="BF451" s="29"/>
      <c r="BG451" s="29"/>
      <c r="BH451" s="29"/>
      <c r="BI451" s="29"/>
      <c r="BJ451" s="29"/>
      <c r="BK451" s="29"/>
      <c r="BL451" s="29"/>
      <c r="BM451" s="29"/>
      <c r="BN451" s="29"/>
      <c r="BO451" s="29"/>
      <c r="BP451" s="29"/>
      <c r="BQ451" s="29"/>
      <c r="BR451" s="29"/>
      <c r="BS451" s="29"/>
      <c r="BT451" s="29"/>
      <c r="BU451" s="29"/>
      <c r="BV451" s="29"/>
      <c r="BW451" s="29"/>
      <c r="BX451" s="29"/>
      <c r="BY451" s="29"/>
      <c r="BZ451" s="29"/>
      <c r="CA451" s="29"/>
      <c r="CB451" s="29"/>
      <c r="CC451" s="29"/>
      <c r="CD451" s="29"/>
      <c r="CE451" s="29"/>
      <c r="CF451" s="29"/>
      <c r="CG451" s="29"/>
      <c r="CH451" s="29"/>
      <c r="CI451" s="29"/>
      <c r="CJ451" s="29"/>
      <c r="CK451" s="29"/>
      <c r="CL451" s="29"/>
      <c r="CM451" s="29"/>
      <c r="CN451" s="29"/>
      <c r="CO451" s="29"/>
      <c r="CP451" s="29"/>
      <c r="CQ451" s="29"/>
      <c r="CR451" s="29"/>
      <c r="CS451" s="29"/>
      <c r="CT451" s="29"/>
      <c r="CU451" s="29"/>
      <c r="CV451" s="29"/>
      <c r="CW451" s="29"/>
    </row>
    <row r="452" spans="3:101">
      <c r="C452" s="29"/>
      <c r="D452" s="29"/>
      <c r="E452" s="29"/>
      <c r="F452" s="29"/>
      <c r="G452" s="29"/>
      <c r="H452" s="29"/>
      <c r="AY452" s="29"/>
      <c r="AZ452" s="29"/>
      <c r="BA452" s="29"/>
      <c r="BB452" s="29"/>
      <c r="BC452" s="29"/>
      <c r="BD452" s="29"/>
      <c r="BE452" s="29"/>
      <c r="BF452" s="29"/>
      <c r="BG452" s="29"/>
      <c r="BH452" s="29"/>
      <c r="BI452" s="29"/>
      <c r="BJ452" s="29"/>
      <c r="BK452" s="29"/>
      <c r="BL452" s="29"/>
      <c r="BM452" s="29"/>
      <c r="BN452" s="29"/>
      <c r="BO452" s="29"/>
      <c r="BP452" s="29"/>
      <c r="BQ452" s="29"/>
      <c r="BR452" s="29"/>
      <c r="BS452" s="29"/>
      <c r="BT452" s="29"/>
      <c r="BU452" s="29"/>
      <c r="BV452" s="29"/>
      <c r="BW452" s="29"/>
      <c r="BX452" s="29"/>
      <c r="BY452" s="29"/>
      <c r="BZ452" s="29"/>
      <c r="CA452" s="29"/>
      <c r="CB452" s="29"/>
      <c r="CC452" s="29"/>
      <c r="CD452" s="29"/>
      <c r="CE452" s="29"/>
      <c r="CF452" s="29"/>
      <c r="CG452" s="29"/>
      <c r="CH452" s="29"/>
      <c r="CI452" s="29"/>
      <c r="CJ452" s="29"/>
      <c r="CK452" s="29"/>
      <c r="CL452" s="29"/>
      <c r="CM452" s="29"/>
      <c r="CN452" s="29"/>
      <c r="CO452" s="29"/>
      <c r="CP452" s="29"/>
      <c r="CQ452" s="29"/>
      <c r="CR452" s="29"/>
      <c r="CS452" s="29"/>
      <c r="CT452" s="29"/>
      <c r="CU452" s="29"/>
      <c r="CV452" s="29"/>
      <c r="CW452" s="29"/>
    </row>
    <row r="453" spans="3:101">
      <c r="C453" s="29"/>
      <c r="D453" s="29"/>
      <c r="E453" s="29"/>
      <c r="F453" s="29"/>
      <c r="G453" s="29"/>
      <c r="H453" s="29"/>
      <c r="AY453" s="29"/>
      <c r="AZ453" s="29"/>
      <c r="BA453" s="29"/>
      <c r="BB453" s="29"/>
      <c r="BC453" s="29"/>
      <c r="BD453" s="29"/>
      <c r="BE453" s="29"/>
      <c r="BF453" s="29"/>
      <c r="BG453" s="29"/>
      <c r="BH453" s="29"/>
      <c r="BI453" s="29"/>
      <c r="BJ453" s="29"/>
      <c r="BK453" s="29"/>
      <c r="BL453" s="29"/>
      <c r="BM453" s="29"/>
      <c r="BN453" s="29"/>
      <c r="BO453" s="29"/>
      <c r="BP453" s="29"/>
      <c r="BQ453" s="29"/>
      <c r="BR453" s="29"/>
      <c r="BS453" s="29"/>
      <c r="BT453" s="29"/>
      <c r="BU453" s="29"/>
      <c r="BV453" s="29"/>
      <c r="BW453" s="29"/>
      <c r="BX453" s="29"/>
      <c r="BY453" s="29"/>
      <c r="BZ453" s="29"/>
      <c r="CA453" s="29"/>
      <c r="CB453" s="29"/>
      <c r="CC453" s="29"/>
      <c r="CD453" s="29"/>
      <c r="CE453" s="29"/>
      <c r="CF453" s="29"/>
      <c r="CG453" s="29"/>
      <c r="CH453" s="29"/>
      <c r="CI453" s="29"/>
      <c r="CJ453" s="29"/>
      <c r="CK453" s="29"/>
      <c r="CL453" s="29"/>
      <c r="CM453" s="29"/>
      <c r="CN453" s="29"/>
      <c r="CO453" s="29"/>
      <c r="CP453" s="29"/>
      <c r="CQ453" s="29"/>
      <c r="CR453" s="29"/>
      <c r="CS453" s="29"/>
      <c r="CT453" s="29"/>
      <c r="CU453" s="29"/>
      <c r="CV453" s="29"/>
      <c r="CW453" s="29"/>
    </row>
    <row r="454" spans="3:101">
      <c r="C454" s="29"/>
      <c r="D454" s="29"/>
      <c r="E454" s="29"/>
      <c r="F454" s="29"/>
      <c r="G454" s="29"/>
      <c r="H454" s="29"/>
      <c r="AY454" s="29"/>
      <c r="AZ454" s="29"/>
      <c r="BA454" s="29"/>
      <c r="BB454" s="29"/>
      <c r="BC454" s="29"/>
      <c r="BD454" s="29"/>
      <c r="BE454" s="29"/>
      <c r="BF454" s="29"/>
      <c r="BG454" s="29"/>
      <c r="BH454" s="29"/>
      <c r="BI454" s="29"/>
      <c r="BJ454" s="29"/>
      <c r="BK454" s="29"/>
      <c r="BL454" s="29"/>
      <c r="BM454" s="29"/>
      <c r="BN454" s="29"/>
      <c r="BO454" s="29"/>
      <c r="BP454" s="29"/>
      <c r="BQ454" s="29"/>
      <c r="BR454" s="29"/>
      <c r="BS454" s="29"/>
      <c r="BT454" s="29"/>
      <c r="BU454" s="29"/>
      <c r="BV454" s="29"/>
      <c r="BW454" s="29"/>
      <c r="BX454" s="29"/>
      <c r="BY454" s="29"/>
      <c r="BZ454" s="29"/>
      <c r="CA454" s="29"/>
      <c r="CB454" s="29"/>
      <c r="CC454" s="29"/>
      <c r="CD454" s="29"/>
      <c r="CE454" s="29"/>
      <c r="CF454" s="29"/>
      <c r="CG454" s="29"/>
      <c r="CH454" s="29"/>
      <c r="CI454" s="29"/>
      <c r="CJ454" s="29"/>
      <c r="CK454" s="29"/>
      <c r="CL454" s="29"/>
      <c r="CM454" s="29"/>
      <c r="CN454" s="29"/>
      <c r="CO454" s="29"/>
      <c r="CP454" s="29"/>
      <c r="CQ454" s="29"/>
      <c r="CR454" s="29"/>
      <c r="CS454" s="29"/>
      <c r="CT454" s="29"/>
      <c r="CU454" s="29"/>
      <c r="CV454" s="29"/>
      <c r="CW454" s="29"/>
    </row>
    <row r="455" spans="3:101">
      <c r="C455" s="29"/>
      <c r="D455" s="29"/>
      <c r="E455" s="29"/>
      <c r="F455" s="29"/>
      <c r="G455" s="29"/>
      <c r="H455" s="29"/>
      <c r="AY455" s="29"/>
      <c r="AZ455" s="29"/>
      <c r="BA455" s="29"/>
      <c r="BB455" s="29"/>
      <c r="BC455" s="29"/>
      <c r="BD455" s="29"/>
      <c r="BE455" s="29"/>
      <c r="BF455" s="29"/>
      <c r="BG455" s="29"/>
      <c r="BH455" s="29"/>
      <c r="BI455" s="29"/>
      <c r="BJ455" s="29"/>
      <c r="BK455" s="29"/>
      <c r="BL455" s="29"/>
      <c r="BM455" s="29"/>
      <c r="BN455" s="29"/>
      <c r="BO455" s="29"/>
      <c r="BP455" s="29"/>
      <c r="BQ455" s="29"/>
      <c r="BR455" s="29"/>
      <c r="BS455" s="29"/>
      <c r="BT455" s="29"/>
      <c r="BU455" s="29"/>
      <c r="BV455" s="29"/>
      <c r="BW455" s="29"/>
      <c r="BX455" s="29"/>
      <c r="BY455" s="29"/>
      <c r="BZ455" s="29"/>
      <c r="CA455" s="29"/>
      <c r="CB455" s="29"/>
      <c r="CC455" s="29"/>
      <c r="CD455" s="29"/>
      <c r="CE455" s="29"/>
      <c r="CF455" s="29"/>
      <c r="CG455" s="29"/>
      <c r="CH455" s="29"/>
      <c r="CI455" s="29"/>
      <c r="CJ455" s="29"/>
      <c r="CK455" s="29"/>
      <c r="CL455" s="29"/>
      <c r="CM455" s="29"/>
      <c r="CN455" s="29"/>
      <c r="CO455" s="29"/>
      <c r="CP455" s="29"/>
      <c r="CQ455" s="29"/>
      <c r="CR455" s="29"/>
      <c r="CS455" s="29"/>
      <c r="CT455" s="29"/>
      <c r="CU455" s="29"/>
      <c r="CV455" s="29"/>
      <c r="CW455" s="29"/>
    </row>
    <row r="456" spans="3:101">
      <c r="C456" s="29"/>
      <c r="D456" s="29"/>
      <c r="E456" s="29"/>
      <c r="F456" s="29"/>
      <c r="G456" s="29"/>
      <c r="H456" s="29"/>
      <c r="AY456" s="29"/>
      <c r="AZ456" s="29"/>
      <c r="BA456" s="29"/>
      <c r="BB456" s="29"/>
      <c r="BC456" s="29"/>
      <c r="BD456" s="29"/>
      <c r="BE456" s="29"/>
      <c r="BF456" s="29"/>
      <c r="BG456" s="29"/>
      <c r="BH456" s="29"/>
      <c r="BI456" s="29"/>
      <c r="BJ456" s="29"/>
      <c r="BK456" s="29"/>
      <c r="BL456" s="29"/>
      <c r="BM456" s="29"/>
      <c r="BN456" s="29"/>
      <c r="BO456" s="29"/>
      <c r="BP456" s="29"/>
      <c r="BQ456" s="29"/>
      <c r="BR456" s="29"/>
      <c r="BS456" s="29"/>
      <c r="BT456" s="29"/>
      <c r="BU456" s="29"/>
      <c r="BV456" s="29"/>
      <c r="BW456" s="29"/>
      <c r="BX456" s="29"/>
      <c r="BY456" s="29"/>
      <c r="BZ456" s="29"/>
      <c r="CA456" s="29"/>
      <c r="CB456" s="29"/>
      <c r="CC456" s="29"/>
      <c r="CD456" s="29"/>
      <c r="CE456" s="29"/>
      <c r="CF456" s="29"/>
      <c r="CG456" s="29"/>
      <c r="CH456" s="29"/>
      <c r="CI456" s="29"/>
      <c r="CJ456" s="29"/>
      <c r="CK456" s="29"/>
      <c r="CL456" s="29"/>
      <c r="CM456" s="29"/>
      <c r="CN456" s="29"/>
      <c r="CO456" s="29"/>
      <c r="CP456" s="29"/>
      <c r="CQ456" s="29"/>
      <c r="CR456" s="29"/>
      <c r="CS456" s="29"/>
      <c r="CT456" s="29"/>
      <c r="CU456" s="29"/>
      <c r="CV456" s="29"/>
      <c r="CW456" s="29"/>
    </row>
    <row r="457" spans="3:101">
      <c r="C457" s="29"/>
      <c r="D457" s="29"/>
      <c r="E457" s="29"/>
      <c r="F457" s="29"/>
      <c r="G457" s="29"/>
      <c r="H457" s="29"/>
      <c r="AY457" s="29"/>
      <c r="AZ457" s="29"/>
      <c r="BA457" s="29"/>
      <c r="BB457" s="29"/>
      <c r="BC457" s="29"/>
      <c r="BD457" s="29"/>
      <c r="BE457" s="29"/>
      <c r="BF457" s="29"/>
      <c r="BG457" s="29"/>
      <c r="BH457" s="29"/>
      <c r="BI457" s="29"/>
      <c r="BJ457" s="29"/>
      <c r="BK457" s="29"/>
      <c r="BL457" s="29"/>
      <c r="BM457" s="29"/>
      <c r="BN457" s="29"/>
      <c r="BO457" s="29"/>
      <c r="BP457" s="29"/>
      <c r="BQ457" s="29"/>
      <c r="BR457" s="29"/>
      <c r="BS457" s="29"/>
      <c r="BT457" s="29"/>
      <c r="BU457" s="29"/>
      <c r="BV457" s="29"/>
      <c r="BW457" s="29"/>
      <c r="BX457" s="29"/>
      <c r="BY457" s="29"/>
      <c r="BZ457" s="29"/>
      <c r="CA457" s="29"/>
      <c r="CB457" s="29"/>
      <c r="CC457" s="29"/>
      <c r="CD457" s="29"/>
      <c r="CE457" s="29"/>
      <c r="CF457" s="29"/>
      <c r="CG457" s="29"/>
      <c r="CH457" s="29"/>
      <c r="CI457" s="29"/>
      <c r="CJ457" s="29"/>
      <c r="CK457" s="29"/>
      <c r="CL457" s="29"/>
      <c r="CM457" s="29"/>
      <c r="CN457" s="29"/>
      <c r="CO457" s="29"/>
      <c r="CP457" s="29"/>
      <c r="CQ457" s="29"/>
      <c r="CR457" s="29"/>
      <c r="CS457" s="29"/>
      <c r="CT457" s="29"/>
      <c r="CU457" s="29"/>
      <c r="CV457" s="29"/>
      <c r="CW457" s="29"/>
    </row>
    <row r="458" spans="3:101">
      <c r="C458" s="29"/>
      <c r="D458" s="29"/>
      <c r="E458" s="29"/>
      <c r="F458" s="29"/>
      <c r="G458" s="29"/>
      <c r="H458" s="29"/>
      <c r="AY458" s="29"/>
      <c r="AZ458" s="29"/>
      <c r="BA458" s="29"/>
      <c r="BB458" s="29"/>
      <c r="BC458" s="29"/>
      <c r="BD458" s="29"/>
      <c r="BE458" s="29"/>
      <c r="BF458" s="29"/>
      <c r="BG458" s="29"/>
      <c r="BH458" s="29"/>
      <c r="BI458" s="29"/>
      <c r="BJ458" s="29"/>
      <c r="BK458" s="29"/>
      <c r="BL458" s="29"/>
      <c r="BM458" s="29"/>
      <c r="BN458" s="29"/>
      <c r="BO458" s="29"/>
      <c r="BP458" s="29"/>
      <c r="BQ458" s="29"/>
      <c r="BR458" s="29"/>
      <c r="BS458" s="29"/>
      <c r="BT458" s="29"/>
      <c r="BU458" s="29"/>
      <c r="BV458" s="29"/>
      <c r="BW458" s="29"/>
      <c r="BX458" s="29"/>
      <c r="BY458" s="29"/>
      <c r="BZ458" s="29"/>
      <c r="CA458" s="29"/>
      <c r="CB458" s="29"/>
      <c r="CC458" s="29"/>
      <c r="CD458" s="29"/>
      <c r="CE458" s="29"/>
      <c r="CF458" s="29"/>
      <c r="CG458" s="29"/>
      <c r="CH458" s="29"/>
      <c r="CI458" s="29"/>
      <c r="CJ458" s="29"/>
      <c r="CK458" s="29"/>
      <c r="CL458" s="29"/>
      <c r="CM458" s="29"/>
      <c r="CN458" s="29"/>
      <c r="CO458" s="29"/>
      <c r="CP458" s="29"/>
      <c r="CQ458" s="29"/>
      <c r="CR458" s="29"/>
      <c r="CS458" s="29"/>
      <c r="CT458" s="29"/>
      <c r="CU458" s="29"/>
      <c r="CV458" s="29"/>
      <c r="CW458" s="29"/>
    </row>
    <row r="459" spans="3:101">
      <c r="C459" s="29"/>
      <c r="D459" s="29"/>
      <c r="E459" s="29"/>
      <c r="F459" s="29"/>
      <c r="G459" s="29"/>
      <c r="H459" s="29"/>
      <c r="AY459" s="29"/>
      <c r="AZ459" s="29"/>
      <c r="BA459" s="29"/>
      <c r="BB459" s="29"/>
      <c r="BC459" s="29"/>
      <c r="BD459" s="29"/>
      <c r="BE459" s="29"/>
      <c r="BF459" s="29"/>
      <c r="BG459" s="29"/>
      <c r="BH459" s="29"/>
      <c r="BI459" s="29"/>
      <c r="BJ459" s="29"/>
      <c r="BK459" s="29"/>
      <c r="BL459" s="29"/>
      <c r="BM459" s="29"/>
      <c r="BN459" s="29"/>
      <c r="BO459" s="29"/>
      <c r="BP459" s="29"/>
      <c r="BQ459" s="29"/>
      <c r="BR459" s="29"/>
      <c r="BS459" s="29"/>
      <c r="BT459" s="29"/>
      <c r="BU459" s="29"/>
      <c r="BV459" s="29"/>
      <c r="BW459" s="29"/>
      <c r="BX459" s="29"/>
      <c r="BY459" s="29"/>
      <c r="BZ459" s="29"/>
      <c r="CA459" s="29"/>
      <c r="CB459" s="29"/>
      <c r="CC459" s="29"/>
      <c r="CD459" s="29"/>
      <c r="CE459" s="29"/>
      <c r="CF459" s="29"/>
      <c r="CG459" s="29"/>
      <c r="CH459" s="29"/>
      <c r="CI459" s="29"/>
      <c r="CJ459" s="29"/>
      <c r="CK459" s="29"/>
      <c r="CL459" s="29"/>
      <c r="CM459" s="29"/>
      <c r="CN459" s="29"/>
      <c r="CO459" s="29"/>
      <c r="CP459" s="29"/>
      <c r="CQ459" s="29"/>
      <c r="CR459" s="29"/>
      <c r="CS459" s="29"/>
      <c r="CT459" s="29"/>
      <c r="CU459" s="29"/>
      <c r="CV459" s="29"/>
      <c r="CW459" s="29"/>
    </row>
    <row r="460" spans="3:101">
      <c r="C460" s="29"/>
      <c r="D460" s="29"/>
      <c r="E460" s="29"/>
      <c r="F460" s="29"/>
      <c r="G460" s="29"/>
      <c r="H460" s="29"/>
      <c r="AY460" s="29"/>
      <c r="AZ460" s="29"/>
      <c r="BA460" s="29"/>
      <c r="BB460" s="29"/>
      <c r="BC460" s="29"/>
      <c r="BD460" s="29"/>
      <c r="BE460" s="29"/>
      <c r="BF460" s="29"/>
      <c r="BG460" s="29"/>
      <c r="BH460" s="29"/>
      <c r="BI460" s="29"/>
      <c r="BJ460" s="29"/>
      <c r="BK460" s="29"/>
      <c r="BL460" s="29"/>
      <c r="BM460" s="29"/>
      <c r="BN460" s="29"/>
      <c r="BO460" s="29"/>
      <c r="BP460" s="29"/>
      <c r="BQ460" s="29"/>
      <c r="BR460" s="29"/>
      <c r="BS460" s="29"/>
      <c r="BT460" s="29"/>
      <c r="BU460" s="29"/>
      <c r="BV460" s="29"/>
      <c r="BW460" s="29"/>
      <c r="BX460" s="29"/>
      <c r="BY460" s="29"/>
      <c r="BZ460" s="29"/>
      <c r="CA460" s="29"/>
      <c r="CB460" s="29"/>
      <c r="CC460" s="29"/>
      <c r="CD460" s="29"/>
      <c r="CE460" s="29"/>
      <c r="CF460" s="29"/>
      <c r="CG460" s="29"/>
      <c r="CH460" s="29"/>
      <c r="CI460" s="29"/>
      <c r="CJ460" s="29"/>
      <c r="CK460" s="29"/>
      <c r="CL460" s="29"/>
      <c r="CM460" s="29"/>
      <c r="CN460" s="29"/>
      <c r="CO460" s="29"/>
      <c r="CP460" s="29"/>
      <c r="CQ460" s="29"/>
      <c r="CR460" s="29"/>
      <c r="CS460" s="29"/>
      <c r="CT460" s="29"/>
      <c r="CU460" s="29"/>
      <c r="CV460" s="29"/>
      <c r="CW460" s="29"/>
    </row>
    <row r="461" spans="3:101">
      <c r="C461" s="29"/>
      <c r="D461" s="29"/>
      <c r="E461" s="29"/>
      <c r="F461" s="29"/>
      <c r="G461" s="29"/>
      <c r="H461" s="29"/>
      <c r="AY461" s="29"/>
      <c r="AZ461" s="29"/>
      <c r="BA461" s="29"/>
      <c r="BB461" s="29"/>
      <c r="BC461" s="29"/>
      <c r="BD461" s="29"/>
      <c r="BE461" s="29"/>
      <c r="BF461" s="29"/>
      <c r="BG461" s="29"/>
      <c r="BH461" s="29"/>
      <c r="BI461" s="29"/>
      <c r="BJ461" s="29"/>
      <c r="BK461" s="29"/>
      <c r="BL461" s="29"/>
      <c r="BM461" s="29"/>
      <c r="BN461" s="29"/>
      <c r="BO461" s="29"/>
      <c r="BP461" s="29"/>
      <c r="BQ461" s="29"/>
      <c r="BR461" s="29"/>
      <c r="BS461" s="29"/>
      <c r="BT461" s="29"/>
      <c r="BU461" s="29"/>
      <c r="BV461" s="29"/>
      <c r="BW461" s="29"/>
      <c r="BX461" s="29"/>
      <c r="BY461" s="29"/>
      <c r="BZ461" s="29"/>
      <c r="CA461" s="29"/>
      <c r="CB461" s="29"/>
      <c r="CC461" s="29"/>
      <c r="CD461" s="29"/>
      <c r="CE461" s="29"/>
      <c r="CF461" s="29"/>
      <c r="CG461" s="29"/>
      <c r="CH461" s="29"/>
      <c r="CI461" s="29"/>
      <c r="CJ461" s="29"/>
      <c r="CK461" s="29"/>
      <c r="CL461" s="29"/>
      <c r="CM461" s="29"/>
      <c r="CN461" s="29"/>
      <c r="CO461" s="29"/>
      <c r="CP461" s="29"/>
      <c r="CQ461" s="29"/>
      <c r="CR461" s="29"/>
      <c r="CS461" s="29"/>
      <c r="CT461" s="29"/>
      <c r="CU461" s="29"/>
      <c r="CV461" s="29"/>
      <c r="CW461" s="29"/>
    </row>
    <row r="462" spans="3:101">
      <c r="C462" s="29"/>
      <c r="D462" s="29"/>
      <c r="E462" s="29"/>
      <c r="F462" s="29"/>
      <c r="G462" s="29"/>
      <c r="H462" s="29"/>
      <c r="AY462" s="29"/>
      <c r="AZ462" s="29"/>
      <c r="BA462" s="29"/>
      <c r="BB462" s="29"/>
      <c r="BC462" s="29"/>
      <c r="BD462" s="29"/>
      <c r="BE462" s="29"/>
      <c r="BF462" s="29"/>
      <c r="BG462" s="29"/>
      <c r="BH462" s="29"/>
      <c r="BI462" s="29"/>
      <c r="BJ462" s="29"/>
      <c r="BK462" s="29"/>
      <c r="BL462" s="29"/>
      <c r="BM462" s="29"/>
      <c r="BN462" s="29"/>
      <c r="BO462" s="29"/>
      <c r="BP462" s="29"/>
      <c r="BQ462" s="29"/>
      <c r="BR462" s="29"/>
      <c r="BS462" s="29"/>
      <c r="BT462" s="29"/>
      <c r="BU462" s="29"/>
      <c r="BV462" s="29"/>
      <c r="BW462" s="29"/>
      <c r="BX462" s="29"/>
      <c r="BY462" s="29"/>
      <c r="BZ462" s="29"/>
      <c r="CA462" s="29"/>
      <c r="CB462" s="29"/>
      <c r="CC462" s="29"/>
      <c r="CD462" s="29"/>
      <c r="CE462" s="29"/>
      <c r="CF462" s="29"/>
      <c r="CG462" s="29"/>
      <c r="CH462" s="29"/>
      <c r="CI462" s="29"/>
      <c r="CJ462" s="29"/>
      <c r="CK462" s="29"/>
      <c r="CL462" s="29"/>
      <c r="CM462" s="29"/>
      <c r="CN462" s="29"/>
      <c r="CO462" s="29"/>
      <c r="CP462" s="29"/>
      <c r="CQ462" s="29"/>
      <c r="CR462" s="29"/>
      <c r="CS462" s="29"/>
      <c r="CT462" s="29"/>
      <c r="CU462" s="29"/>
      <c r="CV462" s="29"/>
      <c r="CW462" s="29"/>
    </row>
    <row r="463" spans="3:101">
      <c r="C463" s="29"/>
      <c r="D463" s="29"/>
      <c r="E463" s="29"/>
      <c r="F463" s="29"/>
      <c r="G463" s="29"/>
      <c r="H463" s="29"/>
      <c r="AY463" s="29"/>
      <c r="AZ463" s="29"/>
      <c r="BA463" s="29"/>
      <c r="BB463" s="29"/>
      <c r="BC463" s="29"/>
      <c r="BD463" s="29"/>
      <c r="BE463" s="29"/>
      <c r="BF463" s="29"/>
      <c r="BG463" s="29"/>
      <c r="BH463" s="29"/>
      <c r="BI463" s="29"/>
      <c r="BJ463" s="29"/>
      <c r="BK463" s="29"/>
      <c r="BL463" s="29"/>
      <c r="BM463" s="29"/>
      <c r="BN463" s="29"/>
      <c r="BO463" s="29"/>
      <c r="BP463" s="29"/>
      <c r="BQ463" s="29"/>
      <c r="BR463" s="29"/>
      <c r="BS463" s="29"/>
      <c r="BT463" s="29"/>
      <c r="BU463" s="29"/>
      <c r="BV463" s="29"/>
      <c r="BW463" s="29"/>
      <c r="BX463" s="29"/>
      <c r="BY463" s="29"/>
      <c r="BZ463" s="29"/>
      <c r="CA463" s="29"/>
      <c r="CB463" s="29"/>
      <c r="CC463" s="29"/>
      <c r="CD463" s="29"/>
      <c r="CE463" s="29"/>
      <c r="CF463" s="29"/>
      <c r="CG463" s="29"/>
      <c r="CH463" s="29"/>
      <c r="CI463" s="29"/>
      <c r="CJ463" s="29"/>
      <c r="CK463" s="29"/>
      <c r="CL463" s="29"/>
      <c r="CM463" s="29"/>
      <c r="CN463" s="29"/>
      <c r="CO463" s="29"/>
      <c r="CP463" s="29"/>
      <c r="CQ463" s="29"/>
      <c r="CR463" s="29"/>
      <c r="CS463" s="29"/>
      <c r="CT463" s="29"/>
      <c r="CU463" s="29"/>
      <c r="CV463" s="29"/>
      <c r="CW463" s="29"/>
    </row>
    <row r="464" spans="3:101">
      <c r="C464" s="29"/>
      <c r="D464" s="29"/>
      <c r="E464" s="29"/>
      <c r="F464" s="29"/>
      <c r="G464" s="29"/>
      <c r="H464" s="29"/>
      <c r="AY464" s="29"/>
      <c r="AZ464" s="29"/>
      <c r="BA464" s="29"/>
      <c r="BB464" s="29"/>
      <c r="BC464" s="29"/>
      <c r="BD464" s="29"/>
      <c r="BE464" s="29"/>
      <c r="BF464" s="29"/>
      <c r="BG464" s="29"/>
      <c r="BH464" s="29"/>
      <c r="BI464" s="29"/>
      <c r="BJ464" s="29"/>
      <c r="BK464" s="29"/>
      <c r="BL464" s="29"/>
      <c r="BM464" s="29"/>
      <c r="BN464" s="29"/>
      <c r="BO464" s="29"/>
      <c r="BP464" s="29"/>
      <c r="BQ464" s="29"/>
      <c r="BR464" s="29"/>
      <c r="BS464" s="29"/>
      <c r="BT464" s="29"/>
      <c r="BU464" s="29"/>
      <c r="BV464" s="29"/>
      <c r="BW464" s="29"/>
      <c r="BX464" s="29"/>
      <c r="BY464" s="29"/>
      <c r="BZ464" s="29"/>
      <c r="CA464" s="29"/>
      <c r="CB464" s="29"/>
      <c r="CC464" s="29"/>
      <c r="CD464" s="29"/>
      <c r="CE464" s="29"/>
      <c r="CF464" s="29"/>
      <c r="CG464" s="29"/>
      <c r="CH464" s="29"/>
      <c r="CI464" s="29"/>
      <c r="CJ464" s="29"/>
      <c r="CK464" s="29"/>
      <c r="CL464" s="29"/>
      <c r="CM464" s="29"/>
      <c r="CN464" s="29"/>
      <c r="CO464" s="29"/>
      <c r="CP464" s="29"/>
      <c r="CQ464" s="29"/>
      <c r="CR464" s="29"/>
      <c r="CS464" s="29"/>
      <c r="CT464" s="29"/>
      <c r="CU464" s="29"/>
      <c r="CV464" s="29"/>
      <c r="CW464" s="29"/>
    </row>
    <row r="465" spans="3:101">
      <c r="C465" s="29"/>
      <c r="D465" s="29"/>
      <c r="E465" s="29"/>
      <c r="F465" s="29"/>
      <c r="G465" s="29"/>
      <c r="H465" s="29"/>
      <c r="AY465" s="29"/>
      <c r="AZ465" s="29"/>
      <c r="BA465" s="29"/>
      <c r="BB465" s="29"/>
      <c r="BC465" s="29"/>
      <c r="BD465" s="29"/>
      <c r="BE465" s="29"/>
      <c r="BF465" s="29"/>
      <c r="BG465" s="29"/>
      <c r="BH465" s="29"/>
      <c r="BI465" s="29"/>
      <c r="BJ465" s="29"/>
      <c r="BK465" s="29"/>
      <c r="BL465" s="29"/>
      <c r="BM465" s="29"/>
      <c r="BN465" s="29"/>
      <c r="BO465" s="29"/>
      <c r="BP465" s="29"/>
      <c r="BQ465" s="29"/>
      <c r="BR465" s="29"/>
      <c r="BS465" s="29"/>
      <c r="BT465" s="29"/>
      <c r="BU465" s="29"/>
      <c r="BV465" s="29"/>
      <c r="BW465" s="29"/>
      <c r="BX465" s="29"/>
      <c r="BY465" s="29"/>
      <c r="BZ465" s="29"/>
      <c r="CA465" s="29"/>
      <c r="CB465" s="29"/>
      <c r="CC465" s="29"/>
      <c r="CD465" s="29"/>
      <c r="CE465" s="29"/>
      <c r="CF465" s="29"/>
      <c r="CG465" s="29"/>
      <c r="CH465" s="29"/>
      <c r="CI465" s="29"/>
      <c r="CJ465" s="29"/>
      <c r="CK465" s="29"/>
      <c r="CL465" s="29"/>
      <c r="CM465" s="29"/>
      <c r="CN465" s="29"/>
      <c r="CO465" s="29"/>
      <c r="CP465" s="29"/>
      <c r="CQ465" s="29"/>
      <c r="CR465" s="29"/>
      <c r="CS465" s="29"/>
      <c r="CT465" s="29"/>
      <c r="CU465" s="29"/>
      <c r="CV465" s="29"/>
      <c r="CW465" s="29"/>
    </row>
    <row r="466" spans="3:101">
      <c r="C466" s="29"/>
      <c r="D466" s="29"/>
      <c r="E466" s="29"/>
      <c r="F466" s="29"/>
      <c r="G466" s="29"/>
      <c r="H466" s="29"/>
      <c r="AY466" s="29"/>
      <c r="AZ466" s="29"/>
      <c r="BA466" s="29"/>
      <c r="BB466" s="29"/>
      <c r="BC466" s="29"/>
      <c r="BD466" s="29"/>
      <c r="BE466" s="29"/>
      <c r="BF466" s="29"/>
      <c r="BG466" s="29"/>
      <c r="BH466" s="29"/>
      <c r="BI466" s="29"/>
      <c r="BJ466" s="29"/>
      <c r="BK466" s="29"/>
      <c r="BL466" s="29"/>
      <c r="BM466" s="29"/>
      <c r="BN466" s="29"/>
      <c r="BO466" s="29"/>
      <c r="BP466" s="29"/>
      <c r="BQ466" s="29"/>
      <c r="BR466" s="29"/>
      <c r="BS466" s="29"/>
      <c r="BT466" s="29"/>
      <c r="BU466" s="29"/>
      <c r="BV466" s="29"/>
      <c r="BW466" s="29"/>
      <c r="BX466" s="29"/>
      <c r="BY466" s="29"/>
      <c r="BZ466" s="29"/>
      <c r="CA466" s="29"/>
      <c r="CB466" s="29"/>
      <c r="CC466" s="29"/>
      <c r="CD466" s="29"/>
      <c r="CE466" s="29"/>
      <c r="CF466" s="29"/>
      <c r="CG466" s="29"/>
      <c r="CH466" s="29"/>
      <c r="CI466" s="29"/>
      <c r="CJ466" s="29"/>
      <c r="CK466" s="29"/>
      <c r="CL466" s="29"/>
      <c r="CM466" s="29"/>
      <c r="CN466" s="29"/>
      <c r="CO466" s="29"/>
      <c r="CP466" s="29"/>
      <c r="CQ466" s="29"/>
      <c r="CR466" s="29"/>
      <c r="CS466" s="29"/>
      <c r="CT466" s="29"/>
      <c r="CU466" s="29"/>
      <c r="CV466" s="29"/>
      <c r="CW466" s="29"/>
    </row>
    <row r="467" spans="3:101">
      <c r="C467" s="29"/>
      <c r="D467" s="29"/>
      <c r="E467" s="29"/>
      <c r="F467" s="29"/>
      <c r="G467" s="29"/>
      <c r="H467" s="29"/>
      <c r="AY467" s="29"/>
      <c r="AZ467" s="29"/>
      <c r="BA467" s="29"/>
      <c r="BB467" s="29"/>
      <c r="BC467" s="29"/>
      <c r="BD467" s="29"/>
      <c r="BE467" s="29"/>
      <c r="BF467" s="29"/>
      <c r="BG467" s="29"/>
      <c r="BH467" s="29"/>
      <c r="BI467" s="29"/>
      <c r="BJ467" s="29"/>
      <c r="BK467" s="29"/>
      <c r="BL467" s="29"/>
      <c r="BM467" s="29"/>
      <c r="BN467" s="29"/>
      <c r="BO467" s="29"/>
      <c r="BP467" s="29"/>
      <c r="BQ467" s="29"/>
      <c r="BR467" s="29"/>
      <c r="BS467" s="29"/>
      <c r="BT467" s="29"/>
      <c r="BU467" s="29"/>
      <c r="BV467" s="29"/>
      <c r="BW467" s="29"/>
      <c r="BX467" s="29"/>
      <c r="BY467" s="29"/>
      <c r="BZ467" s="29"/>
      <c r="CA467" s="29"/>
      <c r="CB467" s="29"/>
      <c r="CC467" s="29"/>
      <c r="CD467" s="29"/>
      <c r="CE467" s="29"/>
      <c r="CF467" s="29"/>
      <c r="CG467" s="29"/>
      <c r="CH467" s="29"/>
      <c r="CI467" s="29"/>
      <c r="CJ467" s="29"/>
      <c r="CK467" s="29"/>
      <c r="CL467" s="29"/>
      <c r="CM467" s="29"/>
      <c r="CN467" s="29"/>
      <c r="CO467" s="29"/>
      <c r="CP467" s="29"/>
      <c r="CQ467" s="29"/>
      <c r="CR467" s="29"/>
      <c r="CS467" s="29"/>
      <c r="CT467" s="29"/>
      <c r="CU467" s="29"/>
      <c r="CV467" s="29"/>
      <c r="CW467" s="29"/>
    </row>
    <row r="468" spans="3:101">
      <c r="C468" s="29"/>
      <c r="D468" s="29"/>
      <c r="E468" s="29"/>
      <c r="F468" s="29"/>
      <c r="G468" s="29"/>
      <c r="H468" s="29"/>
      <c r="AY468" s="29"/>
      <c r="AZ468" s="29"/>
      <c r="BA468" s="29"/>
      <c r="BB468" s="29"/>
      <c r="BC468" s="29"/>
      <c r="BD468" s="29"/>
      <c r="BE468" s="29"/>
      <c r="BF468" s="29"/>
      <c r="BG468" s="29"/>
      <c r="BH468" s="29"/>
      <c r="BI468" s="29"/>
      <c r="BJ468" s="29"/>
      <c r="BK468" s="29"/>
      <c r="BL468" s="29"/>
      <c r="BM468" s="29"/>
      <c r="BN468" s="29"/>
      <c r="BO468" s="29"/>
      <c r="BP468" s="29"/>
      <c r="BQ468" s="29"/>
      <c r="BR468" s="29"/>
      <c r="BS468" s="29"/>
      <c r="BT468" s="29"/>
      <c r="BU468" s="29"/>
      <c r="BV468" s="29"/>
      <c r="BW468" s="29"/>
      <c r="BX468" s="29"/>
      <c r="BY468" s="29"/>
      <c r="BZ468" s="29"/>
      <c r="CA468" s="29"/>
      <c r="CB468" s="29"/>
      <c r="CC468" s="29"/>
      <c r="CD468" s="29"/>
      <c r="CE468" s="29"/>
      <c r="CF468" s="29"/>
      <c r="CG468" s="29"/>
      <c r="CH468" s="29"/>
      <c r="CI468" s="29"/>
      <c r="CJ468" s="29"/>
      <c r="CK468" s="29"/>
      <c r="CL468" s="29"/>
      <c r="CM468" s="29"/>
      <c r="CN468" s="29"/>
      <c r="CO468" s="29"/>
      <c r="CP468" s="29"/>
      <c r="CQ468" s="29"/>
      <c r="CR468" s="29"/>
      <c r="CS468" s="29"/>
      <c r="CT468" s="29"/>
      <c r="CU468" s="29"/>
      <c r="CV468" s="29"/>
      <c r="CW468" s="29"/>
    </row>
    <row r="469" spans="3:101">
      <c r="C469" s="29"/>
      <c r="D469" s="29"/>
      <c r="E469" s="29"/>
      <c r="F469" s="29"/>
      <c r="G469" s="29"/>
      <c r="H469" s="29"/>
      <c r="AY469" s="29"/>
      <c r="AZ469" s="29"/>
      <c r="BA469" s="29"/>
      <c r="BB469" s="29"/>
      <c r="BC469" s="29"/>
      <c r="BD469" s="29"/>
      <c r="BE469" s="29"/>
      <c r="BF469" s="29"/>
      <c r="BG469" s="29"/>
      <c r="BH469" s="29"/>
      <c r="BI469" s="29"/>
      <c r="BJ469" s="29"/>
      <c r="BK469" s="29"/>
      <c r="BL469" s="29"/>
      <c r="BM469" s="29"/>
      <c r="BN469" s="29"/>
      <c r="BO469" s="29"/>
      <c r="BP469" s="29"/>
      <c r="BQ469" s="29"/>
      <c r="BR469" s="29"/>
      <c r="BS469" s="29"/>
      <c r="BT469" s="29"/>
      <c r="BU469" s="29"/>
      <c r="BV469" s="29"/>
      <c r="BW469" s="29"/>
      <c r="BX469" s="29"/>
      <c r="BY469" s="29"/>
      <c r="BZ469" s="29"/>
      <c r="CA469" s="29"/>
      <c r="CB469" s="29"/>
      <c r="CC469" s="29"/>
      <c r="CD469" s="29"/>
      <c r="CE469" s="29"/>
      <c r="CF469" s="29"/>
      <c r="CG469" s="29"/>
      <c r="CH469" s="29"/>
      <c r="CI469" s="29"/>
      <c r="CJ469" s="29"/>
      <c r="CK469" s="29"/>
      <c r="CL469" s="29"/>
      <c r="CM469" s="29"/>
      <c r="CN469" s="29"/>
      <c r="CO469" s="29"/>
      <c r="CP469" s="29"/>
      <c r="CQ469" s="29"/>
      <c r="CR469" s="29"/>
      <c r="CS469" s="29"/>
      <c r="CT469" s="29"/>
      <c r="CU469" s="29"/>
      <c r="CV469" s="29"/>
      <c r="CW469" s="29"/>
    </row>
    <row r="470" spans="3:101">
      <c r="C470" s="29"/>
      <c r="D470" s="29"/>
      <c r="E470" s="29"/>
      <c r="F470" s="29"/>
      <c r="G470" s="29"/>
      <c r="H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c r="CA470" s="29"/>
      <c r="CB470" s="29"/>
      <c r="CC470" s="29"/>
      <c r="CD470" s="29"/>
      <c r="CE470" s="29"/>
      <c r="CF470" s="29"/>
      <c r="CG470" s="29"/>
      <c r="CH470" s="29"/>
      <c r="CI470" s="29"/>
      <c r="CJ470" s="29"/>
      <c r="CK470" s="29"/>
      <c r="CL470" s="29"/>
      <c r="CM470" s="29"/>
      <c r="CN470" s="29"/>
      <c r="CO470" s="29"/>
      <c r="CP470" s="29"/>
      <c r="CQ470" s="29"/>
      <c r="CR470" s="29"/>
      <c r="CS470" s="29"/>
      <c r="CT470" s="29"/>
      <c r="CU470" s="29"/>
      <c r="CV470" s="29"/>
      <c r="CW470" s="29"/>
    </row>
    <row r="471" spans="3:101">
      <c r="C471" s="29"/>
      <c r="D471" s="29"/>
      <c r="E471" s="29"/>
      <c r="F471" s="29"/>
      <c r="G471" s="29"/>
      <c r="H471" s="29"/>
      <c r="AY471" s="29"/>
      <c r="AZ471" s="29"/>
      <c r="BA471" s="29"/>
      <c r="BB471" s="29"/>
      <c r="BC471" s="29"/>
      <c r="BD471" s="29"/>
      <c r="BE471" s="29"/>
      <c r="BF471" s="29"/>
      <c r="BG471" s="29"/>
      <c r="BH471" s="29"/>
      <c r="BI471" s="29"/>
      <c r="BJ471" s="29"/>
      <c r="BK471" s="29"/>
      <c r="BL471" s="29"/>
      <c r="BM471" s="29"/>
      <c r="BN471" s="29"/>
      <c r="BO471" s="29"/>
      <c r="BP471" s="29"/>
      <c r="BQ471" s="29"/>
      <c r="BR471" s="29"/>
      <c r="BS471" s="29"/>
      <c r="BT471" s="29"/>
      <c r="BU471" s="29"/>
      <c r="BV471" s="29"/>
      <c r="BW471" s="29"/>
      <c r="BX471" s="29"/>
      <c r="BY471" s="29"/>
      <c r="BZ471" s="29"/>
      <c r="CA471" s="29"/>
      <c r="CB471" s="29"/>
      <c r="CC471" s="29"/>
      <c r="CD471" s="29"/>
      <c r="CE471" s="29"/>
      <c r="CF471" s="29"/>
      <c r="CG471" s="29"/>
      <c r="CH471" s="29"/>
      <c r="CI471" s="29"/>
      <c r="CJ471" s="29"/>
      <c r="CK471" s="29"/>
      <c r="CL471" s="29"/>
      <c r="CM471" s="29"/>
      <c r="CN471" s="29"/>
      <c r="CO471" s="29"/>
      <c r="CP471" s="29"/>
      <c r="CQ471" s="29"/>
      <c r="CR471" s="29"/>
      <c r="CS471" s="29"/>
      <c r="CT471" s="29"/>
      <c r="CU471" s="29"/>
      <c r="CV471" s="29"/>
      <c r="CW471" s="29"/>
    </row>
    <row r="472" spans="3:101">
      <c r="C472" s="29"/>
      <c r="D472" s="29"/>
      <c r="E472" s="29"/>
      <c r="F472" s="29"/>
      <c r="G472" s="29"/>
      <c r="H472" s="29"/>
      <c r="AY472" s="29"/>
      <c r="AZ472" s="29"/>
      <c r="BA472" s="29"/>
      <c r="BB472" s="29"/>
      <c r="BC472" s="29"/>
      <c r="BD472" s="29"/>
      <c r="BE472" s="29"/>
      <c r="BF472" s="29"/>
      <c r="BG472" s="29"/>
      <c r="BH472" s="29"/>
      <c r="BI472" s="29"/>
      <c r="BJ472" s="29"/>
      <c r="BK472" s="29"/>
      <c r="BL472" s="29"/>
      <c r="BM472" s="29"/>
      <c r="BN472" s="29"/>
      <c r="BO472" s="29"/>
      <c r="BP472" s="29"/>
      <c r="BQ472" s="29"/>
      <c r="BR472" s="29"/>
      <c r="BS472" s="29"/>
      <c r="BT472" s="29"/>
      <c r="BU472" s="29"/>
      <c r="BV472" s="29"/>
      <c r="BW472" s="29"/>
      <c r="BX472" s="29"/>
      <c r="BY472" s="29"/>
      <c r="BZ472" s="29"/>
      <c r="CA472" s="29"/>
      <c r="CB472" s="29"/>
      <c r="CC472" s="29"/>
      <c r="CD472" s="29"/>
      <c r="CE472" s="29"/>
      <c r="CF472" s="29"/>
      <c r="CG472" s="29"/>
      <c r="CH472" s="29"/>
      <c r="CI472" s="29"/>
      <c r="CJ472" s="29"/>
      <c r="CK472" s="29"/>
      <c r="CL472" s="29"/>
      <c r="CM472" s="29"/>
      <c r="CN472" s="29"/>
      <c r="CO472" s="29"/>
      <c r="CP472" s="29"/>
      <c r="CQ472" s="29"/>
      <c r="CR472" s="29"/>
      <c r="CS472" s="29"/>
      <c r="CT472" s="29"/>
      <c r="CU472" s="29"/>
      <c r="CV472" s="29"/>
      <c r="CW472" s="29"/>
    </row>
    <row r="473" spans="3:101">
      <c r="C473" s="29"/>
      <c r="D473" s="29"/>
      <c r="E473" s="29"/>
      <c r="F473" s="29"/>
      <c r="G473" s="29"/>
      <c r="H473" s="29"/>
      <c r="AY473" s="29"/>
      <c r="AZ473" s="29"/>
      <c r="BA473" s="29"/>
      <c r="BB473" s="29"/>
      <c r="BC473" s="29"/>
      <c r="BD473" s="29"/>
      <c r="BE473" s="29"/>
      <c r="BF473" s="29"/>
      <c r="BG473" s="29"/>
      <c r="BH473" s="29"/>
      <c r="BI473" s="29"/>
      <c r="BJ473" s="29"/>
      <c r="BK473" s="29"/>
      <c r="BL473" s="29"/>
      <c r="BM473" s="29"/>
      <c r="BN473" s="29"/>
      <c r="BO473" s="29"/>
      <c r="BP473" s="29"/>
      <c r="BQ473" s="29"/>
      <c r="BR473" s="29"/>
      <c r="BS473" s="29"/>
      <c r="BT473" s="29"/>
      <c r="BU473" s="29"/>
      <c r="BV473" s="29"/>
      <c r="BW473" s="29"/>
      <c r="BX473" s="29"/>
      <c r="BY473" s="29"/>
      <c r="BZ473" s="29"/>
      <c r="CA473" s="29"/>
      <c r="CB473" s="29"/>
      <c r="CC473" s="29"/>
      <c r="CD473" s="29"/>
      <c r="CE473" s="29"/>
      <c r="CF473" s="29"/>
      <c r="CG473" s="29"/>
      <c r="CH473" s="29"/>
      <c r="CI473" s="29"/>
      <c r="CJ473" s="29"/>
      <c r="CK473" s="29"/>
      <c r="CL473" s="29"/>
      <c r="CM473" s="29"/>
      <c r="CN473" s="29"/>
      <c r="CO473" s="29"/>
      <c r="CP473" s="29"/>
      <c r="CQ473" s="29"/>
      <c r="CR473" s="29"/>
      <c r="CS473" s="29"/>
      <c r="CT473" s="29"/>
      <c r="CU473" s="29"/>
      <c r="CV473" s="29"/>
      <c r="CW473" s="29"/>
    </row>
    <row r="474" spans="3:101">
      <c r="C474" s="29"/>
      <c r="D474" s="29"/>
      <c r="E474" s="29"/>
      <c r="F474" s="29"/>
      <c r="G474" s="29"/>
      <c r="H474" s="29"/>
      <c r="AY474" s="29"/>
      <c r="AZ474" s="29"/>
      <c r="BA474" s="29"/>
      <c r="BB474" s="29"/>
      <c r="BC474" s="29"/>
      <c r="BD474" s="29"/>
      <c r="BE474" s="29"/>
      <c r="BF474" s="29"/>
      <c r="BG474" s="29"/>
      <c r="BH474" s="29"/>
      <c r="BI474" s="29"/>
      <c r="BJ474" s="29"/>
      <c r="BK474" s="29"/>
      <c r="BL474" s="29"/>
      <c r="BM474" s="29"/>
      <c r="BN474" s="29"/>
      <c r="BO474" s="29"/>
      <c r="BP474" s="29"/>
      <c r="BQ474" s="29"/>
      <c r="BR474" s="29"/>
      <c r="BS474" s="29"/>
      <c r="BT474" s="29"/>
      <c r="BU474" s="29"/>
      <c r="BV474" s="29"/>
      <c r="BW474" s="29"/>
      <c r="BX474" s="29"/>
      <c r="BY474" s="29"/>
      <c r="BZ474" s="29"/>
      <c r="CA474" s="29"/>
      <c r="CB474" s="29"/>
      <c r="CC474" s="29"/>
      <c r="CD474" s="29"/>
      <c r="CE474" s="29"/>
      <c r="CF474" s="29"/>
      <c r="CG474" s="29"/>
      <c r="CH474" s="29"/>
      <c r="CI474" s="29"/>
      <c r="CJ474" s="29"/>
      <c r="CK474" s="29"/>
      <c r="CL474" s="29"/>
      <c r="CM474" s="29"/>
      <c r="CN474" s="29"/>
      <c r="CO474" s="29"/>
      <c r="CP474" s="29"/>
      <c r="CQ474" s="29"/>
      <c r="CR474" s="29"/>
      <c r="CS474" s="29"/>
      <c r="CT474" s="29"/>
      <c r="CU474" s="29"/>
      <c r="CV474" s="29"/>
      <c r="CW474" s="29"/>
    </row>
    <row r="475" spans="3:101">
      <c r="C475" s="29"/>
      <c r="D475" s="29"/>
      <c r="E475" s="29"/>
      <c r="F475" s="29"/>
      <c r="G475" s="29"/>
      <c r="H475" s="29"/>
      <c r="AY475" s="29"/>
      <c r="AZ475" s="29"/>
      <c r="BA475" s="29"/>
      <c r="BB475" s="29"/>
      <c r="BC475" s="29"/>
      <c r="BD475" s="29"/>
      <c r="BE475" s="29"/>
      <c r="BF475" s="29"/>
      <c r="BG475" s="29"/>
      <c r="BH475" s="29"/>
      <c r="BI475" s="29"/>
      <c r="BJ475" s="29"/>
      <c r="BK475" s="29"/>
      <c r="BL475" s="29"/>
      <c r="BM475" s="29"/>
      <c r="BN475" s="29"/>
      <c r="BO475" s="29"/>
      <c r="BP475" s="29"/>
      <c r="BQ475" s="29"/>
      <c r="BR475" s="29"/>
      <c r="BS475" s="29"/>
      <c r="BT475" s="29"/>
      <c r="BU475" s="29"/>
      <c r="BV475" s="29"/>
      <c r="BW475" s="29"/>
      <c r="BX475" s="29"/>
      <c r="BY475" s="29"/>
      <c r="BZ475" s="29"/>
      <c r="CA475" s="29"/>
      <c r="CB475" s="29"/>
      <c r="CC475" s="29"/>
      <c r="CD475" s="29"/>
      <c r="CE475" s="29"/>
      <c r="CF475" s="29"/>
      <c r="CG475" s="29"/>
      <c r="CH475" s="29"/>
      <c r="CI475" s="29"/>
      <c r="CJ475" s="29"/>
      <c r="CK475" s="29"/>
      <c r="CL475" s="29"/>
      <c r="CM475" s="29"/>
      <c r="CN475" s="29"/>
      <c r="CO475" s="29"/>
      <c r="CP475" s="29"/>
      <c r="CQ475" s="29"/>
      <c r="CR475" s="29"/>
      <c r="CS475" s="29"/>
      <c r="CT475" s="29"/>
      <c r="CU475" s="29"/>
      <c r="CV475" s="29"/>
      <c r="CW475" s="29"/>
    </row>
  </sheetData>
  <mergeCells count="2">
    <mergeCell ref="I6:N6"/>
    <mergeCell ref="O6:P6"/>
  </mergeCells>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dimension ref="A1:H29"/>
  <sheetViews>
    <sheetView workbookViewId="0">
      <selection activeCell="A2" sqref="A2"/>
    </sheetView>
  </sheetViews>
  <sheetFormatPr defaultRowHeight="12.75"/>
  <cols>
    <col min="1" max="1" width="70" customWidth="1"/>
  </cols>
  <sheetData>
    <row r="1" spans="1:8">
      <c r="A1" t="s">
        <v>915</v>
      </c>
    </row>
    <row r="2" spans="1:8">
      <c r="A2" s="398" t="s">
        <v>7</v>
      </c>
      <c r="B2" s="398" t="s">
        <v>739</v>
      </c>
      <c r="C2" s="398" t="s">
        <v>740</v>
      </c>
      <c r="D2" s="398" t="s">
        <v>741</v>
      </c>
      <c r="E2" s="398" t="s">
        <v>742</v>
      </c>
      <c r="F2" s="398" t="s">
        <v>743</v>
      </c>
      <c r="G2" s="398" t="s">
        <v>744</v>
      </c>
      <c r="H2" s="399" t="s">
        <v>745</v>
      </c>
    </row>
    <row r="3" spans="1:8">
      <c r="A3" s="278" t="s">
        <v>746</v>
      </c>
      <c r="B3" s="180">
        <f>SEEMsavings!B6</f>
        <v>134.5653139726399</v>
      </c>
      <c r="C3" s="41">
        <f>SEEMsavings!E6</f>
        <v>15.869696470000001</v>
      </c>
      <c r="F3">
        <f>SEEMsavings!J6</f>
        <v>25.398072533654574</v>
      </c>
      <c r="G3">
        <f>SEEMsavings!K6</f>
        <v>2.1502794320391199</v>
      </c>
    </row>
    <row r="4" spans="1:8">
      <c r="A4" s="286" t="s">
        <v>747</v>
      </c>
      <c r="B4" s="180">
        <f>SEEMsavings!B7</f>
        <v>134.5653139726399</v>
      </c>
      <c r="C4" s="41">
        <f>SEEMsavings!E7</f>
        <v>31.275325390000035</v>
      </c>
      <c r="F4">
        <f>SEEMsavings!J7</f>
        <v>25.398072533654574</v>
      </c>
      <c r="G4">
        <f>SEEMsavings!K7</f>
        <v>2.1502794320391199</v>
      </c>
    </row>
    <row r="5" spans="1:8">
      <c r="A5" s="286" t="s">
        <v>748</v>
      </c>
      <c r="B5" s="180">
        <f>SEEMsavings!B8</f>
        <v>134.5653139726399</v>
      </c>
      <c r="C5" s="41">
        <f>SEEMsavings!E8</f>
        <v>50.669817789999996</v>
      </c>
      <c r="F5">
        <f>SEEMsavings!J8</f>
        <v>25.398072533654574</v>
      </c>
      <c r="G5">
        <f>SEEMsavings!K8</f>
        <v>2.1502794320391199</v>
      </c>
    </row>
    <row r="6" spans="1:8">
      <c r="A6" s="286" t="s">
        <v>749</v>
      </c>
      <c r="B6" s="180">
        <f>SEEMsavings!B9</f>
        <v>117.94453152744856</v>
      </c>
      <c r="C6" s="41">
        <f>SEEMsavings!E9</f>
        <v>15.860532380000018</v>
      </c>
      <c r="F6">
        <f>SEEMsavings!J9</f>
        <v>16.962917192124763</v>
      </c>
      <c r="G6">
        <f>SEEMsavings!K9</f>
        <v>1.4361330725895129</v>
      </c>
    </row>
    <row r="7" spans="1:8">
      <c r="A7" s="286" t="s">
        <v>750</v>
      </c>
      <c r="B7" s="180">
        <f>SEEMsavings!B10</f>
        <v>117.94453152744856</v>
      </c>
      <c r="C7" s="41">
        <f>SEEMsavings!E10</f>
        <v>31.345845989999969</v>
      </c>
      <c r="F7">
        <f>SEEMsavings!J10</f>
        <v>16.962917192124763</v>
      </c>
      <c r="G7">
        <f>SEEMsavings!K10</f>
        <v>1.4361330725895129</v>
      </c>
    </row>
    <row r="8" spans="1:8">
      <c r="A8" s="286" t="s">
        <v>751</v>
      </c>
      <c r="B8" s="180">
        <f>SEEMsavings!B11</f>
        <v>117.94453152744856</v>
      </c>
      <c r="C8" s="41">
        <f>SEEMsavings!E11</f>
        <v>51.086072969999947</v>
      </c>
      <c r="F8">
        <f>SEEMsavings!J11</f>
        <v>16.962917192124763</v>
      </c>
      <c r="G8">
        <f>SEEMsavings!K11</f>
        <v>1.4361330725895129</v>
      </c>
    </row>
    <row r="9" spans="1:8">
      <c r="A9" s="286" t="s">
        <v>752</v>
      </c>
      <c r="B9" s="180">
        <f>SEEMsavings!B12</f>
        <v>97.633593264434865</v>
      </c>
      <c r="C9" s="41">
        <f>SEEMsavings!E12</f>
        <v>16.101439590000009</v>
      </c>
      <c r="F9">
        <f>SEEMsavings!J12</f>
        <v>14.041774860318608</v>
      </c>
      <c r="G9">
        <f>SEEMsavings!K12</f>
        <v>1.1888201213481004</v>
      </c>
    </row>
    <row r="10" spans="1:8">
      <c r="A10" s="286" t="s">
        <v>753</v>
      </c>
      <c r="B10" s="180">
        <f>SEEMsavings!B13</f>
        <v>97.633593264434865</v>
      </c>
      <c r="C10" s="41">
        <f>SEEMsavings!E13</f>
        <v>31.558066760000042</v>
      </c>
      <c r="F10">
        <f>SEEMsavings!J13</f>
        <v>14.041774860318608</v>
      </c>
      <c r="G10">
        <f>SEEMsavings!K13</f>
        <v>1.1888201213481004</v>
      </c>
    </row>
    <row r="11" spans="1:8">
      <c r="A11" s="296" t="s">
        <v>754</v>
      </c>
      <c r="B11" s="180">
        <f>SEEMsavings!B14</f>
        <v>97.633593264434865</v>
      </c>
      <c r="C11" s="41">
        <f>SEEMsavings!E14</f>
        <v>51.227045089999876</v>
      </c>
      <c r="F11">
        <f>SEEMsavings!J14</f>
        <v>14.041774860318608</v>
      </c>
      <c r="G11">
        <f>SEEMsavings!K14</f>
        <v>1.1888201213481004</v>
      </c>
    </row>
    <row r="12" spans="1:8">
      <c r="A12" s="278" t="s">
        <v>755</v>
      </c>
      <c r="B12" s="180">
        <f>SEEMsavings!B19</f>
        <v>399.97917299272876</v>
      </c>
      <c r="C12" s="180">
        <f>SEEMsavings!E19</f>
        <v>63.646904412715216</v>
      </c>
      <c r="F12" s="180">
        <f>SEEMsavings!J19</f>
        <v>75.492708690784525</v>
      </c>
      <c r="G12">
        <f>SEEMsavings!K19</f>
        <v>6.3914463804925932</v>
      </c>
    </row>
    <row r="13" spans="1:8">
      <c r="A13" s="286" t="s">
        <v>756</v>
      </c>
      <c r="B13" s="180">
        <f>SEEMsavings!B20</f>
        <v>399.97917299272876</v>
      </c>
      <c r="C13" s="180">
        <f>SEEMsavings!E20</f>
        <v>148.1378811331501</v>
      </c>
      <c r="F13" s="180">
        <f>SEEMsavings!J20</f>
        <v>75.492708690784525</v>
      </c>
      <c r="G13">
        <f>SEEMsavings!K20</f>
        <v>6.3914463804925932</v>
      </c>
    </row>
    <row r="14" spans="1:8">
      <c r="A14" s="286" t="s">
        <v>757</v>
      </c>
      <c r="B14" s="180">
        <f>SEEMsavings!B21</f>
        <v>399.97917299272876</v>
      </c>
      <c r="C14" s="180">
        <f>SEEMsavings!E21</f>
        <v>248.28454951850256</v>
      </c>
      <c r="F14" s="180">
        <f>SEEMsavings!J21</f>
        <v>75.492708690784525</v>
      </c>
      <c r="G14">
        <f>SEEMsavings!K21</f>
        <v>6.3914463804925932</v>
      </c>
    </row>
    <row r="15" spans="1:8">
      <c r="A15" s="286" t="s">
        <v>758</v>
      </c>
      <c r="B15" s="180">
        <f>SEEMsavings!B22</f>
        <v>582.31227378469714</v>
      </c>
      <c r="C15" s="180">
        <f>SEEMsavings!E22</f>
        <v>63.646904412715216</v>
      </c>
      <c r="F15" s="180">
        <f>SEEMsavings!J22</f>
        <v>83.74881609385038</v>
      </c>
      <c r="G15">
        <f>SEEMsavings!K22</f>
        <v>7.0904339872881206</v>
      </c>
    </row>
    <row r="16" spans="1:8">
      <c r="A16" s="286" t="s">
        <v>759</v>
      </c>
      <c r="B16" s="180">
        <f>SEEMsavings!B23</f>
        <v>582.31227378469714</v>
      </c>
      <c r="C16" s="180">
        <f>SEEMsavings!E23</f>
        <v>148.1378811331501</v>
      </c>
      <c r="F16" s="180">
        <f>SEEMsavings!J23</f>
        <v>83.74881609385038</v>
      </c>
      <c r="G16">
        <f>SEEMsavings!K23</f>
        <v>7.0904339872881206</v>
      </c>
    </row>
    <row r="17" spans="1:8">
      <c r="A17" s="286" t="s">
        <v>760</v>
      </c>
      <c r="B17" s="180">
        <f>SEEMsavings!B24</f>
        <v>582.31227378469714</v>
      </c>
      <c r="C17" s="180">
        <f>SEEMsavings!E24</f>
        <v>248.28454951850256</v>
      </c>
      <c r="F17" s="180">
        <f>SEEMsavings!J24</f>
        <v>83.74881609385038</v>
      </c>
      <c r="G17">
        <f>SEEMsavings!K24</f>
        <v>7.0904339872881206</v>
      </c>
    </row>
    <row r="18" spans="1:8">
      <c r="A18" s="286" t="s">
        <v>761</v>
      </c>
      <c r="B18" s="180">
        <f>SEEMsavings!B25</f>
        <v>673.77497156488607</v>
      </c>
      <c r="C18" s="180">
        <f>SEEMsavings!E25</f>
        <v>63.646904412715216</v>
      </c>
      <c r="F18" s="180">
        <f>SEEMsavings!J25</f>
        <v>96.903085719759943</v>
      </c>
      <c r="G18">
        <f>SEEMsavings!K25</f>
        <v>8.2041151685120024</v>
      </c>
    </row>
    <row r="19" spans="1:8">
      <c r="A19" s="286" t="s">
        <v>762</v>
      </c>
      <c r="B19" s="180">
        <f>SEEMsavings!B26</f>
        <v>673.77497156488607</v>
      </c>
      <c r="C19" s="180">
        <f>SEEMsavings!E26</f>
        <v>148.1378811331501</v>
      </c>
      <c r="F19" s="180">
        <f>SEEMsavings!J26</f>
        <v>96.903085719759943</v>
      </c>
      <c r="G19">
        <f>SEEMsavings!K26</f>
        <v>8.2041151685120024</v>
      </c>
    </row>
    <row r="20" spans="1:8">
      <c r="A20" s="296" t="s">
        <v>763</v>
      </c>
      <c r="B20" s="180">
        <f>SEEMsavings!B27</f>
        <v>673.77497156488607</v>
      </c>
      <c r="C20" s="180">
        <f>SEEMsavings!E27</f>
        <v>248.28454951850256</v>
      </c>
      <c r="F20" s="180">
        <f>SEEMsavings!J27</f>
        <v>96.903085719759943</v>
      </c>
      <c r="G20">
        <f>SEEMsavings!K27</f>
        <v>8.2041151685120024</v>
      </c>
    </row>
    <row r="21" spans="1:8">
      <c r="A21" s="286" t="s">
        <v>764</v>
      </c>
      <c r="B21" s="180">
        <f>SEEMsavings!B34</f>
        <v>2738.5165726189575</v>
      </c>
      <c r="C21" s="180">
        <f>'Cost Analysis'!Q60</f>
        <v>-32.124417637256897</v>
      </c>
      <c r="F21">
        <f>SEEMsavings!J34</f>
        <v>647.00661623411406</v>
      </c>
      <c r="G21">
        <f>SEEMsavings!K34</f>
        <v>54.777582725536647</v>
      </c>
      <c r="H21">
        <f>'Cost Analysis'!U60</f>
        <v>4.2672027323999426</v>
      </c>
    </row>
    <row r="22" spans="1:8">
      <c r="A22" s="286" t="s">
        <v>765</v>
      </c>
      <c r="B22" s="180">
        <f>SEEMsavings!B35</f>
        <v>2738.5165726189575</v>
      </c>
      <c r="C22" s="180">
        <f>'Cost Analysis'!Q61</f>
        <v>-32.124417637256897</v>
      </c>
      <c r="F22">
        <f>SEEMsavings!J35</f>
        <v>647.00661623411406</v>
      </c>
      <c r="G22">
        <f>SEEMsavings!K35</f>
        <v>54.777582725536647</v>
      </c>
      <c r="H22">
        <f>'Cost Analysis'!U61</f>
        <v>4.2672027323999426</v>
      </c>
    </row>
    <row r="23" spans="1:8">
      <c r="A23" s="286" t="s">
        <v>766</v>
      </c>
      <c r="B23" s="180">
        <f>SEEMsavings!B36</f>
        <v>2738.5165726189575</v>
      </c>
      <c r="C23" s="180">
        <f>'Cost Analysis'!Q62</f>
        <v>-32.124417637256897</v>
      </c>
      <c r="F23">
        <f>SEEMsavings!J36</f>
        <v>647.00661623411406</v>
      </c>
      <c r="G23">
        <f>SEEMsavings!K36</f>
        <v>54.777582725536647</v>
      </c>
      <c r="H23">
        <f>'Cost Analysis'!U62</f>
        <v>4.2672027323999426</v>
      </c>
    </row>
    <row r="24" spans="1:8">
      <c r="A24" s="286" t="s">
        <v>767</v>
      </c>
      <c r="B24" s="180">
        <f>SEEMsavings!B37</f>
        <v>2976.9281092658866</v>
      </c>
      <c r="C24" s="180">
        <f>'Cost Analysis'!Q63</f>
        <v>117.23903663470225</v>
      </c>
      <c r="F24">
        <f>SEEMsavings!J37</f>
        <v>523.38794824392289</v>
      </c>
      <c r="G24">
        <f>SEEMsavings!K37</f>
        <v>44.311643672754037</v>
      </c>
      <c r="H24">
        <f>'Cost Analysis'!U63</f>
        <v>5.8134205779960713</v>
      </c>
    </row>
    <row r="25" spans="1:8">
      <c r="A25" s="286" t="s">
        <v>768</v>
      </c>
      <c r="B25" s="180">
        <f>SEEMsavings!B38</f>
        <v>2976.9281092658866</v>
      </c>
      <c r="C25" s="180">
        <f>'Cost Analysis'!Q64</f>
        <v>117.23903663470225</v>
      </c>
      <c r="F25">
        <f>SEEMsavings!J38</f>
        <v>523.38794824392289</v>
      </c>
      <c r="G25">
        <f>SEEMsavings!K38</f>
        <v>44.311643672754037</v>
      </c>
      <c r="H25">
        <f>'Cost Analysis'!U64</f>
        <v>5.8134205779960713</v>
      </c>
    </row>
    <row r="26" spans="1:8">
      <c r="A26" s="286" t="s">
        <v>769</v>
      </c>
      <c r="B26" s="180">
        <f>SEEMsavings!B39</f>
        <v>2976.9281092658866</v>
      </c>
      <c r="C26" s="180">
        <f>'Cost Analysis'!Q65</f>
        <v>117.23903663470225</v>
      </c>
      <c r="F26">
        <f>SEEMsavings!J39</f>
        <v>523.38794824392289</v>
      </c>
      <c r="G26">
        <f>SEEMsavings!K39</f>
        <v>44.311643672754037</v>
      </c>
      <c r="H26">
        <f>'Cost Analysis'!U65</f>
        <v>5.8134205779960713</v>
      </c>
    </row>
    <row r="27" spans="1:8">
      <c r="A27" s="286" t="s">
        <v>770</v>
      </c>
      <c r="B27" s="180">
        <f>SEEMsavings!B40</f>
        <v>1639.8901000105166</v>
      </c>
      <c r="C27" s="180">
        <f>'Cost Analysis'!Q66</f>
        <v>412</v>
      </c>
      <c r="F27">
        <f>SEEMsavings!J40</f>
        <v>1509.3063718391163</v>
      </c>
      <c r="G27">
        <f>SEEMsavings!K40</f>
        <v>127.78254899897512</v>
      </c>
      <c r="H27">
        <f>'Cost Analysis'!U66</f>
        <v>0</v>
      </c>
    </row>
    <row r="28" spans="1:8">
      <c r="A28" s="286" t="s">
        <v>771</v>
      </c>
      <c r="B28" s="180">
        <f>SEEMsavings!B41</f>
        <v>1639.8901000105166</v>
      </c>
      <c r="C28" s="180">
        <f>'Cost Analysis'!Q67</f>
        <v>412</v>
      </c>
      <c r="F28">
        <f>SEEMsavings!J41</f>
        <v>1509.3063718391163</v>
      </c>
      <c r="G28">
        <f>SEEMsavings!K41</f>
        <v>127.78254899897512</v>
      </c>
      <c r="H28">
        <f>'Cost Analysis'!U67</f>
        <v>0</v>
      </c>
    </row>
    <row r="29" spans="1:8">
      <c r="A29" s="296" t="s">
        <v>772</v>
      </c>
      <c r="B29" s="180">
        <f>SEEMsavings!B42</f>
        <v>1639.8901000105166</v>
      </c>
      <c r="C29" s="180">
        <f>'Cost Analysis'!Q68</f>
        <v>412</v>
      </c>
      <c r="F29">
        <f>SEEMsavings!J42</f>
        <v>1509.3063718391163</v>
      </c>
      <c r="G29">
        <f>SEEMsavings!K42</f>
        <v>127.78254899897512</v>
      </c>
      <c r="H29">
        <f>'Cost Analysis'!U68</f>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Z164"/>
  <sheetViews>
    <sheetView topLeftCell="A43" workbookViewId="0">
      <selection activeCell="J60" sqref="J60"/>
    </sheetView>
  </sheetViews>
  <sheetFormatPr defaultRowHeight="12.75"/>
  <cols>
    <col min="1" max="1" width="35" customWidth="1"/>
  </cols>
  <sheetData>
    <row r="1" spans="1:9">
      <c r="A1" s="7"/>
      <c r="B1" s="7"/>
      <c r="C1" s="7"/>
      <c r="D1" s="7"/>
      <c r="E1" s="7"/>
      <c r="F1" s="7"/>
      <c r="G1" s="7"/>
      <c r="H1" s="7"/>
      <c r="I1" s="7"/>
    </row>
    <row r="2" spans="1:9">
      <c r="A2" s="215" t="s">
        <v>588</v>
      </c>
      <c r="B2" s="215" t="s">
        <v>589</v>
      </c>
      <c r="C2" s="215" t="s">
        <v>590</v>
      </c>
      <c r="D2" s="7"/>
      <c r="E2" s="7"/>
      <c r="F2" s="7"/>
      <c r="G2" s="7"/>
      <c r="H2" s="7"/>
      <c r="I2" s="7"/>
    </row>
    <row r="3" spans="1:9">
      <c r="A3" s="215" t="s">
        <v>591</v>
      </c>
      <c r="B3" s="7">
        <f>'[4]Air Source HP'!$N$61</f>
        <v>596</v>
      </c>
      <c r="C3" s="7">
        <f>'[4]Air Source HP'!$E$147</f>
        <v>265</v>
      </c>
      <c r="D3" s="7"/>
      <c r="E3" s="7"/>
      <c r="F3" s="7"/>
      <c r="G3" s="7"/>
      <c r="H3" s="7"/>
      <c r="I3" s="7"/>
    </row>
    <row r="4" spans="1:9">
      <c r="A4" s="215" t="s">
        <v>592</v>
      </c>
      <c r="B4" s="35">
        <f>'[4]Air Source HP'!$N$62</f>
        <v>4340.8</v>
      </c>
      <c r="C4" s="216">
        <f>'[4]Air Source HP'!$E$148</f>
        <v>1184</v>
      </c>
      <c r="D4" s="7"/>
      <c r="E4" s="7"/>
      <c r="F4" s="7"/>
      <c r="G4" s="7"/>
      <c r="H4" s="7"/>
      <c r="I4" s="7"/>
    </row>
    <row r="5" spans="1:9">
      <c r="A5" s="7"/>
      <c r="B5" s="7"/>
      <c r="C5" s="7"/>
      <c r="D5" s="7"/>
      <c r="E5" s="7"/>
      <c r="F5" s="7"/>
      <c r="G5" s="7"/>
      <c r="H5" s="7"/>
      <c r="I5" s="7"/>
    </row>
    <row r="6" spans="1:9">
      <c r="A6" s="215" t="s">
        <v>593</v>
      </c>
      <c r="B6" s="47">
        <v>1</v>
      </c>
      <c r="C6" s="7"/>
      <c r="D6" s="7"/>
      <c r="E6" s="7"/>
      <c r="F6" s="7"/>
      <c r="G6" s="7"/>
      <c r="H6" s="7"/>
      <c r="I6" s="7"/>
    </row>
    <row r="7" spans="1:9">
      <c r="A7" s="215" t="s">
        <v>594</v>
      </c>
      <c r="B7" s="47">
        <v>0.97399999999999998</v>
      </c>
      <c r="C7" s="7"/>
      <c r="D7" s="7"/>
      <c r="E7" s="7"/>
      <c r="F7" s="7"/>
      <c r="G7" s="7"/>
      <c r="H7" s="7"/>
      <c r="I7" s="7"/>
    </row>
    <row r="8" spans="1:9">
      <c r="A8" s="215"/>
      <c r="B8" s="7"/>
      <c r="C8" s="7"/>
      <c r="D8" s="7"/>
      <c r="E8" s="7"/>
      <c r="F8" s="7"/>
      <c r="G8" s="7"/>
      <c r="H8" s="7"/>
      <c r="I8" s="7"/>
    </row>
    <row r="9" spans="1:9">
      <c r="A9" s="215"/>
      <c r="B9" s="7"/>
      <c r="C9" s="7"/>
      <c r="D9" s="7"/>
      <c r="E9" s="7"/>
      <c r="F9" s="7"/>
      <c r="G9" s="7"/>
      <c r="H9" s="7"/>
      <c r="I9" s="7"/>
    </row>
    <row r="10" spans="1:9">
      <c r="A10" s="215"/>
      <c r="B10" s="7"/>
      <c r="C10" s="7"/>
      <c r="D10" s="217" t="s">
        <v>595</v>
      </c>
      <c r="E10" s="217" t="s">
        <v>596</v>
      </c>
      <c r="F10" s="217" t="s">
        <v>597</v>
      </c>
      <c r="G10" s="7"/>
      <c r="H10" s="7"/>
      <c r="I10" s="7"/>
    </row>
    <row r="11" spans="1:9">
      <c r="A11" s="7"/>
      <c r="B11" s="7"/>
      <c r="C11" s="7"/>
      <c r="D11" s="217" t="s">
        <v>598</v>
      </c>
      <c r="E11" s="217" t="s">
        <v>598</v>
      </c>
      <c r="F11" s="217" t="s">
        <v>598</v>
      </c>
      <c r="G11" s="7"/>
      <c r="H11" s="7"/>
      <c r="I11" s="7"/>
    </row>
    <row r="12" spans="1:9">
      <c r="A12" s="218" t="s">
        <v>599</v>
      </c>
      <c r="B12" s="219" t="s">
        <v>600</v>
      </c>
      <c r="C12" s="219" t="s">
        <v>601</v>
      </c>
      <c r="D12" s="219" t="s">
        <v>602</v>
      </c>
      <c r="E12" s="219" t="s">
        <v>603</v>
      </c>
      <c r="F12" s="220" t="s">
        <v>604</v>
      </c>
      <c r="G12" s="7"/>
      <c r="H12" s="7"/>
      <c r="I12" s="7"/>
    </row>
    <row r="13" spans="1:9">
      <c r="A13" s="221" t="s">
        <v>605</v>
      </c>
      <c r="B13" s="222">
        <v>1</v>
      </c>
      <c r="C13" s="223">
        <f>[5]AdjustedOutputsSF!$Y16</f>
        <v>2.0200864049509297</v>
      </c>
      <c r="D13" s="224">
        <f>($B$4+$B$3*C13)*$B$6</f>
        <v>5544.7714973507545</v>
      </c>
      <c r="E13" s="224">
        <f>($C$4+$C$3*C13)*$B$6</f>
        <v>1719.3228973119963</v>
      </c>
      <c r="F13" s="225">
        <f>'[4]Air Source HP'!$E$138*B6</f>
        <v>862</v>
      </c>
      <c r="G13" s="7"/>
      <c r="H13" s="7"/>
      <c r="I13" s="7"/>
    </row>
    <row r="14" spans="1:9">
      <c r="A14" s="226" t="s">
        <v>605</v>
      </c>
      <c r="B14" s="227">
        <v>2</v>
      </c>
      <c r="C14" s="228">
        <f>[5]AdjustedOutputsSF!$Y17</f>
        <v>2.0647578197520788</v>
      </c>
      <c r="D14" s="229">
        <f t="shared" ref="D14:D15" si="0">($B$4+$B$3*C14)*$B$6</f>
        <v>5571.3956605722396</v>
      </c>
      <c r="E14" s="229">
        <f t="shared" ref="E14:E15" si="1">($C$4+$C$3*C14)*$B$6</f>
        <v>1731.1608222343009</v>
      </c>
      <c r="F14" s="230">
        <f>'[4]Air Source HP'!$E$138*B6</f>
        <v>862</v>
      </c>
      <c r="G14" s="7"/>
      <c r="H14" s="7"/>
      <c r="I14" s="7"/>
    </row>
    <row r="15" spans="1:9">
      <c r="A15" s="231" t="s">
        <v>605</v>
      </c>
      <c r="B15" s="232">
        <v>3</v>
      </c>
      <c r="C15" s="233">
        <f>[5]AdjustedOutputsSF!$Y18</f>
        <v>2.0349476876355062</v>
      </c>
      <c r="D15" s="234">
        <f t="shared" si="0"/>
        <v>5553.6288218307618</v>
      </c>
      <c r="E15" s="234">
        <f t="shared" si="1"/>
        <v>1723.2611372234092</v>
      </c>
      <c r="F15" s="235">
        <f>'[4]Air Source HP'!$E$138*B6</f>
        <v>862</v>
      </c>
      <c r="G15" s="7"/>
      <c r="H15" s="7"/>
      <c r="I15" s="7"/>
    </row>
    <row r="16" spans="1:9">
      <c r="A16" s="7"/>
      <c r="B16" s="49"/>
      <c r="C16" s="7"/>
      <c r="D16" s="7"/>
      <c r="E16" s="7"/>
      <c r="F16" s="7"/>
      <c r="G16" s="7"/>
      <c r="H16" s="7"/>
      <c r="I16" s="7"/>
    </row>
    <row r="17" spans="1:9">
      <c r="A17" s="7"/>
      <c r="B17" s="49"/>
      <c r="C17" s="7"/>
      <c r="D17" s="7"/>
      <c r="E17" s="7"/>
      <c r="F17" s="7"/>
      <c r="G17" s="7"/>
      <c r="H17" s="7"/>
      <c r="I17" s="7"/>
    </row>
    <row r="18" spans="1:9" ht="63.75">
      <c r="A18" s="236" t="s">
        <v>606</v>
      </c>
      <c r="B18" s="236" t="s">
        <v>607</v>
      </c>
      <c r="C18" s="237" t="s">
        <v>608</v>
      </c>
      <c r="D18" s="236" t="s">
        <v>609</v>
      </c>
      <c r="E18" s="7"/>
      <c r="F18" s="7"/>
      <c r="G18" s="7"/>
      <c r="H18" s="7"/>
      <c r="I18" s="7"/>
    </row>
    <row r="19" spans="1:9">
      <c r="A19" s="238">
        <f>'[4]Air Source HP'!A106</f>
        <v>8.5</v>
      </c>
      <c r="B19" s="223">
        <f>'[4]Air Source HP'!C106</f>
        <v>1.5</v>
      </c>
      <c r="C19" s="239">
        <f>'[4]Air Source HP'!E106</f>
        <v>5343</v>
      </c>
      <c r="D19" s="240">
        <f>C19*$B$6</f>
        <v>5343</v>
      </c>
      <c r="E19" s="7"/>
      <c r="F19" s="7"/>
      <c r="G19" s="7"/>
      <c r="H19" s="7"/>
      <c r="I19" s="7"/>
    </row>
    <row r="20" spans="1:9">
      <c r="A20" s="241">
        <f>'[4]Air Source HP'!A107</f>
        <v>8.5</v>
      </c>
      <c r="B20" s="228">
        <f>'[4]Air Source HP'!C107</f>
        <v>2</v>
      </c>
      <c r="C20" s="242">
        <f>'[4]Air Source HP'!E107</f>
        <v>5480</v>
      </c>
      <c r="D20" s="243">
        <f t="shared" ref="D20:D23" si="2">C20*$B$6</f>
        <v>5480</v>
      </c>
      <c r="E20" s="7"/>
      <c r="F20" s="7"/>
      <c r="G20" s="7"/>
      <c r="H20" s="7"/>
      <c r="I20" s="7"/>
    </row>
    <row r="21" spans="1:9">
      <c r="A21" s="241">
        <f>'[4]Air Source HP'!A108</f>
        <v>8.5</v>
      </c>
      <c r="B21" s="228">
        <f>'[4]Air Source HP'!C108</f>
        <v>2.5</v>
      </c>
      <c r="C21" s="242">
        <f>'[4]Air Source HP'!E108</f>
        <v>5700</v>
      </c>
      <c r="D21" s="243">
        <f t="shared" si="2"/>
        <v>5700</v>
      </c>
      <c r="E21" s="7"/>
      <c r="F21" s="7"/>
      <c r="G21" s="7"/>
      <c r="H21" s="7"/>
      <c r="I21" s="7"/>
    </row>
    <row r="22" spans="1:9">
      <c r="A22" s="241">
        <f>'[4]Air Source HP'!A109</f>
        <v>8.5</v>
      </c>
      <c r="B22" s="228">
        <f>'[4]Air Source HP'!C109</f>
        <v>3</v>
      </c>
      <c r="C22" s="242">
        <f>'[4]Air Source HP'!E109</f>
        <v>6116</v>
      </c>
      <c r="D22" s="243">
        <f t="shared" si="2"/>
        <v>6116</v>
      </c>
      <c r="E22" s="7"/>
      <c r="F22" s="7"/>
      <c r="G22" s="7"/>
      <c r="H22" s="7"/>
      <c r="I22" s="7"/>
    </row>
    <row r="23" spans="1:9">
      <c r="A23" s="244">
        <f>'[4]Air Source HP'!A110</f>
        <v>8.5</v>
      </c>
      <c r="B23" s="233">
        <f>'[4]Air Source HP'!C110</f>
        <v>3.5</v>
      </c>
      <c r="C23" s="245">
        <f>'[4]Air Source HP'!E110</f>
        <v>6515</v>
      </c>
      <c r="D23" s="246">
        <f t="shared" si="2"/>
        <v>6515</v>
      </c>
      <c r="E23" s="7"/>
      <c r="F23" s="7"/>
      <c r="G23" s="7"/>
      <c r="H23" s="7"/>
      <c r="I23" s="7"/>
    </row>
    <row r="24" spans="1:9">
      <c r="A24" s="247" t="s">
        <v>610</v>
      </c>
      <c r="B24" s="223">
        <v>2.5</v>
      </c>
      <c r="C24" s="248">
        <f>B24*$S$147</f>
        <v>9893.75</v>
      </c>
      <c r="D24" s="249">
        <f>C24*$B$7</f>
        <v>9636.5124999999989</v>
      </c>
      <c r="E24" s="7"/>
      <c r="F24" s="7"/>
      <c r="G24" s="7"/>
      <c r="H24" s="7"/>
      <c r="I24" s="7"/>
    </row>
    <row r="25" spans="1:9">
      <c r="A25" s="250" t="s">
        <v>610</v>
      </c>
      <c r="B25" s="228">
        <v>3</v>
      </c>
      <c r="C25" s="251">
        <f t="shared" ref="C25:C27" si="3">B25*$S$147</f>
        <v>11872.5</v>
      </c>
      <c r="D25" s="252">
        <f t="shared" ref="D25:D27" si="4">C25*$B$7</f>
        <v>11563.815000000001</v>
      </c>
      <c r="E25" s="7"/>
      <c r="F25" s="7"/>
      <c r="G25" s="7"/>
      <c r="H25" s="7"/>
      <c r="I25" s="7"/>
    </row>
    <row r="26" spans="1:9">
      <c r="A26" s="250" t="s">
        <v>610</v>
      </c>
      <c r="B26" s="228">
        <v>3.5</v>
      </c>
      <c r="C26" s="251">
        <f t="shared" si="3"/>
        <v>13851.25</v>
      </c>
      <c r="D26" s="252">
        <f t="shared" si="4"/>
        <v>13491.1175</v>
      </c>
      <c r="E26" s="7"/>
      <c r="F26" s="7"/>
      <c r="G26" s="7"/>
      <c r="H26" s="7"/>
      <c r="I26" s="7"/>
    </row>
    <row r="27" spans="1:9">
      <c r="A27" s="253" t="s">
        <v>610</v>
      </c>
      <c r="B27" s="233">
        <v>4</v>
      </c>
      <c r="C27" s="254">
        <f t="shared" si="3"/>
        <v>15830</v>
      </c>
      <c r="D27" s="255">
        <f t="shared" si="4"/>
        <v>15418.42</v>
      </c>
      <c r="E27" s="7"/>
      <c r="F27" s="7"/>
      <c r="G27" s="7"/>
      <c r="H27" s="7"/>
      <c r="I27" s="7"/>
    </row>
    <row r="28" spans="1:9">
      <c r="A28" s="7"/>
      <c r="B28" s="49"/>
      <c r="C28" s="7"/>
      <c r="D28" s="7"/>
      <c r="E28" s="7"/>
      <c r="F28" s="7"/>
      <c r="G28" s="7"/>
      <c r="H28" s="7"/>
      <c r="I28" s="7"/>
    </row>
    <row r="29" spans="1:9" ht="13.5" thickBot="1">
      <c r="A29" s="7"/>
      <c r="B29" s="7"/>
      <c r="C29" s="7"/>
      <c r="D29" s="7"/>
      <c r="E29" s="7"/>
      <c r="F29" s="7"/>
      <c r="G29" s="7"/>
      <c r="H29" s="7"/>
      <c r="I29" s="7"/>
    </row>
    <row r="30" spans="1:9">
      <c r="A30" s="256" t="s">
        <v>611</v>
      </c>
      <c r="B30" s="257" t="s">
        <v>612</v>
      </c>
      <c r="C30" s="257" t="s">
        <v>613</v>
      </c>
      <c r="D30" s="258" t="s">
        <v>614</v>
      </c>
      <c r="E30" s="7"/>
      <c r="F30" s="7"/>
      <c r="G30" s="7"/>
      <c r="H30" s="7"/>
      <c r="I30" s="7"/>
    </row>
    <row r="31" spans="1:9">
      <c r="A31" s="259" t="s">
        <v>615</v>
      </c>
      <c r="B31" s="260">
        <f>'[4]Air Source HP'!$B$23</f>
        <v>80.823411921055197</v>
      </c>
      <c r="C31" s="261" t="s">
        <v>616</v>
      </c>
      <c r="D31" s="262" t="s">
        <v>598</v>
      </c>
      <c r="E31" s="7"/>
      <c r="F31" s="7"/>
      <c r="G31" s="7"/>
      <c r="H31" s="7"/>
      <c r="I31" s="7"/>
    </row>
    <row r="32" spans="1:9">
      <c r="A32" s="259" t="s">
        <v>617</v>
      </c>
      <c r="B32" s="260">
        <f>D25-D22</f>
        <v>5447.8150000000005</v>
      </c>
      <c r="C32" s="217" t="s">
        <v>618</v>
      </c>
      <c r="D32" s="217" t="s">
        <v>619</v>
      </c>
      <c r="E32" s="7"/>
      <c r="F32" s="7"/>
      <c r="G32" s="7"/>
      <c r="H32" s="7"/>
      <c r="I32" s="7"/>
    </row>
    <row r="33" spans="1:21">
      <c r="A33" s="259" t="s">
        <v>620</v>
      </c>
      <c r="B33" s="263" t="s">
        <v>621</v>
      </c>
      <c r="C33" s="261" t="s">
        <v>622</v>
      </c>
      <c r="D33" s="262" t="s">
        <v>623</v>
      </c>
      <c r="E33" s="7"/>
      <c r="F33" s="7"/>
      <c r="G33" s="7"/>
      <c r="H33" s="7"/>
      <c r="I33" s="7"/>
    </row>
    <row r="34" spans="1:21" ht="13.5" thickBot="1">
      <c r="A34" s="264" t="s">
        <v>624</v>
      </c>
      <c r="B34" s="265" t="s">
        <v>621</v>
      </c>
      <c r="C34" s="266" t="s">
        <v>622</v>
      </c>
      <c r="D34" s="267" t="s">
        <v>623</v>
      </c>
      <c r="E34" s="7"/>
      <c r="F34" s="7"/>
      <c r="G34" s="7"/>
      <c r="H34" s="7"/>
      <c r="I34" s="7"/>
    </row>
    <row r="40" spans="1:21">
      <c r="A40" s="268"/>
      <c r="B40" s="269"/>
      <c r="C40" s="217"/>
      <c r="D40" s="217"/>
      <c r="E40" s="7"/>
      <c r="F40" s="7"/>
      <c r="G40" s="7"/>
      <c r="H40" s="7"/>
      <c r="I40" s="7"/>
    </row>
    <row r="41" spans="1:21" ht="76.5">
      <c r="A41" s="270" t="s">
        <v>22</v>
      </c>
      <c r="B41" s="271" t="s">
        <v>625</v>
      </c>
      <c r="C41" s="271" t="s">
        <v>626</v>
      </c>
      <c r="D41" s="271" t="s">
        <v>627</v>
      </c>
      <c r="E41" s="271" t="s">
        <v>628</v>
      </c>
      <c r="F41" s="271" t="s">
        <v>629</v>
      </c>
      <c r="G41" s="272" t="s">
        <v>630</v>
      </c>
      <c r="H41" s="272" t="s">
        <v>631</v>
      </c>
      <c r="I41" s="272" t="s">
        <v>632</v>
      </c>
      <c r="J41" s="273" t="s">
        <v>633</v>
      </c>
      <c r="K41" s="271" t="s">
        <v>634</v>
      </c>
      <c r="L41" s="271" t="s">
        <v>635</v>
      </c>
      <c r="M41" s="271" t="s">
        <v>636</v>
      </c>
      <c r="N41" s="271" t="s">
        <v>637</v>
      </c>
      <c r="O41" s="271" t="s">
        <v>638</v>
      </c>
      <c r="P41" s="271" t="s">
        <v>639</v>
      </c>
      <c r="Q41" s="274" t="s">
        <v>640</v>
      </c>
      <c r="R41" s="275" t="s">
        <v>641</v>
      </c>
      <c r="S41" s="276" t="s">
        <v>642</v>
      </c>
      <c r="T41" s="276" t="s">
        <v>643</v>
      </c>
      <c r="U41" s="277" t="s">
        <v>644</v>
      </c>
    </row>
    <row r="42" spans="1:21" s="7" customFormat="1">
      <c r="A42" s="278" t="s">
        <v>645</v>
      </c>
      <c r="B42" s="278"/>
      <c r="C42" s="248">
        <f>$B$31</f>
        <v>80.823411921055197</v>
      </c>
      <c r="D42" s="248"/>
      <c r="E42" s="279"/>
      <c r="F42" s="279"/>
      <c r="G42" s="248"/>
      <c r="H42" s="280"/>
      <c r="I42" s="279"/>
      <c r="J42" s="249">
        <f>C42-F42-I42</f>
        <v>80.823411921055197</v>
      </c>
      <c r="K42" s="281">
        <f>S75*18/9</f>
        <v>0</v>
      </c>
      <c r="L42" s="282">
        <v>1</v>
      </c>
      <c r="M42" s="283"/>
      <c r="N42" s="281"/>
      <c r="O42" s="284">
        <v>1</v>
      </c>
      <c r="P42" s="281">
        <f>O42*N42</f>
        <v>0</v>
      </c>
      <c r="Q42" s="285">
        <f t="shared" ref="Q42:Q68" si="5">M42-P42</f>
        <v>0</v>
      </c>
      <c r="R42" s="281"/>
      <c r="S42" s="284">
        <v>0</v>
      </c>
      <c r="T42" s="281">
        <f>S42*R42</f>
        <v>0</v>
      </c>
      <c r="U42" s="240">
        <f>T42*'[4]Wood Fuel Credit'!$B$28</f>
        <v>0</v>
      </c>
    </row>
    <row r="43" spans="1:21" s="7" customFormat="1">
      <c r="A43" s="286" t="s">
        <v>646</v>
      </c>
      <c r="B43" s="287"/>
      <c r="C43" s="251">
        <f t="shared" ref="C43:C50" si="6">$B$31</f>
        <v>80.823411921055197</v>
      </c>
      <c r="D43" s="251"/>
      <c r="E43" s="97"/>
      <c r="F43" s="97"/>
      <c r="G43" s="251"/>
      <c r="H43" s="282"/>
      <c r="I43" s="97"/>
      <c r="J43" s="252">
        <f t="shared" ref="J43:J50" si="7">C43-F43-I43</f>
        <v>80.823411921055197</v>
      </c>
      <c r="K43" s="288">
        <f>K42</f>
        <v>0</v>
      </c>
      <c r="L43" s="289">
        <v>1</v>
      </c>
      <c r="M43" s="290"/>
      <c r="N43" s="288"/>
      <c r="O43" s="289">
        <v>1</v>
      </c>
      <c r="P43" s="288">
        <f t="shared" ref="P43:P50" si="8">O43*N43</f>
        <v>0</v>
      </c>
      <c r="Q43" s="291">
        <f t="shared" si="5"/>
        <v>0</v>
      </c>
      <c r="R43" s="288"/>
      <c r="S43" s="282">
        <v>0</v>
      </c>
      <c r="T43" s="288">
        <f t="shared" ref="T43:T50" si="9">S43*R43</f>
        <v>0</v>
      </c>
      <c r="U43" s="243">
        <f>T43*'[4]Wood Fuel Credit'!$B$28</f>
        <v>0</v>
      </c>
    </row>
    <row r="44" spans="1:21" s="7" customFormat="1">
      <c r="A44" s="286" t="s">
        <v>647</v>
      </c>
      <c r="B44" s="287"/>
      <c r="C44" s="251">
        <f t="shared" si="6"/>
        <v>80.823411921055197</v>
      </c>
      <c r="D44" s="251"/>
      <c r="E44" s="97"/>
      <c r="F44" s="97"/>
      <c r="G44" s="251"/>
      <c r="H44" s="282"/>
      <c r="I44" s="97"/>
      <c r="J44" s="252">
        <f t="shared" si="7"/>
        <v>80.823411921055197</v>
      </c>
      <c r="K44" s="288">
        <f>K43</f>
        <v>0</v>
      </c>
      <c r="L44" s="292">
        <v>1</v>
      </c>
      <c r="M44" s="290"/>
      <c r="N44" s="288"/>
      <c r="O44" s="289">
        <v>1</v>
      </c>
      <c r="P44" s="288">
        <f t="shared" si="8"/>
        <v>0</v>
      </c>
      <c r="Q44" s="291">
        <f t="shared" si="5"/>
        <v>0</v>
      </c>
      <c r="R44" s="288"/>
      <c r="S44" s="282">
        <v>0</v>
      </c>
      <c r="T44" s="288">
        <f t="shared" si="9"/>
        <v>0</v>
      </c>
      <c r="U44" s="243">
        <f>T44*'[4]Wood Fuel Credit'!$B$28</f>
        <v>0</v>
      </c>
    </row>
    <row r="45" spans="1:21">
      <c r="A45" s="286" t="s">
        <v>648</v>
      </c>
      <c r="B45" s="287"/>
      <c r="C45" s="251">
        <f t="shared" si="6"/>
        <v>80.823411921055197</v>
      </c>
      <c r="D45" s="251"/>
      <c r="E45" s="97"/>
      <c r="F45" s="97"/>
      <c r="G45" s="251"/>
      <c r="H45" s="282"/>
      <c r="I45" s="293"/>
      <c r="J45" s="252">
        <f t="shared" si="7"/>
        <v>80.823411921055197</v>
      </c>
      <c r="K45" s="294">
        <f>S76*18/9</f>
        <v>0</v>
      </c>
      <c r="L45" s="289">
        <v>1</v>
      </c>
      <c r="M45" s="288"/>
      <c r="N45" s="294"/>
      <c r="O45" s="289">
        <v>1</v>
      </c>
      <c r="P45" s="288">
        <f t="shared" si="8"/>
        <v>0</v>
      </c>
      <c r="Q45" s="291">
        <f t="shared" si="5"/>
        <v>0</v>
      </c>
      <c r="R45" s="288"/>
      <c r="S45" s="282">
        <v>0</v>
      </c>
      <c r="T45" s="288">
        <f t="shared" si="9"/>
        <v>0</v>
      </c>
      <c r="U45" s="243">
        <f>T45*'[4]Wood Fuel Credit'!$B$28</f>
        <v>0</v>
      </c>
    </row>
    <row r="46" spans="1:21">
      <c r="A46" s="286" t="s">
        <v>649</v>
      </c>
      <c r="B46" s="287"/>
      <c r="C46" s="251">
        <f t="shared" si="6"/>
        <v>80.823411921055197</v>
      </c>
      <c r="D46" s="251"/>
      <c r="E46" s="97"/>
      <c r="F46" s="97"/>
      <c r="G46" s="251"/>
      <c r="H46" s="282"/>
      <c r="I46" s="293"/>
      <c r="J46" s="252">
        <f t="shared" si="7"/>
        <v>80.823411921055197</v>
      </c>
      <c r="K46" s="294">
        <f>K45</f>
        <v>0</v>
      </c>
      <c r="L46" s="289">
        <v>1</v>
      </c>
      <c r="M46" s="288"/>
      <c r="N46" s="294"/>
      <c r="O46" s="289">
        <v>1</v>
      </c>
      <c r="P46" s="288">
        <f t="shared" si="8"/>
        <v>0</v>
      </c>
      <c r="Q46" s="291">
        <f t="shared" si="5"/>
        <v>0</v>
      </c>
      <c r="R46" s="288"/>
      <c r="S46" s="282">
        <v>0</v>
      </c>
      <c r="T46" s="288">
        <f t="shared" si="9"/>
        <v>0</v>
      </c>
      <c r="U46" s="243">
        <f>T46*'[4]Wood Fuel Credit'!$B$28</f>
        <v>0</v>
      </c>
    </row>
    <row r="47" spans="1:21">
      <c r="A47" s="286" t="s">
        <v>650</v>
      </c>
      <c r="B47" s="287"/>
      <c r="C47" s="251">
        <f t="shared" si="6"/>
        <v>80.823411921055197</v>
      </c>
      <c r="D47" s="251"/>
      <c r="E47" s="97"/>
      <c r="F47" s="97"/>
      <c r="G47" s="251"/>
      <c r="H47" s="282"/>
      <c r="I47" s="293"/>
      <c r="J47" s="252">
        <f t="shared" si="7"/>
        <v>80.823411921055197</v>
      </c>
      <c r="K47" s="294">
        <f>K46</f>
        <v>0</v>
      </c>
      <c r="L47" s="289">
        <v>1</v>
      </c>
      <c r="M47" s="288"/>
      <c r="N47" s="294"/>
      <c r="O47" s="289">
        <v>1</v>
      </c>
      <c r="P47" s="288">
        <f t="shared" si="8"/>
        <v>0</v>
      </c>
      <c r="Q47" s="291">
        <f t="shared" si="5"/>
        <v>0</v>
      </c>
      <c r="R47" s="288"/>
      <c r="S47" s="282">
        <v>0</v>
      </c>
      <c r="T47" s="288">
        <f t="shared" si="9"/>
        <v>0</v>
      </c>
      <c r="U47" s="243">
        <f>T47*'[4]Wood Fuel Credit'!$B$28</f>
        <v>0</v>
      </c>
    </row>
    <row r="48" spans="1:21">
      <c r="A48" s="286" t="s">
        <v>651</v>
      </c>
      <c r="B48" s="287"/>
      <c r="C48" s="251">
        <f t="shared" si="6"/>
        <v>80.823411921055197</v>
      </c>
      <c r="D48" s="251"/>
      <c r="E48" s="97"/>
      <c r="F48" s="97"/>
      <c r="G48" s="251"/>
      <c r="H48" s="282"/>
      <c r="I48" s="97"/>
      <c r="J48" s="252">
        <f t="shared" si="7"/>
        <v>80.823411921055197</v>
      </c>
      <c r="K48" s="295">
        <f>S77*18/9</f>
        <v>0</v>
      </c>
      <c r="L48" s="289">
        <v>1</v>
      </c>
      <c r="M48" s="288"/>
      <c r="N48" s="295"/>
      <c r="O48" s="289">
        <v>1</v>
      </c>
      <c r="P48" s="288">
        <f t="shared" si="8"/>
        <v>0</v>
      </c>
      <c r="Q48" s="291">
        <f t="shared" si="5"/>
        <v>0</v>
      </c>
      <c r="R48" s="288"/>
      <c r="S48" s="282">
        <v>0</v>
      </c>
      <c r="T48" s="288">
        <f t="shared" si="9"/>
        <v>0</v>
      </c>
      <c r="U48" s="243">
        <f>T48*'[4]Wood Fuel Credit'!$B$28</f>
        <v>0</v>
      </c>
    </row>
    <row r="49" spans="1:21">
      <c r="A49" s="286" t="s">
        <v>652</v>
      </c>
      <c r="B49" s="287"/>
      <c r="C49" s="251">
        <f t="shared" si="6"/>
        <v>80.823411921055197</v>
      </c>
      <c r="D49" s="251"/>
      <c r="E49" s="97"/>
      <c r="F49" s="97"/>
      <c r="G49" s="251"/>
      <c r="H49" s="282"/>
      <c r="I49" s="97"/>
      <c r="J49" s="252">
        <f t="shared" si="7"/>
        <v>80.823411921055197</v>
      </c>
      <c r="K49" s="295">
        <f>K48</f>
        <v>0</v>
      </c>
      <c r="L49" s="289">
        <v>1</v>
      </c>
      <c r="M49" s="288"/>
      <c r="N49" s="295"/>
      <c r="O49" s="289">
        <v>1</v>
      </c>
      <c r="P49" s="288">
        <f t="shared" si="8"/>
        <v>0</v>
      </c>
      <c r="Q49" s="290">
        <f t="shared" si="5"/>
        <v>0</v>
      </c>
      <c r="R49" s="288"/>
      <c r="S49" s="282">
        <v>0</v>
      </c>
      <c r="T49" s="288">
        <f t="shared" si="9"/>
        <v>0</v>
      </c>
      <c r="U49" s="242">
        <f>T49*'[4]Wood Fuel Credit'!$B$28</f>
        <v>0</v>
      </c>
    </row>
    <row r="50" spans="1:21">
      <c r="A50" s="296" t="s">
        <v>653</v>
      </c>
      <c r="B50" s="297"/>
      <c r="C50" s="254">
        <f t="shared" si="6"/>
        <v>80.823411921055197</v>
      </c>
      <c r="D50" s="254"/>
      <c r="E50" s="298"/>
      <c r="F50" s="298"/>
      <c r="G50" s="254"/>
      <c r="H50" s="299"/>
      <c r="I50" s="298"/>
      <c r="J50" s="255">
        <f t="shared" si="7"/>
        <v>80.823411921055197</v>
      </c>
      <c r="K50" s="300">
        <f>K49</f>
        <v>0</v>
      </c>
      <c r="L50" s="301">
        <v>1</v>
      </c>
      <c r="M50" s="302"/>
      <c r="N50" s="300"/>
      <c r="O50" s="301">
        <v>1</v>
      </c>
      <c r="P50" s="302">
        <f t="shared" si="8"/>
        <v>0</v>
      </c>
      <c r="Q50" s="303">
        <f t="shared" si="5"/>
        <v>0</v>
      </c>
      <c r="R50" s="302"/>
      <c r="S50" s="299">
        <v>0</v>
      </c>
      <c r="T50" s="302">
        <f t="shared" si="9"/>
        <v>0</v>
      </c>
      <c r="U50" s="246">
        <f>T50*'[4]Wood Fuel Credit'!$B$28</f>
        <v>0</v>
      </c>
    </row>
    <row r="51" spans="1:21">
      <c r="A51" s="278" t="s">
        <v>654</v>
      </c>
      <c r="B51" s="304"/>
      <c r="C51" s="248">
        <f>$B$32</f>
        <v>5447.8150000000005</v>
      </c>
      <c r="D51" s="248"/>
      <c r="E51" s="279"/>
      <c r="F51" s="279"/>
      <c r="G51" s="248"/>
      <c r="H51" s="280"/>
      <c r="I51" s="279"/>
      <c r="J51" s="249">
        <f>C51</f>
        <v>5447.8150000000005</v>
      </c>
      <c r="K51" s="288"/>
      <c r="L51" s="282">
        <v>1</v>
      </c>
      <c r="M51" s="290"/>
      <c r="N51" s="290"/>
      <c r="O51" s="289">
        <v>1</v>
      </c>
      <c r="P51" s="290">
        <f>O51*N51</f>
        <v>0</v>
      </c>
      <c r="Q51" s="291">
        <f t="shared" si="5"/>
        <v>0</v>
      </c>
      <c r="R51" s="241"/>
      <c r="S51" s="282">
        <v>0</v>
      </c>
      <c r="T51" s="290">
        <f>S51*R51</f>
        <v>0</v>
      </c>
      <c r="U51" s="243">
        <f>T51*'[4]Wood Fuel Credit'!$B$28</f>
        <v>0</v>
      </c>
    </row>
    <row r="52" spans="1:21">
      <c r="A52" s="286" t="s">
        <v>655</v>
      </c>
      <c r="B52" s="287"/>
      <c r="C52" s="251">
        <f t="shared" ref="C52:C59" si="10">$B$32</f>
        <v>5447.8150000000005</v>
      </c>
      <c r="D52" s="251"/>
      <c r="E52" s="97"/>
      <c r="F52" s="97"/>
      <c r="G52" s="251"/>
      <c r="H52" s="282"/>
      <c r="I52" s="97"/>
      <c r="J52" s="252">
        <f t="shared" ref="J52:J59" si="11">C52</f>
        <v>5447.8150000000005</v>
      </c>
      <c r="K52" s="288"/>
      <c r="L52" s="289">
        <v>1</v>
      </c>
      <c r="M52" s="290"/>
      <c r="N52" s="290"/>
      <c r="O52" s="289">
        <v>1</v>
      </c>
      <c r="P52" s="290">
        <f t="shared" ref="P52:P59" si="12">O52*N52</f>
        <v>0</v>
      </c>
      <c r="Q52" s="291">
        <f t="shared" si="5"/>
        <v>0</v>
      </c>
      <c r="R52" s="241"/>
      <c r="S52" s="282">
        <v>0</v>
      </c>
      <c r="T52" s="290">
        <f t="shared" ref="T52:T59" si="13">S52*R52</f>
        <v>0</v>
      </c>
      <c r="U52" s="243">
        <f>T52*'[4]Wood Fuel Credit'!$B$28</f>
        <v>0</v>
      </c>
    </row>
    <row r="53" spans="1:21">
      <c r="A53" s="286" t="s">
        <v>656</v>
      </c>
      <c r="B53" s="287"/>
      <c r="C53" s="251">
        <f t="shared" si="10"/>
        <v>5447.8150000000005</v>
      </c>
      <c r="D53" s="251"/>
      <c r="E53" s="97"/>
      <c r="F53" s="97"/>
      <c r="G53" s="251"/>
      <c r="H53" s="282"/>
      <c r="I53" s="97"/>
      <c r="J53" s="252">
        <f t="shared" si="11"/>
        <v>5447.8150000000005</v>
      </c>
      <c r="K53" s="288"/>
      <c r="L53" s="292">
        <v>1</v>
      </c>
      <c r="M53" s="290"/>
      <c r="N53" s="290"/>
      <c r="O53" s="289">
        <v>1</v>
      </c>
      <c r="P53" s="290">
        <f t="shared" si="12"/>
        <v>0</v>
      </c>
      <c r="Q53" s="291">
        <f t="shared" si="5"/>
        <v>0</v>
      </c>
      <c r="R53" s="241"/>
      <c r="S53" s="282">
        <v>0</v>
      </c>
      <c r="T53" s="290">
        <f t="shared" si="13"/>
        <v>0</v>
      </c>
      <c r="U53" s="243">
        <f>T53*'[4]Wood Fuel Credit'!$B$28</f>
        <v>0</v>
      </c>
    </row>
    <row r="54" spans="1:21">
      <c r="A54" s="286" t="s">
        <v>657</v>
      </c>
      <c r="B54" s="287"/>
      <c r="C54" s="251">
        <f t="shared" si="10"/>
        <v>5447.8150000000005</v>
      </c>
      <c r="D54" s="251"/>
      <c r="E54" s="97"/>
      <c r="F54" s="97"/>
      <c r="G54" s="251"/>
      <c r="H54" s="282"/>
      <c r="I54" s="97"/>
      <c r="J54" s="252">
        <f t="shared" si="11"/>
        <v>5447.8150000000005</v>
      </c>
      <c r="K54" s="288"/>
      <c r="L54" s="289">
        <v>1</v>
      </c>
      <c r="M54" s="290"/>
      <c r="N54" s="290"/>
      <c r="O54" s="289">
        <v>1</v>
      </c>
      <c r="P54" s="290">
        <f t="shared" si="12"/>
        <v>0</v>
      </c>
      <c r="Q54" s="291">
        <f t="shared" si="5"/>
        <v>0</v>
      </c>
      <c r="R54" s="241"/>
      <c r="S54" s="282">
        <v>0</v>
      </c>
      <c r="T54" s="290">
        <f t="shared" si="13"/>
        <v>0</v>
      </c>
      <c r="U54" s="243">
        <f>T54*'[4]Wood Fuel Credit'!$B$28</f>
        <v>0</v>
      </c>
    </row>
    <row r="55" spans="1:21">
      <c r="A55" s="286" t="s">
        <v>658</v>
      </c>
      <c r="B55" s="287"/>
      <c r="C55" s="251">
        <f t="shared" si="10"/>
        <v>5447.8150000000005</v>
      </c>
      <c r="D55" s="251"/>
      <c r="E55" s="97"/>
      <c r="F55" s="97"/>
      <c r="G55" s="251"/>
      <c r="H55" s="282"/>
      <c r="I55" s="97"/>
      <c r="J55" s="252">
        <f t="shared" si="11"/>
        <v>5447.8150000000005</v>
      </c>
      <c r="K55" s="288"/>
      <c r="L55" s="289">
        <v>1</v>
      </c>
      <c r="M55" s="290"/>
      <c r="N55" s="290"/>
      <c r="O55" s="289">
        <v>1</v>
      </c>
      <c r="P55" s="290">
        <f t="shared" si="12"/>
        <v>0</v>
      </c>
      <c r="Q55" s="291">
        <f t="shared" si="5"/>
        <v>0</v>
      </c>
      <c r="R55" s="241"/>
      <c r="S55" s="282">
        <v>0</v>
      </c>
      <c r="T55" s="290">
        <f t="shared" si="13"/>
        <v>0</v>
      </c>
      <c r="U55" s="243">
        <f>T55*'[4]Wood Fuel Credit'!$B$28</f>
        <v>0</v>
      </c>
    </row>
    <row r="56" spans="1:21">
      <c r="A56" s="286" t="s">
        <v>659</v>
      </c>
      <c r="B56" s="287"/>
      <c r="C56" s="251">
        <f t="shared" si="10"/>
        <v>5447.8150000000005</v>
      </c>
      <c r="D56" s="251"/>
      <c r="E56" s="97"/>
      <c r="F56" s="97"/>
      <c r="G56" s="251"/>
      <c r="H56" s="282"/>
      <c r="I56" s="97"/>
      <c r="J56" s="252">
        <f t="shared" si="11"/>
        <v>5447.8150000000005</v>
      </c>
      <c r="K56" s="288"/>
      <c r="L56" s="289">
        <v>1</v>
      </c>
      <c r="M56" s="290"/>
      <c r="N56" s="290"/>
      <c r="O56" s="289">
        <v>1</v>
      </c>
      <c r="P56" s="290">
        <f t="shared" si="12"/>
        <v>0</v>
      </c>
      <c r="Q56" s="291">
        <f t="shared" si="5"/>
        <v>0</v>
      </c>
      <c r="R56" s="250"/>
      <c r="S56" s="305">
        <v>0</v>
      </c>
      <c r="T56" s="290">
        <f t="shared" si="13"/>
        <v>0</v>
      </c>
      <c r="U56" s="243">
        <f>T56*'[4]Wood Fuel Credit'!$B$28</f>
        <v>0</v>
      </c>
    </row>
    <row r="57" spans="1:21">
      <c r="A57" s="286" t="s">
        <v>660</v>
      </c>
      <c r="B57" s="287"/>
      <c r="C57" s="251">
        <f t="shared" si="10"/>
        <v>5447.8150000000005</v>
      </c>
      <c r="D57" s="251"/>
      <c r="E57" s="97"/>
      <c r="F57" s="97"/>
      <c r="G57" s="251"/>
      <c r="H57" s="282"/>
      <c r="I57" s="97"/>
      <c r="J57" s="252">
        <f t="shared" si="11"/>
        <v>5447.8150000000005</v>
      </c>
      <c r="K57" s="288"/>
      <c r="L57" s="289">
        <v>1</v>
      </c>
      <c r="M57" s="290"/>
      <c r="N57" s="288"/>
      <c r="O57" s="289">
        <v>1</v>
      </c>
      <c r="P57" s="290">
        <f t="shared" si="12"/>
        <v>0</v>
      </c>
      <c r="Q57" s="291">
        <f t="shared" si="5"/>
        <v>0</v>
      </c>
      <c r="R57" s="250"/>
      <c r="S57" s="282">
        <v>0</v>
      </c>
      <c r="T57" s="288">
        <f t="shared" si="13"/>
        <v>0</v>
      </c>
      <c r="U57" s="243">
        <f>T57*'[4]Wood Fuel Credit'!$B$28</f>
        <v>0</v>
      </c>
    </row>
    <row r="58" spans="1:21">
      <c r="A58" s="286" t="s">
        <v>661</v>
      </c>
      <c r="B58" s="287"/>
      <c r="C58" s="251">
        <f t="shared" si="10"/>
        <v>5447.8150000000005</v>
      </c>
      <c r="D58" s="251"/>
      <c r="E58" s="97"/>
      <c r="F58" s="97"/>
      <c r="G58" s="251"/>
      <c r="H58" s="282"/>
      <c r="I58" s="97"/>
      <c r="J58" s="252">
        <f t="shared" si="11"/>
        <v>5447.8150000000005</v>
      </c>
      <c r="K58" s="288"/>
      <c r="L58" s="289">
        <v>1</v>
      </c>
      <c r="M58" s="290"/>
      <c r="N58" s="288"/>
      <c r="O58" s="289">
        <v>1</v>
      </c>
      <c r="P58" s="290">
        <f t="shared" si="12"/>
        <v>0</v>
      </c>
      <c r="Q58" s="291">
        <f t="shared" si="5"/>
        <v>0</v>
      </c>
      <c r="R58" s="241"/>
      <c r="S58" s="282">
        <v>0</v>
      </c>
      <c r="T58" s="288">
        <f t="shared" si="13"/>
        <v>0</v>
      </c>
      <c r="U58" s="243">
        <f>T58*'[4]Wood Fuel Credit'!$B$28</f>
        <v>0</v>
      </c>
    </row>
    <row r="59" spans="1:21">
      <c r="A59" s="296" t="s">
        <v>662</v>
      </c>
      <c r="B59" s="297"/>
      <c r="C59" s="254">
        <f t="shared" si="10"/>
        <v>5447.8150000000005</v>
      </c>
      <c r="D59" s="254"/>
      <c r="E59" s="298"/>
      <c r="F59" s="298"/>
      <c r="G59" s="254"/>
      <c r="H59" s="299"/>
      <c r="I59" s="298"/>
      <c r="J59" s="255">
        <f t="shared" si="11"/>
        <v>5447.8150000000005</v>
      </c>
      <c r="K59" s="302"/>
      <c r="L59" s="301">
        <v>1</v>
      </c>
      <c r="M59" s="303"/>
      <c r="N59" s="302"/>
      <c r="O59" s="301">
        <v>1</v>
      </c>
      <c r="P59" s="303">
        <f t="shared" si="12"/>
        <v>0</v>
      </c>
      <c r="Q59" s="306">
        <f t="shared" si="5"/>
        <v>0</v>
      </c>
      <c r="R59" s="244"/>
      <c r="S59" s="299">
        <v>0</v>
      </c>
      <c r="T59" s="302">
        <f t="shared" si="13"/>
        <v>0</v>
      </c>
      <c r="U59" s="246">
        <f>T59*'[4]Wood Fuel Credit'!$B$28</f>
        <v>0</v>
      </c>
    </row>
    <row r="60" spans="1:21">
      <c r="A60" s="286" t="s">
        <v>663</v>
      </c>
      <c r="B60" s="307" t="s">
        <v>664</v>
      </c>
      <c r="C60" s="308">
        <f>'DHP Raw CostData&amp;Analysis'!C15</f>
        <v>4025.364</v>
      </c>
      <c r="D60" s="251">
        <f>E13</f>
        <v>1719.3228973119963</v>
      </c>
      <c r="E60" s="282">
        <v>0</v>
      </c>
      <c r="F60" s="251">
        <f>E60*D60</f>
        <v>0</v>
      </c>
      <c r="G60" s="251">
        <f>'DHP Raw CostData&amp;Analysis'!$C$27</f>
        <v>463.98599999999999</v>
      </c>
      <c r="H60" s="282">
        <f>O93+N93</f>
        <v>0.16780207805838643</v>
      </c>
      <c r="I60" s="251">
        <f>G60*H60</f>
        <v>77.857814989998488</v>
      </c>
      <c r="J60" s="252">
        <f>C60-F60-I60</f>
        <v>3947.5061850100014</v>
      </c>
      <c r="K60" s="288">
        <f>S93*18/9</f>
        <v>242</v>
      </c>
      <c r="L60" s="282">
        <f>O93+N93</f>
        <v>0.16780207805838643</v>
      </c>
      <c r="M60" s="290">
        <f>K60*L60</f>
        <v>40.608102890129516</v>
      </c>
      <c r="N60" s="290">
        <f>S93*(N93+O93)+S102*(1-N93-O93)</f>
        <v>72.732520527386413</v>
      </c>
      <c r="O60" s="289">
        <v>1</v>
      </c>
      <c r="P60" s="290">
        <f>O60*N60</f>
        <v>72.732520527386413</v>
      </c>
      <c r="Q60" s="291">
        <f t="shared" si="5"/>
        <v>-32.124417637256897</v>
      </c>
      <c r="R60" s="241">
        <f>S102</f>
        <v>63</v>
      </c>
      <c r="S60" s="289">
        <f>(1-O93-N93)</f>
        <v>0.83219792194161357</v>
      </c>
      <c r="T60" s="290">
        <f>S60*R60</f>
        <v>52.428469082321655</v>
      </c>
      <c r="U60" s="243">
        <f>T60*'[4]Wood Fuel Credit'!$B$28</f>
        <v>4.2672027323999426</v>
      </c>
    </row>
    <row r="61" spans="1:21">
      <c r="A61" s="286" t="s">
        <v>663</v>
      </c>
      <c r="B61" s="307" t="s">
        <v>665</v>
      </c>
      <c r="C61" s="308">
        <f>'DHP Raw CostData&amp;Analysis'!C16</f>
        <v>3823.9920000000002</v>
      </c>
      <c r="D61" s="251">
        <f t="shared" ref="D61:D62" si="14">E14</f>
        <v>1731.1608222343009</v>
      </c>
      <c r="E61" s="282">
        <v>0</v>
      </c>
      <c r="F61" s="251">
        <f t="shared" ref="F61:F68" si="15">E61*D61</f>
        <v>0</v>
      </c>
      <c r="G61" s="251">
        <f>'DHP Raw CostData&amp;Analysis'!$C$27</f>
        <v>463.98599999999999</v>
      </c>
      <c r="H61" s="289">
        <f>H60</f>
        <v>0.16780207805838643</v>
      </c>
      <c r="I61" s="251">
        <f>I60</f>
        <v>77.857814989998488</v>
      </c>
      <c r="J61" s="252">
        <f t="shared" ref="J61:J68" si="16">C61-F61-I61</f>
        <v>3746.1341850100016</v>
      </c>
      <c r="K61" s="288">
        <f>K60</f>
        <v>242</v>
      </c>
      <c r="L61" s="289">
        <f>L60</f>
        <v>0.16780207805838643</v>
      </c>
      <c r="M61" s="290">
        <f t="shared" ref="M61:M68" si="17">K61*L61</f>
        <v>40.608102890129516</v>
      </c>
      <c r="N61" s="290">
        <f>N60</f>
        <v>72.732520527386413</v>
      </c>
      <c r="O61" s="289">
        <v>1</v>
      </c>
      <c r="P61" s="290">
        <f t="shared" ref="P61:P68" si="18">O61*N61</f>
        <v>72.732520527386413</v>
      </c>
      <c r="Q61" s="291">
        <f t="shared" si="5"/>
        <v>-32.124417637256897</v>
      </c>
      <c r="R61" s="241">
        <f>R60</f>
        <v>63</v>
      </c>
      <c r="S61" s="289">
        <f>S60</f>
        <v>0.83219792194161357</v>
      </c>
      <c r="T61" s="290">
        <f t="shared" ref="T61:T68" si="19">S61*R61</f>
        <v>52.428469082321655</v>
      </c>
      <c r="U61" s="243">
        <f>T61*'[4]Wood Fuel Credit'!$B$28</f>
        <v>4.2672027323999426</v>
      </c>
    </row>
    <row r="62" spans="1:21">
      <c r="A62" s="286" t="s">
        <v>663</v>
      </c>
      <c r="B62" s="307" t="s">
        <v>666</v>
      </c>
      <c r="C62" s="308">
        <f>'DHP Raw CostData&amp;Analysis'!C17</f>
        <v>3602.8980000000001</v>
      </c>
      <c r="D62" s="251">
        <f t="shared" si="14"/>
        <v>1723.2611372234092</v>
      </c>
      <c r="E62" s="282">
        <v>0</v>
      </c>
      <c r="F62" s="251">
        <f t="shared" si="15"/>
        <v>0</v>
      </c>
      <c r="G62" s="251">
        <f>'DHP Raw CostData&amp;Analysis'!$C$27</f>
        <v>463.98599999999999</v>
      </c>
      <c r="H62" s="289">
        <f>H61</f>
        <v>0.16780207805838643</v>
      </c>
      <c r="I62" s="251">
        <f>I61</f>
        <v>77.857814989998488</v>
      </c>
      <c r="J62" s="252">
        <f t="shared" si="16"/>
        <v>3525.0401850100016</v>
      </c>
      <c r="K62" s="288">
        <f>K61</f>
        <v>242</v>
      </c>
      <c r="L62" s="292">
        <f>L61</f>
        <v>0.16780207805838643</v>
      </c>
      <c r="M62" s="290">
        <f t="shared" si="17"/>
        <v>40.608102890129516</v>
      </c>
      <c r="N62" s="290">
        <f>N61</f>
        <v>72.732520527386413</v>
      </c>
      <c r="O62" s="289">
        <v>1</v>
      </c>
      <c r="P62" s="290">
        <f t="shared" si="18"/>
        <v>72.732520527386413</v>
      </c>
      <c r="Q62" s="291">
        <f t="shared" si="5"/>
        <v>-32.124417637256897</v>
      </c>
      <c r="R62" s="241">
        <f>R61</f>
        <v>63</v>
      </c>
      <c r="S62" s="289">
        <f>S61</f>
        <v>0.83219792194161357</v>
      </c>
      <c r="T62" s="290">
        <f t="shared" si="19"/>
        <v>52.428469082321655</v>
      </c>
      <c r="U62" s="243">
        <f>T62*'[4]Wood Fuel Credit'!$B$28</f>
        <v>4.2672027323999426</v>
      </c>
    </row>
    <row r="63" spans="1:21">
      <c r="A63" s="286" t="s">
        <v>663</v>
      </c>
      <c r="B63" s="307" t="s">
        <v>667</v>
      </c>
      <c r="C63" s="308">
        <f>C60</f>
        <v>4025.364</v>
      </c>
      <c r="D63" s="251">
        <f>D60</f>
        <v>1719.3228973119963</v>
      </c>
      <c r="E63" s="282">
        <v>0</v>
      </c>
      <c r="F63" s="251">
        <f t="shared" si="15"/>
        <v>0</v>
      </c>
      <c r="G63" s="251">
        <f>'DHP Raw CostData&amp;Analysis'!$C$27</f>
        <v>463.98599999999999</v>
      </c>
      <c r="H63" s="282">
        <f>O96+N96</f>
        <v>0.59417109543847491</v>
      </c>
      <c r="I63" s="251">
        <f>G61*H63</f>
        <v>275.68706988811618</v>
      </c>
      <c r="J63" s="252">
        <f t="shared" si="16"/>
        <v>3749.6769301118838</v>
      </c>
      <c r="K63" s="288">
        <f>S94*18/9</f>
        <v>526</v>
      </c>
      <c r="L63" s="289">
        <f>O96+N96</f>
        <v>0.59417109543847491</v>
      </c>
      <c r="M63" s="290">
        <f t="shared" si="17"/>
        <v>312.53399620063777</v>
      </c>
      <c r="N63" s="290">
        <f>S94*(N110+O110)+S103*(1-N110-O110)</f>
        <v>195.29495956593553</v>
      </c>
      <c r="O63" s="289">
        <v>1</v>
      </c>
      <c r="P63" s="290">
        <f t="shared" si="18"/>
        <v>195.29495956593553</v>
      </c>
      <c r="Q63" s="291">
        <f t="shared" si="5"/>
        <v>117.23903663470225</v>
      </c>
      <c r="R63" s="241">
        <f>S103</f>
        <v>176</v>
      </c>
      <c r="S63" s="289">
        <f>1-O96-N96</f>
        <v>0.40582890456152504</v>
      </c>
      <c r="T63" s="290">
        <f t="shared" si="19"/>
        <v>71.425887202828406</v>
      </c>
      <c r="U63" s="243">
        <f>T63*'[4]Wood Fuel Credit'!$B$28</f>
        <v>5.8134205779960713</v>
      </c>
    </row>
    <row r="64" spans="1:21">
      <c r="A64" s="286" t="s">
        <v>663</v>
      </c>
      <c r="B64" s="307" t="s">
        <v>668</v>
      </c>
      <c r="C64" s="308">
        <f t="shared" ref="C64:D68" si="20">C61</f>
        <v>3823.9920000000002</v>
      </c>
      <c r="D64" s="251">
        <f t="shared" si="20"/>
        <v>1731.1608222343009</v>
      </c>
      <c r="E64" s="282">
        <v>0</v>
      </c>
      <c r="F64" s="251">
        <f t="shared" si="15"/>
        <v>0</v>
      </c>
      <c r="G64" s="251">
        <f>'DHP Raw CostData&amp;Analysis'!$C$27</f>
        <v>463.98599999999999</v>
      </c>
      <c r="H64" s="289">
        <f>H63</f>
        <v>0.59417109543847491</v>
      </c>
      <c r="I64" s="251">
        <f>I63</f>
        <v>275.68706988811618</v>
      </c>
      <c r="J64" s="252">
        <f t="shared" si="16"/>
        <v>3548.304930111884</v>
      </c>
      <c r="K64" s="288">
        <f>K63</f>
        <v>526</v>
      </c>
      <c r="L64" s="289">
        <f>L63</f>
        <v>0.59417109543847491</v>
      </c>
      <c r="M64" s="290">
        <f t="shared" si="17"/>
        <v>312.53399620063777</v>
      </c>
      <c r="N64" s="290">
        <f>N63</f>
        <v>195.29495956593553</v>
      </c>
      <c r="O64" s="289">
        <v>1</v>
      </c>
      <c r="P64" s="290">
        <f t="shared" si="18"/>
        <v>195.29495956593553</v>
      </c>
      <c r="Q64" s="291">
        <f t="shared" si="5"/>
        <v>117.23903663470225</v>
      </c>
      <c r="R64" s="241">
        <f>R63</f>
        <v>176</v>
      </c>
      <c r="S64" s="289">
        <f>S63</f>
        <v>0.40582890456152504</v>
      </c>
      <c r="T64" s="290">
        <f t="shared" si="19"/>
        <v>71.425887202828406</v>
      </c>
      <c r="U64" s="243">
        <f>T64*'[4]Wood Fuel Credit'!$B$28</f>
        <v>5.8134205779960713</v>
      </c>
    </row>
    <row r="65" spans="1:21">
      <c r="A65" s="286" t="s">
        <v>663</v>
      </c>
      <c r="B65" s="307" t="s">
        <v>669</v>
      </c>
      <c r="C65" s="308">
        <f t="shared" si="20"/>
        <v>3602.8980000000001</v>
      </c>
      <c r="D65" s="251">
        <f t="shared" si="20"/>
        <v>1723.2611372234092</v>
      </c>
      <c r="E65" s="282">
        <v>0</v>
      </c>
      <c r="F65" s="251">
        <f t="shared" si="15"/>
        <v>0</v>
      </c>
      <c r="G65" s="251">
        <f>'DHP Raw CostData&amp;Analysis'!$C$27</f>
        <v>463.98599999999999</v>
      </c>
      <c r="H65" s="289">
        <f>H64</f>
        <v>0.59417109543847491</v>
      </c>
      <c r="I65" s="251">
        <f>I64</f>
        <v>275.68706988811618</v>
      </c>
      <c r="J65" s="252">
        <f t="shared" si="16"/>
        <v>3327.210930111884</v>
      </c>
      <c r="K65" s="288">
        <f>K64</f>
        <v>526</v>
      </c>
      <c r="L65" s="289">
        <f>L64</f>
        <v>0.59417109543847491</v>
      </c>
      <c r="M65" s="290">
        <f t="shared" si="17"/>
        <v>312.53399620063777</v>
      </c>
      <c r="N65" s="290">
        <f>N64</f>
        <v>195.29495956593553</v>
      </c>
      <c r="O65" s="289">
        <v>1</v>
      </c>
      <c r="P65" s="290">
        <f t="shared" si="18"/>
        <v>195.29495956593553</v>
      </c>
      <c r="Q65" s="291">
        <f t="shared" si="5"/>
        <v>117.23903663470225</v>
      </c>
      <c r="R65" s="250">
        <f>R64</f>
        <v>176</v>
      </c>
      <c r="S65" s="292">
        <f>S64</f>
        <v>0.40582890456152504</v>
      </c>
      <c r="T65" s="290">
        <f t="shared" si="19"/>
        <v>71.425887202828406</v>
      </c>
      <c r="U65" s="243">
        <f>T65*'[4]Wood Fuel Credit'!$B$28</f>
        <v>5.8134205779960713</v>
      </c>
    </row>
    <row r="66" spans="1:21">
      <c r="A66" s="286" t="s">
        <v>663</v>
      </c>
      <c r="B66" s="307" t="s">
        <v>670</v>
      </c>
      <c r="C66" s="308">
        <f t="shared" si="20"/>
        <v>4025.364</v>
      </c>
      <c r="D66" s="251">
        <f>D63</f>
        <v>1719.3228973119963</v>
      </c>
      <c r="E66" s="282">
        <v>0</v>
      </c>
      <c r="F66" s="251">
        <f t="shared" si="15"/>
        <v>0</v>
      </c>
      <c r="G66" s="251">
        <f>'DHP Raw CostData&amp;Analysis'!$C$27</f>
        <v>463.98599999999999</v>
      </c>
      <c r="H66" s="282">
        <f>O99+N99</f>
        <v>1</v>
      </c>
      <c r="I66" s="251">
        <f>G62*H66</f>
        <v>463.98599999999999</v>
      </c>
      <c r="J66" s="252">
        <f t="shared" si="16"/>
        <v>3561.3780000000002</v>
      </c>
      <c r="K66" s="288">
        <f>S95*18/9</f>
        <v>824</v>
      </c>
      <c r="L66" s="289">
        <f>N99+O99</f>
        <v>1</v>
      </c>
      <c r="M66" s="290">
        <f t="shared" si="17"/>
        <v>824</v>
      </c>
      <c r="N66" s="288">
        <f>S95</f>
        <v>412</v>
      </c>
      <c r="O66" s="289">
        <v>1</v>
      </c>
      <c r="P66" s="290">
        <f t="shared" si="18"/>
        <v>412</v>
      </c>
      <c r="Q66" s="291">
        <f t="shared" si="5"/>
        <v>412</v>
      </c>
      <c r="R66" s="250">
        <f>S104</f>
        <v>272</v>
      </c>
      <c r="S66" s="289">
        <f>1-O99-N99</f>
        <v>0</v>
      </c>
      <c r="T66" s="288">
        <f t="shared" si="19"/>
        <v>0</v>
      </c>
      <c r="U66" s="243">
        <f>T66*'[4]Wood Fuel Credit'!$B$28</f>
        <v>0</v>
      </c>
    </row>
    <row r="67" spans="1:21">
      <c r="A67" s="286" t="s">
        <v>663</v>
      </c>
      <c r="B67" s="307" t="s">
        <v>671</v>
      </c>
      <c r="C67" s="308">
        <f t="shared" si="20"/>
        <v>3823.9920000000002</v>
      </c>
      <c r="D67" s="251">
        <f t="shared" si="20"/>
        <v>1731.1608222343009</v>
      </c>
      <c r="E67" s="282">
        <v>0</v>
      </c>
      <c r="F67" s="251">
        <f t="shared" si="15"/>
        <v>0</v>
      </c>
      <c r="G67" s="251">
        <f>'DHP Raw CostData&amp;Analysis'!$C$27</f>
        <v>463.98599999999999</v>
      </c>
      <c r="H67" s="289">
        <f>H66</f>
        <v>1</v>
      </c>
      <c r="I67" s="251">
        <f>I66</f>
        <v>463.98599999999999</v>
      </c>
      <c r="J67" s="252">
        <f t="shared" si="16"/>
        <v>3360.0060000000003</v>
      </c>
      <c r="K67" s="288">
        <f>K66</f>
        <v>824</v>
      </c>
      <c r="L67" s="289">
        <f>L66</f>
        <v>1</v>
      </c>
      <c r="M67" s="290">
        <f t="shared" si="17"/>
        <v>824</v>
      </c>
      <c r="N67" s="288">
        <f>N66</f>
        <v>412</v>
      </c>
      <c r="O67" s="289">
        <v>1</v>
      </c>
      <c r="P67" s="290">
        <f t="shared" si="18"/>
        <v>412</v>
      </c>
      <c r="Q67" s="291">
        <f t="shared" si="5"/>
        <v>412</v>
      </c>
      <c r="R67" s="241">
        <f>R66</f>
        <v>272</v>
      </c>
      <c r="S67" s="289">
        <f>S66</f>
        <v>0</v>
      </c>
      <c r="T67" s="288">
        <f t="shared" si="19"/>
        <v>0</v>
      </c>
      <c r="U67" s="243">
        <f>T67*'[4]Wood Fuel Credit'!$B$28</f>
        <v>0</v>
      </c>
    </row>
    <row r="68" spans="1:21">
      <c r="A68" s="296" t="s">
        <v>663</v>
      </c>
      <c r="B68" s="309" t="s">
        <v>672</v>
      </c>
      <c r="C68" s="310">
        <f t="shared" si="20"/>
        <v>3602.8980000000001</v>
      </c>
      <c r="D68" s="254">
        <f t="shared" si="20"/>
        <v>1723.2611372234092</v>
      </c>
      <c r="E68" s="299">
        <v>0</v>
      </c>
      <c r="F68" s="254">
        <f t="shared" si="15"/>
        <v>0</v>
      </c>
      <c r="G68" s="254">
        <f>'DHP Raw CostData&amp;Analysis'!$C$27</f>
        <v>463.98599999999999</v>
      </c>
      <c r="H68" s="301">
        <f>H67</f>
        <v>1</v>
      </c>
      <c r="I68" s="254">
        <f>I67</f>
        <v>463.98599999999999</v>
      </c>
      <c r="J68" s="255">
        <f t="shared" si="16"/>
        <v>3138.9120000000003</v>
      </c>
      <c r="K68" s="302">
        <f>K67</f>
        <v>824</v>
      </c>
      <c r="L68" s="301">
        <f>L67</f>
        <v>1</v>
      </c>
      <c r="M68" s="303">
        <f t="shared" si="17"/>
        <v>824</v>
      </c>
      <c r="N68" s="302">
        <f>N67</f>
        <v>412</v>
      </c>
      <c r="O68" s="301">
        <v>1</v>
      </c>
      <c r="P68" s="303">
        <f t="shared" si="18"/>
        <v>412</v>
      </c>
      <c r="Q68" s="306">
        <f t="shared" si="5"/>
        <v>412</v>
      </c>
      <c r="R68" s="244">
        <f>R67</f>
        <v>272</v>
      </c>
      <c r="S68" s="301">
        <f>S67</f>
        <v>0</v>
      </c>
      <c r="T68" s="302">
        <f t="shared" si="19"/>
        <v>0</v>
      </c>
      <c r="U68" s="246">
        <f>T68*'[4]Wood Fuel Credit'!$B$28</f>
        <v>0</v>
      </c>
    </row>
    <row r="69" spans="1:21" s="7" customFormat="1">
      <c r="Q69" s="49"/>
    </row>
    <row r="70" spans="1:21" s="7" customFormat="1"/>
    <row r="71" spans="1:21" s="7" customFormat="1"/>
    <row r="72" spans="1:21" s="7" customFormat="1"/>
    <row r="73" spans="1:21" s="7" customFormat="1"/>
    <row r="74" spans="1:21" s="7" customFormat="1"/>
    <row r="75" spans="1:21" s="7" customFormat="1" ht="13.5" thickBot="1">
      <c r="L75" s="311" t="s">
        <v>673</v>
      </c>
      <c r="M75" s="311" t="s">
        <v>674</v>
      </c>
      <c r="N75" s="311" t="s">
        <v>675</v>
      </c>
      <c r="O75" s="311"/>
      <c r="P75" s="311"/>
      <c r="R75" s="312" t="s">
        <v>676</v>
      </c>
      <c r="S75" s="313"/>
      <c r="T75" s="314"/>
      <c r="U75" s="314"/>
    </row>
    <row r="76" spans="1:21" s="7" customFormat="1" ht="15">
      <c r="L76" s="464" t="s">
        <v>677</v>
      </c>
      <c r="M76" s="464" t="s">
        <v>678</v>
      </c>
      <c r="N76" s="474" t="s">
        <v>679</v>
      </c>
      <c r="O76" s="468"/>
      <c r="P76" s="469"/>
      <c r="R76" s="315" t="s">
        <v>680</v>
      </c>
      <c r="S76" s="314"/>
      <c r="T76" s="314"/>
      <c r="U76" s="314"/>
    </row>
    <row r="77" spans="1:21" s="7" customFormat="1" ht="15.75" thickBot="1">
      <c r="L77" s="465"/>
      <c r="M77" s="465"/>
      <c r="N77" s="316" t="s">
        <v>590</v>
      </c>
      <c r="O77" s="316" t="s">
        <v>681</v>
      </c>
      <c r="P77" s="316" t="s">
        <v>682</v>
      </c>
      <c r="R77" s="314"/>
      <c r="S77" s="314"/>
      <c r="T77" s="314"/>
      <c r="U77" s="314"/>
    </row>
    <row r="78" spans="1:21" s="7" customFormat="1" ht="15.75" thickBot="1">
      <c r="L78" s="466"/>
      <c r="M78" s="466"/>
      <c r="N78" s="317"/>
      <c r="O78" s="318"/>
      <c r="P78" s="319"/>
      <c r="R78" s="314" t="s">
        <v>683</v>
      </c>
      <c r="S78" s="314" t="s">
        <v>684</v>
      </c>
      <c r="T78" s="314"/>
      <c r="U78" s="314"/>
    </row>
    <row r="79" spans="1:21" s="7" customFormat="1" ht="48">
      <c r="L79" s="471">
        <v>1</v>
      </c>
      <c r="M79" s="320" t="s">
        <v>685</v>
      </c>
      <c r="N79" s="321">
        <v>3.7122022656722793E-3</v>
      </c>
      <c r="O79" s="322">
        <v>0.10145583452708963</v>
      </c>
      <c r="P79" s="323">
        <v>0.89483196320723812</v>
      </c>
      <c r="R79" s="470" t="s">
        <v>686</v>
      </c>
      <c r="S79" s="324" t="s">
        <v>687</v>
      </c>
      <c r="T79" s="324"/>
      <c r="U79" s="325" t="s">
        <v>688</v>
      </c>
    </row>
    <row r="80" spans="1:21" s="7" customFormat="1" ht="15">
      <c r="L80" s="472"/>
      <c r="M80" s="326" t="s">
        <v>689</v>
      </c>
      <c r="N80" s="327">
        <v>6.3284016572555252E-2</v>
      </c>
      <c r="O80" s="328">
        <v>7.3538738695377789E-2</v>
      </c>
      <c r="P80" s="329">
        <v>0.86317724473206703</v>
      </c>
      <c r="R80" s="470"/>
      <c r="S80" s="325" t="s">
        <v>690</v>
      </c>
      <c r="T80" s="325" t="s">
        <v>691</v>
      </c>
      <c r="U80" s="325"/>
    </row>
    <row r="81" spans="12:21" s="7" customFormat="1" ht="15.75" thickBot="1">
      <c r="L81" s="473"/>
      <c r="M81" s="330" t="s">
        <v>589</v>
      </c>
      <c r="N81" s="331">
        <v>1</v>
      </c>
      <c r="O81" s="332">
        <v>0</v>
      </c>
      <c r="P81" s="333">
        <v>0</v>
      </c>
      <c r="R81" s="334" t="s">
        <v>692</v>
      </c>
      <c r="S81" s="325">
        <v>156</v>
      </c>
      <c r="T81" s="325">
        <v>134</v>
      </c>
      <c r="U81" s="325">
        <v>26</v>
      </c>
    </row>
    <row r="82" spans="12:21" s="7" customFormat="1" ht="15">
      <c r="L82" s="471">
        <v>2</v>
      </c>
      <c r="M82" s="320" t="s">
        <v>685</v>
      </c>
      <c r="N82" s="335">
        <v>2.6293124958950354E-2</v>
      </c>
      <c r="O82" s="322">
        <v>0.34609682604348396</v>
      </c>
      <c r="P82" s="323">
        <v>0.62761004899756578</v>
      </c>
      <c r="R82" s="334" t="s">
        <v>693</v>
      </c>
      <c r="S82" s="325">
        <v>72</v>
      </c>
      <c r="T82" s="325">
        <v>76</v>
      </c>
      <c r="U82" s="325">
        <v>25</v>
      </c>
    </row>
    <row r="83" spans="12:21" s="7" customFormat="1" ht="15">
      <c r="L83" s="472"/>
      <c r="M83" s="326" t="s">
        <v>689</v>
      </c>
      <c r="N83" s="327">
        <v>0.44110093539816675</v>
      </c>
      <c r="O83" s="328">
        <v>0.27843553984339986</v>
      </c>
      <c r="P83" s="329">
        <v>0.28046352475843328</v>
      </c>
      <c r="R83" s="334" t="s">
        <v>694</v>
      </c>
      <c r="S83" s="325">
        <v>408</v>
      </c>
      <c r="T83" s="325">
        <v>260</v>
      </c>
      <c r="U83" s="325">
        <v>16</v>
      </c>
    </row>
    <row r="84" spans="12:21" s="7" customFormat="1" ht="15.75" thickBot="1">
      <c r="L84" s="473"/>
      <c r="M84" s="336" t="s">
        <v>589</v>
      </c>
      <c r="N84" s="337">
        <v>1</v>
      </c>
      <c r="O84" s="338">
        <v>0</v>
      </c>
      <c r="P84" s="339">
        <v>0</v>
      </c>
      <c r="R84" s="334" t="s">
        <v>695</v>
      </c>
      <c r="S84" s="325">
        <v>306</v>
      </c>
      <c r="T84" s="325">
        <v>184</v>
      </c>
      <c r="U84" s="325">
        <v>15</v>
      </c>
    </row>
    <row r="85" spans="12:21" s="7" customFormat="1" ht="15.75" thickBot="1">
      <c r="L85" s="471">
        <v>3</v>
      </c>
      <c r="M85" s="340" t="s">
        <v>685</v>
      </c>
      <c r="N85" s="341">
        <v>9.1540393238075821E-2</v>
      </c>
      <c r="O85" s="342">
        <v>0.65754967545055376</v>
      </c>
      <c r="P85" s="343">
        <v>0.25090993131137046</v>
      </c>
      <c r="R85" s="344" t="s">
        <v>696</v>
      </c>
      <c r="S85" s="345">
        <v>211</v>
      </c>
      <c r="T85" s="345">
        <v>208</v>
      </c>
      <c r="U85" s="345">
        <v>10</v>
      </c>
    </row>
    <row r="86" spans="12:21" s="7" customFormat="1" ht="15.75" thickTop="1">
      <c r="L86" s="472"/>
      <c r="M86" s="326" t="s">
        <v>689</v>
      </c>
      <c r="N86" s="327">
        <v>0.66711150916851325</v>
      </c>
      <c r="O86" s="328">
        <v>0</v>
      </c>
      <c r="P86" s="329">
        <v>0.33288849083148669</v>
      </c>
      <c r="R86" s="346" t="s">
        <v>697</v>
      </c>
      <c r="S86" s="347">
        <v>208</v>
      </c>
      <c r="T86" s="347">
        <v>204</v>
      </c>
      <c r="U86" s="347">
        <v>92</v>
      </c>
    </row>
    <row r="87" spans="12:21" s="7" customFormat="1" ht="15.75" thickBot="1">
      <c r="L87" s="473"/>
      <c r="M87" s="330" t="s">
        <v>589</v>
      </c>
      <c r="N87" s="331">
        <v>1</v>
      </c>
      <c r="O87" s="332">
        <v>0</v>
      </c>
      <c r="P87" s="333">
        <v>0</v>
      </c>
    </row>
    <row r="88" spans="12:21" s="7" customFormat="1"/>
    <row r="89" spans="12:21" s="7" customFormat="1" ht="13.5" thickBot="1">
      <c r="L89" s="311" t="s">
        <v>698</v>
      </c>
      <c r="M89" s="311"/>
      <c r="N89" s="311"/>
      <c r="O89" s="311"/>
      <c r="P89" s="311"/>
      <c r="R89" s="314" t="s">
        <v>699</v>
      </c>
      <c r="S89" s="314"/>
      <c r="T89" s="314"/>
      <c r="U89" s="314"/>
    </row>
    <row r="90" spans="12:21" s="7" customFormat="1" ht="15">
      <c r="L90" s="464" t="s">
        <v>677</v>
      </c>
      <c r="M90" s="464" t="s">
        <v>678</v>
      </c>
      <c r="N90" s="474" t="s">
        <v>679</v>
      </c>
      <c r="O90" s="468"/>
      <c r="P90" s="469"/>
      <c r="R90" s="348" t="s">
        <v>700</v>
      </c>
      <c r="S90" s="314"/>
      <c r="T90" s="314"/>
      <c r="U90" s="314"/>
    </row>
    <row r="91" spans="12:21" s="7" customFormat="1" ht="48.75" thickBot="1">
      <c r="L91" s="465"/>
      <c r="M91" s="465"/>
      <c r="N91" s="316" t="s">
        <v>590</v>
      </c>
      <c r="O91" s="316" t="s">
        <v>681</v>
      </c>
      <c r="P91" s="316" t="s">
        <v>682</v>
      </c>
      <c r="R91" s="349" t="s">
        <v>677</v>
      </c>
      <c r="S91" s="324" t="s">
        <v>687</v>
      </c>
      <c r="T91" s="324"/>
      <c r="U91" s="325" t="s">
        <v>688</v>
      </c>
    </row>
    <row r="92" spans="12:21" s="7" customFormat="1" ht="15.75" thickBot="1">
      <c r="L92" s="466"/>
      <c r="M92" s="466"/>
      <c r="N92" s="317"/>
      <c r="O92" s="318"/>
      <c r="P92" s="319"/>
      <c r="R92" s="350"/>
      <c r="S92" s="325" t="s">
        <v>690</v>
      </c>
      <c r="T92" s="325" t="s">
        <v>691</v>
      </c>
      <c r="U92" s="325"/>
    </row>
    <row r="93" spans="12:21" s="7" customFormat="1" ht="15">
      <c r="L93" s="462">
        <v>1</v>
      </c>
      <c r="M93" s="320" t="s">
        <v>685</v>
      </c>
      <c r="N93" s="321">
        <v>5.9230472808039555E-3</v>
      </c>
      <c r="O93" s="322">
        <v>0.16187903077758248</v>
      </c>
      <c r="P93" s="323">
        <v>0.83219792194161357</v>
      </c>
      <c r="R93" s="351">
        <v>1</v>
      </c>
      <c r="S93" s="351">
        <v>121</v>
      </c>
      <c r="T93" s="351">
        <v>140</v>
      </c>
      <c r="U93" s="351">
        <v>4</v>
      </c>
    </row>
    <row r="94" spans="12:21" s="7" customFormat="1" ht="15">
      <c r="L94" s="462"/>
      <c r="M94" s="326" t="s">
        <v>689</v>
      </c>
      <c r="N94" s="327">
        <v>0.10097354493439582</v>
      </c>
      <c r="O94" s="328">
        <v>0.11733558548015371</v>
      </c>
      <c r="P94" s="329">
        <v>0.78169086958545053</v>
      </c>
      <c r="R94" s="351">
        <v>2</v>
      </c>
      <c r="S94" s="351">
        <v>263</v>
      </c>
      <c r="T94" s="351">
        <v>184</v>
      </c>
      <c r="U94" s="351">
        <v>22</v>
      </c>
    </row>
    <row r="95" spans="12:21" s="7" customFormat="1" ht="15.75" thickBot="1">
      <c r="L95" s="463"/>
      <c r="M95" s="330" t="s">
        <v>589</v>
      </c>
      <c r="N95" s="331">
        <v>1</v>
      </c>
      <c r="O95" s="332">
        <v>0</v>
      </c>
      <c r="P95" s="333">
        <v>0</v>
      </c>
      <c r="R95" s="352">
        <v>3</v>
      </c>
      <c r="S95" s="352">
        <v>412</v>
      </c>
      <c r="T95" s="352">
        <v>266</v>
      </c>
      <c r="U95" s="352">
        <v>14</v>
      </c>
    </row>
    <row r="96" spans="12:21" s="7" customFormat="1" ht="15">
      <c r="L96" s="462">
        <v>2</v>
      </c>
      <c r="M96" s="320" t="s">
        <v>685</v>
      </c>
      <c r="N96" s="335">
        <v>4.1952299779588073E-2</v>
      </c>
      <c r="O96" s="322">
        <v>0.55221879565888687</v>
      </c>
      <c r="P96" s="323">
        <v>0.40582890456152504</v>
      </c>
      <c r="R96" s="346" t="s">
        <v>697</v>
      </c>
      <c r="S96" s="353">
        <v>301</v>
      </c>
      <c r="T96" s="353">
        <v>228</v>
      </c>
      <c r="U96" s="353">
        <f>40</f>
        <v>40</v>
      </c>
    </row>
    <row r="97" spans="12:21" s="7" customFormat="1" ht="15">
      <c r="L97" s="462"/>
      <c r="M97" s="326" t="s">
        <v>689</v>
      </c>
      <c r="N97" s="327">
        <v>0.70380370168139006</v>
      </c>
      <c r="O97" s="328">
        <v>0.29619629831860994</v>
      </c>
      <c r="P97" s="329">
        <v>0</v>
      </c>
    </row>
    <row r="98" spans="12:21" s="7" customFormat="1" ht="15.75" thickBot="1">
      <c r="L98" s="462"/>
      <c r="M98" s="336" t="s">
        <v>589</v>
      </c>
      <c r="N98" s="337">
        <v>1</v>
      </c>
      <c r="O98" s="338">
        <v>0</v>
      </c>
      <c r="P98" s="339">
        <v>0</v>
      </c>
      <c r="R98" s="314" t="s">
        <v>701</v>
      </c>
      <c r="S98" s="314"/>
      <c r="T98" s="314"/>
      <c r="U98" s="314"/>
    </row>
    <row r="99" spans="12:21" s="7" customFormat="1" ht="15">
      <c r="L99" s="461">
        <v>3</v>
      </c>
      <c r="M99" s="340" t="s">
        <v>685</v>
      </c>
      <c r="N99" s="341">
        <v>0.14605833369220192</v>
      </c>
      <c r="O99" s="342">
        <v>0.85394166630779811</v>
      </c>
      <c r="P99" s="343">
        <v>0</v>
      </c>
      <c r="R99" s="348" t="s">
        <v>700</v>
      </c>
      <c r="S99" s="314"/>
      <c r="T99" s="314"/>
      <c r="U99" s="314"/>
    </row>
    <row r="100" spans="12:21" s="7" customFormat="1" ht="48">
      <c r="L100" s="462"/>
      <c r="M100" s="326" t="s">
        <v>689</v>
      </c>
      <c r="N100" s="327">
        <v>1</v>
      </c>
      <c r="O100" s="328">
        <v>0</v>
      </c>
      <c r="P100" s="329">
        <v>0</v>
      </c>
      <c r="R100" s="349" t="s">
        <v>677</v>
      </c>
      <c r="S100" s="324" t="s">
        <v>687</v>
      </c>
      <c r="T100" s="324"/>
      <c r="U100" s="325" t="s">
        <v>688</v>
      </c>
    </row>
    <row r="101" spans="12:21" s="7" customFormat="1" ht="15.75" thickBot="1">
      <c r="L101" s="463"/>
      <c r="M101" s="330" t="s">
        <v>589</v>
      </c>
      <c r="N101" s="331">
        <v>1</v>
      </c>
      <c r="O101" s="332">
        <v>0</v>
      </c>
      <c r="P101" s="333">
        <v>0</v>
      </c>
      <c r="R101" s="350"/>
      <c r="S101" s="325" t="s">
        <v>690</v>
      </c>
      <c r="T101" s="325" t="s">
        <v>691</v>
      </c>
      <c r="U101" s="325"/>
    </row>
    <row r="102" spans="12:21" s="7" customFormat="1">
      <c r="R102" s="351">
        <v>1</v>
      </c>
      <c r="S102" s="351">
        <v>63</v>
      </c>
      <c r="T102" s="351">
        <v>58</v>
      </c>
      <c r="U102" s="351">
        <v>21</v>
      </c>
    </row>
    <row r="103" spans="12:21" s="7" customFormat="1" ht="13.5" thickBot="1">
      <c r="L103" s="215" t="s">
        <v>702</v>
      </c>
      <c r="R103" s="351">
        <v>2</v>
      </c>
      <c r="S103" s="351">
        <v>176</v>
      </c>
      <c r="T103" s="351">
        <v>175</v>
      </c>
      <c r="U103" s="351">
        <v>28</v>
      </c>
    </row>
    <row r="104" spans="12:21" s="7" customFormat="1" ht="15.75" thickBot="1">
      <c r="L104" s="464" t="s">
        <v>677</v>
      </c>
      <c r="M104" s="464" t="s">
        <v>678</v>
      </c>
      <c r="N104" s="467" t="s">
        <v>679</v>
      </c>
      <c r="O104" s="468"/>
      <c r="P104" s="469"/>
      <c r="R104" s="352">
        <v>3</v>
      </c>
      <c r="S104" s="352">
        <v>272</v>
      </c>
      <c r="T104" s="352">
        <v>107</v>
      </c>
      <c r="U104" s="352">
        <v>3</v>
      </c>
    </row>
    <row r="105" spans="12:21" s="7" customFormat="1" ht="16.5" thickTop="1" thickBot="1">
      <c r="L105" s="465"/>
      <c r="M105" s="465"/>
      <c r="N105" s="354"/>
      <c r="O105" s="318"/>
      <c r="P105" s="319"/>
      <c r="R105" s="346" t="s">
        <v>697</v>
      </c>
      <c r="S105" s="353">
        <v>135</v>
      </c>
      <c r="T105" s="353">
        <v>149</v>
      </c>
      <c r="U105" s="353">
        <v>52</v>
      </c>
    </row>
    <row r="106" spans="12:21" s="7" customFormat="1" ht="15.75" thickBot="1">
      <c r="L106" s="466">
        <v>0</v>
      </c>
      <c r="M106" s="466">
        <v>0</v>
      </c>
      <c r="N106" s="317" t="s">
        <v>590</v>
      </c>
      <c r="O106" s="318" t="s">
        <v>681</v>
      </c>
      <c r="P106" s="319" t="s">
        <v>682</v>
      </c>
    </row>
    <row r="107" spans="12:21" s="7" customFormat="1" ht="15">
      <c r="L107" s="462">
        <v>1</v>
      </c>
      <c r="M107" s="320" t="s">
        <v>685</v>
      </c>
      <c r="N107" s="321">
        <v>2.2108450151316762E-3</v>
      </c>
      <c r="O107" s="322">
        <v>6.0423196250492847E-2</v>
      </c>
      <c r="P107" s="323">
        <v>-6.2634041265624552E-2</v>
      </c>
    </row>
    <row r="108" spans="12:21" s="7" customFormat="1" ht="15">
      <c r="L108" s="462"/>
      <c r="M108" s="326" t="s">
        <v>689</v>
      </c>
      <c r="N108" s="327">
        <v>3.7689528361840571E-2</v>
      </c>
      <c r="O108" s="328">
        <v>4.3796846784775925E-2</v>
      </c>
      <c r="P108" s="329">
        <v>-8.1486375146616497E-2</v>
      </c>
    </row>
    <row r="109" spans="12:21" s="7" customFormat="1" ht="15.75" thickBot="1">
      <c r="L109" s="463"/>
      <c r="M109" s="330" t="s">
        <v>589</v>
      </c>
      <c r="N109" s="331">
        <v>0</v>
      </c>
      <c r="O109" s="332">
        <v>0</v>
      </c>
      <c r="P109" s="333">
        <v>0</v>
      </c>
    </row>
    <row r="110" spans="12:21" s="7" customFormat="1" ht="15">
      <c r="L110" s="462">
        <v>2</v>
      </c>
      <c r="M110" s="320" t="s">
        <v>685</v>
      </c>
      <c r="N110" s="335">
        <v>1.5659174820637719E-2</v>
      </c>
      <c r="O110" s="322">
        <v>0.20612196961540291</v>
      </c>
      <c r="P110" s="323">
        <v>-0.22178114443604074</v>
      </c>
    </row>
    <row r="111" spans="12:21" s="7" customFormat="1" ht="15">
      <c r="L111" s="462"/>
      <c r="M111" s="326" t="s">
        <v>689</v>
      </c>
      <c r="N111" s="327">
        <v>0.26270276628322331</v>
      </c>
      <c r="O111" s="328">
        <v>1.7760758475210081E-2</v>
      </c>
      <c r="P111" s="329">
        <v>-0.28046352475843328</v>
      </c>
    </row>
    <row r="112" spans="12:21" s="7" customFormat="1" ht="15.75" thickBot="1">
      <c r="L112" s="462"/>
      <c r="M112" s="336" t="s">
        <v>589</v>
      </c>
      <c r="N112" s="337">
        <v>0</v>
      </c>
      <c r="O112" s="338">
        <v>0</v>
      </c>
      <c r="P112" s="339">
        <v>0</v>
      </c>
    </row>
    <row r="113" spans="1:25" s="7" customFormat="1" ht="15">
      <c r="L113" s="461">
        <v>3</v>
      </c>
      <c r="M113" s="340" t="s">
        <v>685</v>
      </c>
      <c r="N113" s="341">
        <v>5.4517940454126099E-2</v>
      </c>
      <c r="O113" s="342">
        <v>0.19639199085724435</v>
      </c>
      <c r="P113" s="343">
        <v>-0.25090993131137046</v>
      </c>
    </row>
    <row r="114" spans="1:25" s="7" customFormat="1" ht="15">
      <c r="L114" s="462"/>
      <c r="M114" s="326" t="s">
        <v>689</v>
      </c>
      <c r="N114" s="327">
        <v>0.33288849083148675</v>
      </c>
      <c r="O114" s="328">
        <v>0</v>
      </c>
      <c r="P114" s="329">
        <v>-0.33288849083148669</v>
      </c>
    </row>
    <row r="115" spans="1:25" s="7" customFormat="1" ht="15.75" thickBot="1">
      <c r="L115" s="463"/>
      <c r="M115" s="330" t="s">
        <v>589</v>
      </c>
      <c r="N115" s="331">
        <v>0</v>
      </c>
      <c r="O115" s="332">
        <v>0</v>
      </c>
      <c r="P115" s="333">
        <v>0</v>
      </c>
    </row>
    <row r="116" spans="1:25" s="7" customFormat="1"/>
    <row r="117" spans="1:25" s="7" customFormat="1"/>
    <row r="118" spans="1:25" s="7" customFormat="1"/>
    <row r="119" spans="1:25" s="7" customFormat="1"/>
    <row r="120" spans="1:25" s="7" customFormat="1"/>
    <row r="121" spans="1:25" s="7" customFormat="1"/>
    <row r="122" spans="1:25" s="7" customFormat="1" ht="13.5" thickBot="1">
      <c r="A122" s="355" t="s">
        <v>703</v>
      </c>
      <c r="B122" s="356"/>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row>
    <row r="123" spans="1:25" s="7" customFormat="1">
      <c r="A123" s="357" t="s">
        <v>704</v>
      </c>
      <c r="B123" s="358"/>
      <c r="C123" s="358"/>
      <c r="D123" s="358"/>
      <c r="E123" s="358"/>
      <c r="F123" s="358"/>
      <c r="G123" s="358"/>
      <c r="H123" s="358"/>
      <c r="I123" s="358"/>
      <c r="J123" s="358"/>
      <c r="K123" s="358"/>
      <c r="L123" s="358"/>
      <c r="M123" s="358"/>
      <c r="N123" s="358"/>
      <c r="O123" s="358"/>
      <c r="P123" s="358"/>
      <c r="Q123" s="358"/>
      <c r="R123" s="358"/>
      <c r="S123" s="358"/>
      <c r="T123" s="358"/>
      <c r="U123" s="358"/>
      <c r="V123" s="358"/>
      <c r="W123" s="358"/>
      <c r="X123" s="358"/>
      <c r="Y123" s="359"/>
    </row>
    <row r="124" spans="1:25" s="7" customFormat="1">
      <c r="A124" s="360"/>
      <c r="B124" s="361"/>
      <c r="C124" s="361"/>
      <c r="D124" s="361"/>
      <c r="E124" s="361"/>
      <c r="F124" s="361"/>
      <c r="G124" s="361"/>
      <c r="H124" s="361"/>
      <c r="I124" s="361"/>
      <c r="J124" s="361"/>
      <c r="K124" s="361"/>
      <c r="L124" s="361"/>
      <c r="M124" s="361"/>
      <c r="N124" s="361"/>
      <c r="O124" s="361"/>
      <c r="P124" s="361"/>
      <c r="Q124" s="361"/>
      <c r="R124" s="362"/>
      <c r="S124" s="362"/>
      <c r="T124" s="363" t="s">
        <v>705</v>
      </c>
      <c r="U124" s="363" t="s">
        <v>706</v>
      </c>
      <c r="V124" s="361"/>
      <c r="W124" s="361" t="s">
        <v>607</v>
      </c>
      <c r="X124" s="361"/>
      <c r="Y124" s="364"/>
    </row>
    <row r="125" spans="1:25" s="7" customFormat="1">
      <c r="A125" s="360" t="s">
        <v>707</v>
      </c>
      <c r="B125" s="361" t="s">
        <v>708</v>
      </c>
      <c r="C125" s="361" t="s">
        <v>709</v>
      </c>
      <c r="D125" s="361" t="s">
        <v>710</v>
      </c>
      <c r="E125" s="361" t="s">
        <v>711</v>
      </c>
      <c r="F125" s="361" t="s">
        <v>712</v>
      </c>
      <c r="G125" s="361"/>
      <c r="H125" s="361"/>
      <c r="I125" s="361"/>
      <c r="J125" s="361"/>
      <c r="K125" s="361"/>
      <c r="L125" s="361"/>
      <c r="M125" s="361"/>
      <c r="N125" s="361"/>
      <c r="O125" s="361"/>
      <c r="P125" s="361"/>
      <c r="Q125" s="365" t="s">
        <v>713</v>
      </c>
      <c r="R125" s="363" t="s">
        <v>607</v>
      </c>
      <c r="S125" s="363" t="s">
        <v>714</v>
      </c>
      <c r="T125" s="363" t="s">
        <v>715</v>
      </c>
      <c r="U125" s="363" t="s">
        <v>716</v>
      </c>
      <c r="V125" s="361"/>
      <c r="W125" s="361">
        <v>3</v>
      </c>
      <c r="X125" s="361">
        <v>4</v>
      </c>
      <c r="Y125" s="364"/>
    </row>
    <row r="126" spans="1:25" s="7" customFormat="1">
      <c r="A126" s="366">
        <v>41743</v>
      </c>
      <c r="B126" s="361" t="s">
        <v>717</v>
      </c>
      <c r="C126" s="361">
        <v>4</v>
      </c>
      <c r="D126" s="367">
        <v>21741</v>
      </c>
      <c r="E126" s="361" t="s">
        <v>718</v>
      </c>
      <c r="F126" s="361" t="s">
        <v>718</v>
      </c>
      <c r="G126" s="361"/>
      <c r="H126" s="361"/>
      <c r="I126" s="361"/>
      <c r="J126" s="361"/>
      <c r="K126" s="361"/>
      <c r="L126" s="361"/>
      <c r="M126" s="361"/>
      <c r="N126" s="361"/>
      <c r="O126" s="361"/>
      <c r="P126" s="361"/>
      <c r="Q126" s="368">
        <f>D126</f>
        <v>21741</v>
      </c>
      <c r="R126" s="369">
        <f>C126</f>
        <v>4</v>
      </c>
      <c r="S126" s="370">
        <f t="shared" ref="S126:S142" si="21">Q126/R126</f>
        <v>5435.25</v>
      </c>
      <c r="T126" s="362" t="b">
        <v>1</v>
      </c>
      <c r="U126" s="362" t="b">
        <v>1</v>
      </c>
      <c r="V126" s="361"/>
      <c r="W126" s="368" t="str">
        <f>IF($R126=W$125,$S126,"")</f>
        <v/>
      </c>
      <c r="X126" s="371">
        <f t="shared" ref="X126:X142" si="22">IF($R126=X$125,$S126,"")</f>
        <v>5435.25</v>
      </c>
      <c r="Y126" s="364"/>
    </row>
    <row r="127" spans="1:25" s="7" customFormat="1">
      <c r="A127" s="366">
        <v>41621</v>
      </c>
      <c r="B127" s="361" t="s">
        <v>717</v>
      </c>
      <c r="C127" s="361" t="s">
        <v>719</v>
      </c>
      <c r="D127" s="367">
        <v>54938</v>
      </c>
      <c r="E127" s="361" t="s">
        <v>718</v>
      </c>
      <c r="F127" s="361" t="s">
        <v>718</v>
      </c>
      <c r="G127" s="361"/>
      <c r="H127" s="361"/>
      <c r="I127" s="361"/>
      <c r="J127" s="361"/>
      <c r="K127" s="361"/>
      <c r="L127" s="361"/>
      <c r="M127" s="361"/>
      <c r="N127" s="361"/>
      <c r="O127" s="361"/>
      <c r="P127" s="361"/>
      <c r="Q127" s="372">
        <f>D127</f>
        <v>54938</v>
      </c>
      <c r="R127" s="373">
        <v>6</v>
      </c>
      <c r="S127" s="370">
        <f t="shared" si="21"/>
        <v>9156.3333333333339</v>
      </c>
      <c r="T127" s="362" t="b">
        <v>1</v>
      </c>
      <c r="U127" s="362" t="b">
        <v>1</v>
      </c>
      <c r="V127" s="361"/>
      <c r="W127" s="372" t="str">
        <f t="shared" ref="W127:W142" si="23">IF($R127=W$125,$S127,"")</f>
        <v/>
      </c>
      <c r="X127" s="374" t="str">
        <f t="shared" si="22"/>
        <v/>
      </c>
      <c r="Y127" s="364"/>
    </row>
    <row r="128" spans="1:25" s="7" customFormat="1">
      <c r="A128" s="366">
        <v>41773</v>
      </c>
      <c r="B128" s="361" t="s">
        <v>717</v>
      </c>
      <c r="C128" s="361">
        <v>4</v>
      </c>
      <c r="D128" s="367">
        <v>22417</v>
      </c>
      <c r="E128" s="361" t="s">
        <v>718</v>
      </c>
      <c r="F128" s="361" t="s">
        <v>718</v>
      </c>
      <c r="G128" s="361"/>
      <c r="H128" s="361"/>
      <c r="I128" s="361"/>
      <c r="J128" s="361"/>
      <c r="K128" s="361"/>
      <c r="L128" s="361"/>
      <c r="M128" s="361"/>
      <c r="N128" s="361"/>
      <c r="O128" s="361"/>
      <c r="P128" s="361"/>
      <c r="Q128" s="372">
        <f>D128</f>
        <v>22417</v>
      </c>
      <c r="R128" s="373">
        <f>C128</f>
        <v>4</v>
      </c>
      <c r="S128" s="370">
        <f t="shared" si="21"/>
        <v>5604.25</v>
      </c>
      <c r="T128" s="362" t="b">
        <v>1</v>
      </c>
      <c r="U128" s="362" t="b">
        <v>1</v>
      </c>
      <c r="V128" s="361"/>
      <c r="W128" s="372" t="str">
        <f t="shared" si="23"/>
        <v/>
      </c>
      <c r="X128" s="374">
        <f t="shared" si="22"/>
        <v>5604.25</v>
      </c>
      <c r="Y128" s="364"/>
    </row>
    <row r="129" spans="1:25" s="7" customFormat="1">
      <c r="A129" s="366">
        <v>41926</v>
      </c>
      <c r="B129" s="361" t="s">
        <v>720</v>
      </c>
      <c r="C129" s="361">
        <v>3</v>
      </c>
      <c r="D129" s="367">
        <v>9677</v>
      </c>
      <c r="E129" s="361" t="s">
        <v>721</v>
      </c>
      <c r="F129" s="361" t="s">
        <v>721</v>
      </c>
      <c r="G129" s="361"/>
      <c r="H129" s="361"/>
      <c r="I129" s="361"/>
      <c r="J129" s="361"/>
      <c r="K129" s="361"/>
      <c r="L129" s="361"/>
      <c r="M129" s="361"/>
      <c r="N129" s="361"/>
      <c r="O129" s="361"/>
      <c r="P129" s="361"/>
      <c r="Q129" s="375">
        <f>D129</f>
        <v>9677</v>
      </c>
      <c r="R129" s="376">
        <f>C129</f>
        <v>3</v>
      </c>
      <c r="S129" s="370">
        <f t="shared" si="21"/>
        <v>3225.6666666666665</v>
      </c>
      <c r="T129" s="362" t="b">
        <v>0</v>
      </c>
      <c r="U129" s="362" t="b">
        <v>0</v>
      </c>
      <c r="V129" s="361"/>
      <c r="W129" s="372">
        <f t="shared" si="23"/>
        <v>3225.6666666666665</v>
      </c>
      <c r="X129" s="374" t="str">
        <f t="shared" si="22"/>
        <v/>
      </c>
      <c r="Y129" s="364"/>
    </row>
    <row r="130" spans="1:25" s="7" customFormat="1">
      <c r="A130" s="360"/>
      <c r="B130" s="361"/>
      <c r="C130" s="361"/>
      <c r="D130" s="361"/>
      <c r="E130" s="361"/>
      <c r="F130" s="361"/>
      <c r="G130" s="361"/>
      <c r="H130" s="361"/>
      <c r="I130" s="361"/>
      <c r="J130" s="361"/>
      <c r="K130" s="361"/>
      <c r="L130" s="361"/>
      <c r="M130" s="361"/>
      <c r="N130" s="361"/>
      <c r="O130" s="361"/>
      <c r="P130" s="361"/>
      <c r="Q130" s="368">
        <f t="shared" ref="Q130:Q138" si="24">D134</f>
        <v>17079</v>
      </c>
      <c r="R130" s="369">
        <f t="shared" ref="R130:R138" si="25">C134</f>
        <v>3</v>
      </c>
      <c r="S130" s="370">
        <f t="shared" si="21"/>
        <v>5693</v>
      </c>
      <c r="T130" s="362" t="b">
        <v>1</v>
      </c>
      <c r="U130" s="362"/>
      <c r="V130" s="361"/>
      <c r="W130" s="372">
        <f t="shared" si="23"/>
        <v>5693</v>
      </c>
      <c r="X130" s="374" t="str">
        <f t="shared" si="22"/>
        <v/>
      </c>
      <c r="Y130" s="364"/>
    </row>
    <row r="131" spans="1:25" s="7" customFormat="1">
      <c r="A131" s="360" t="s">
        <v>722</v>
      </c>
      <c r="B131" s="361"/>
      <c r="C131" s="361"/>
      <c r="D131" s="361"/>
      <c r="E131" s="361"/>
      <c r="F131" s="361"/>
      <c r="G131" s="361"/>
      <c r="H131" s="361"/>
      <c r="I131" s="361"/>
      <c r="J131" s="361"/>
      <c r="K131" s="361"/>
      <c r="L131" s="361"/>
      <c r="M131" s="361"/>
      <c r="N131" s="361"/>
      <c r="O131" s="361"/>
      <c r="P131" s="361"/>
      <c r="Q131" s="372">
        <f t="shared" si="24"/>
        <v>23269</v>
      </c>
      <c r="R131" s="373">
        <f t="shared" si="25"/>
        <v>4</v>
      </c>
      <c r="S131" s="370">
        <f t="shared" si="21"/>
        <v>5817.25</v>
      </c>
      <c r="T131" s="362" t="b">
        <v>1</v>
      </c>
      <c r="U131" s="362"/>
      <c r="V131" s="361"/>
      <c r="W131" s="372" t="str">
        <f t="shared" si="23"/>
        <v/>
      </c>
      <c r="X131" s="374">
        <f t="shared" si="22"/>
        <v>5817.25</v>
      </c>
      <c r="Y131" s="364"/>
    </row>
    <row r="132" spans="1:25" s="7" customFormat="1">
      <c r="A132" s="360"/>
      <c r="B132" s="361"/>
      <c r="C132" s="361"/>
      <c r="D132" s="361"/>
      <c r="E132" s="361"/>
      <c r="F132" s="361"/>
      <c r="G132" s="361"/>
      <c r="H132" s="361"/>
      <c r="I132" s="361"/>
      <c r="J132" s="361"/>
      <c r="K132" s="361"/>
      <c r="L132" s="361"/>
      <c r="M132" s="361"/>
      <c r="N132" s="361"/>
      <c r="O132" s="361"/>
      <c r="P132" s="361"/>
      <c r="Q132" s="372">
        <f t="shared" si="24"/>
        <v>12351</v>
      </c>
      <c r="R132" s="373">
        <f t="shared" si="25"/>
        <v>3</v>
      </c>
      <c r="S132" s="370">
        <f t="shared" si="21"/>
        <v>4117</v>
      </c>
      <c r="T132" s="362" t="b">
        <v>1</v>
      </c>
      <c r="U132" s="362"/>
      <c r="V132" s="361"/>
      <c r="W132" s="372">
        <f t="shared" si="23"/>
        <v>4117</v>
      </c>
      <c r="X132" s="374" t="str">
        <f t="shared" si="22"/>
        <v/>
      </c>
      <c r="Y132" s="364"/>
    </row>
    <row r="133" spans="1:25" s="7" customFormat="1">
      <c r="A133" s="360" t="s">
        <v>723</v>
      </c>
      <c r="B133" s="361" t="s">
        <v>708</v>
      </c>
      <c r="C133" s="361" t="s">
        <v>709</v>
      </c>
      <c r="D133" s="361" t="s">
        <v>724</v>
      </c>
      <c r="E133" s="361" t="s">
        <v>725</v>
      </c>
      <c r="F133" s="361" t="s">
        <v>726</v>
      </c>
      <c r="G133" s="361"/>
      <c r="H133" s="361"/>
      <c r="I133" s="361"/>
      <c r="J133" s="361"/>
      <c r="K133" s="361"/>
      <c r="L133" s="361"/>
      <c r="M133" s="361"/>
      <c r="N133" s="361"/>
      <c r="O133" s="361"/>
      <c r="P133" s="361"/>
      <c r="Q133" s="372">
        <f t="shared" si="24"/>
        <v>17455</v>
      </c>
      <c r="R133" s="373">
        <f t="shared" si="25"/>
        <v>3</v>
      </c>
      <c r="S133" s="370">
        <f t="shared" si="21"/>
        <v>5818.333333333333</v>
      </c>
      <c r="T133" s="362" t="b">
        <v>1</v>
      </c>
      <c r="U133" s="362"/>
      <c r="V133" s="361"/>
      <c r="W133" s="372">
        <f t="shared" si="23"/>
        <v>5818.333333333333</v>
      </c>
      <c r="X133" s="374" t="str">
        <f t="shared" si="22"/>
        <v/>
      </c>
      <c r="Y133" s="364"/>
    </row>
    <row r="134" spans="1:25" s="7" customFormat="1">
      <c r="A134" s="366">
        <v>41684</v>
      </c>
      <c r="B134" s="361" t="s">
        <v>727</v>
      </c>
      <c r="C134" s="361">
        <v>3</v>
      </c>
      <c r="D134" s="367">
        <v>17079</v>
      </c>
      <c r="E134" s="361" t="s">
        <v>718</v>
      </c>
      <c r="F134" s="361"/>
      <c r="G134" s="361"/>
      <c r="H134" s="361"/>
      <c r="I134" s="361"/>
      <c r="J134" s="361"/>
      <c r="K134" s="361"/>
      <c r="L134" s="361"/>
      <c r="M134" s="361"/>
      <c r="N134" s="361"/>
      <c r="O134" s="361"/>
      <c r="P134" s="361"/>
      <c r="Q134" s="372">
        <f t="shared" si="24"/>
        <v>15213</v>
      </c>
      <c r="R134" s="373">
        <f t="shared" si="25"/>
        <v>3</v>
      </c>
      <c r="S134" s="370">
        <f t="shared" si="21"/>
        <v>5071</v>
      </c>
      <c r="T134" s="362" t="b">
        <v>1</v>
      </c>
      <c r="U134" s="362"/>
      <c r="V134" s="361"/>
      <c r="W134" s="372">
        <f t="shared" si="23"/>
        <v>5071</v>
      </c>
      <c r="X134" s="374" t="str">
        <f t="shared" si="22"/>
        <v/>
      </c>
      <c r="Y134" s="364"/>
    </row>
    <row r="135" spans="1:25" s="7" customFormat="1">
      <c r="A135" s="366">
        <v>41865</v>
      </c>
      <c r="B135" s="361" t="s">
        <v>727</v>
      </c>
      <c r="C135" s="361">
        <v>4</v>
      </c>
      <c r="D135" s="367">
        <v>23269</v>
      </c>
      <c r="E135" s="361" t="s">
        <v>718</v>
      </c>
      <c r="F135" s="361"/>
      <c r="G135" s="361"/>
      <c r="H135" s="361"/>
      <c r="I135" s="361"/>
      <c r="J135" s="361"/>
      <c r="K135" s="361"/>
      <c r="L135" s="361"/>
      <c r="M135" s="361"/>
      <c r="N135" s="361"/>
      <c r="O135" s="361"/>
      <c r="P135" s="361"/>
      <c r="Q135" s="372">
        <f t="shared" si="24"/>
        <v>15395</v>
      </c>
      <c r="R135" s="373">
        <f t="shared" si="25"/>
        <v>3</v>
      </c>
      <c r="S135" s="370">
        <f t="shared" si="21"/>
        <v>5131.666666666667</v>
      </c>
      <c r="T135" s="362" t="b">
        <v>1</v>
      </c>
      <c r="U135" s="362"/>
      <c r="V135" s="361"/>
      <c r="W135" s="372">
        <f t="shared" si="23"/>
        <v>5131.666666666667</v>
      </c>
      <c r="X135" s="374" t="str">
        <f t="shared" si="22"/>
        <v/>
      </c>
      <c r="Y135" s="364"/>
    </row>
    <row r="136" spans="1:25" s="7" customFormat="1">
      <c r="A136" s="366">
        <v>41865</v>
      </c>
      <c r="B136" s="361" t="s">
        <v>727</v>
      </c>
      <c r="C136" s="361">
        <v>3</v>
      </c>
      <c r="D136" s="367">
        <v>12351</v>
      </c>
      <c r="E136" s="361" t="s">
        <v>718</v>
      </c>
      <c r="F136" s="361"/>
      <c r="G136" s="361"/>
      <c r="H136" s="361"/>
      <c r="I136" s="361"/>
      <c r="J136" s="361"/>
      <c r="K136" s="361"/>
      <c r="L136" s="361"/>
      <c r="M136" s="361"/>
      <c r="N136" s="361"/>
      <c r="O136" s="361"/>
      <c r="P136" s="361"/>
      <c r="Q136" s="372">
        <f t="shared" si="24"/>
        <v>17153</v>
      </c>
      <c r="R136" s="373">
        <f t="shared" si="25"/>
        <v>4</v>
      </c>
      <c r="S136" s="370">
        <f t="shared" si="21"/>
        <v>4288.25</v>
      </c>
      <c r="T136" s="362" t="b">
        <v>1</v>
      </c>
      <c r="U136" s="362"/>
      <c r="V136" s="361"/>
      <c r="W136" s="372" t="str">
        <f t="shared" si="23"/>
        <v/>
      </c>
      <c r="X136" s="374">
        <f t="shared" si="22"/>
        <v>4288.25</v>
      </c>
      <c r="Y136" s="364"/>
    </row>
    <row r="137" spans="1:25" s="7" customFormat="1">
      <c r="A137" s="366">
        <v>41896</v>
      </c>
      <c r="B137" s="361" t="s">
        <v>727</v>
      </c>
      <c r="C137" s="361">
        <v>3</v>
      </c>
      <c r="D137" s="367">
        <v>17455</v>
      </c>
      <c r="E137" s="361" t="s">
        <v>718</v>
      </c>
      <c r="F137" s="361"/>
      <c r="G137" s="361"/>
      <c r="H137" s="361"/>
      <c r="I137" s="361"/>
      <c r="J137" s="361"/>
      <c r="K137" s="361"/>
      <c r="L137" s="361"/>
      <c r="M137" s="361"/>
      <c r="N137" s="361"/>
      <c r="O137" s="361"/>
      <c r="P137" s="361"/>
      <c r="Q137" s="372">
        <f t="shared" si="24"/>
        <v>15830</v>
      </c>
      <c r="R137" s="373">
        <f t="shared" si="25"/>
        <v>4</v>
      </c>
      <c r="S137" s="370">
        <f t="shared" si="21"/>
        <v>3957.5</v>
      </c>
      <c r="T137" s="362" t="b">
        <v>1</v>
      </c>
      <c r="U137" s="362"/>
      <c r="V137" s="361"/>
      <c r="W137" s="372" t="str">
        <f t="shared" si="23"/>
        <v/>
      </c>
      <c r="X137" s="374">
        <f t="shared" si="22"/>
        <v>3957.5</v>
      </c>
      <c r="Y137" s="364"/>
    </row>
    <row r="138" spans="1:25" s="7" customFormat="1">
      <c r="A138" s="366">
        <v>41896</v>
      </c>
      <c r="B138" s="361" t="s">
        <v>727</v>
      </c>
      <c r="C138" s="361">
        <v>3</v>
      </c>
      <c r="D138" s="367">
        <v>15213</v>
      </c>
      <c r="E138" s="361" t="s">
        <v>718</v>
      </c>
      <c r="F138" s="361"/>
      <c r="G138" s="361"/>
      <c r="H138" s="361"/>
      <c r="I138" s="361"/>
      <c r="J138" s="361"/>
      <c r="K138" s="361"/>
      <c r="L138" s="361"/>
      <c r="M138" s="361"/>
      <c r="N138" s="361"/>
      <c r="O138" s="361"/>
      <c r="P138" s="361"/>
      <c r="Q138" s="375">
        <f t="shared" si="24"/>
        <v>13545</v>
      </c>
      <c r="R138" s="376">
        <f t="shared" si="25"/>
        <v>4</v>
      </c>
      <c r="S138" s="370">
        <f t="shared" si="21"/>
        <v>3386.25</v>
      </c>
      <c r="T138" s="362" t="b">
        <v>1</v>
      </c>
      <c r="U138" s="362"/>
      <c r="V138" s="361"/>
      <c r="W138" s="372" t="str">
        <f t="shared" si="23"/>
        <v/>
      </c>
      <c r="X138" s="374">
        <f t="shared" si="22"/>
        <v>3386.25</v>
      </c>
      <c r="Y138" s="364"/>
    </row>
    <row r="139" spans="1:25" s="7" customFormat="1">
      <c r="A139" s="366">
        <v>41743</v>
      </c>
      <c r="B139" s="361" t="s">
        <v>720</v>
      </c>
      <c r="C139" s="361">
        <v>3</v>
      </c>
      <c r="D139" s="367">
        <v>15395</v>
      </c>
      <c r="E139" s="361" t="s">
        <v>718</v>
      </c>
      <c r="F139" s="361"/>
      <c r="G139" s="361"/>
      <c r="H139" s="361"/>
      <c r="I139" s="361"/>
      <c r="J139" s="361"/>
      <c r="K139" s="361"/>
      <c r="L139" s="361"/>
      <c r="M139" s="361"/>
      <c r="N139" s="361"/>
      <c r="O139" s="361"/>
      <c r="P139" s="361"/>
      <c r="Q139" s="377">
        <v>10400</v>
      </c>
      <c r="R139" s="378">
        <v>3</v>
      </c>
      <c r="S139" s="370">
        <f t="shared" si="21"/>
        <v>3466.6666666666665</v>
      </c>
      <c r="T139" s="362" t="b">
        <v>0</v>
      </c>
      <c r="U139" s="362" t="b">
        <v>0</v>
      </c>
      <c r="V139" s="361"/>
      <c r="W139" s="372">
        <f t="shared" si="23"/>
        <v>3466.6666666666665</v>
      </c>
      <c r="X139" s="374" t="str">
        <f t="shared" si="22"/>
        <v/>
      </c>
      <c r="Y139" s="364"/>
    </row>
    <row r="140" spans="1:25" s="7" customFormat="1">
      <c r="A140" s="366">
        <v>41743</v>
      </c>
      <c r="B140" s="361" t="s">
        <v>720</v>
      </c>
      <c r="C140" s="361">
        <v>4</v>
      </c>
      <c r="D140" s="367">
        <v>17153</v>
      </c>
      <c r="E140" s="361" t="s">
        <v>718</v>
      </c>
      <c r="F140" s="361"/>
      <c r="G140" s="361"/>
      <c r="H140" s="361"/>
      <c r="I140" s="361"/>
      <c r="J140" s="361"/>
      <c r="K140" s="361"/>
      <c r="L140" s="361"/>
      <c r="M140" s="361"/>
      <c r="N140" s="361"/>
      <c r="O140" s="361"/>
      <c r="P140" s="361"/>
      <c r="Q140" s="368">
        <v>12000</v>
      </c>
      <c r="R140" s="369">
        <v>3</v>
      </c>
      <c r="S140" s="370">
        <f t="shared" si="21"/>
        <v>4000</v>
      </c>
      <c r="T140" s="362" t="b">
        <v>0</v>
      </c>
      <c r="U140" s="362" t="b">
        <v>0</v>
      </c>
      <c r="V140" s="361"/>
      <c r="W140" s="372">
        <f t="shared" si="23"/>
        <v>4000</v>
      </c>
      <c r="X140" s="374" t="str">
        <f t="shared" si="22"/>
        <v/>
      </c>
      <c r="Y140" s="364"/>
    </row>
    <row r="141" spans="1:25" s="7" customFormat="1">
      <c r="A141" s="366">
        <v>41712</v>
      </c>
      <c r="B141" s="361" t="s">
        <v>720</v>
      </c>
      <c r="C141" s="361">
        <v>4</v>
      </c>
      <c r="D141" s="367">
        <v>15830</v>
      </c>
      <c r="E141" s="361" t="s">
        <v>718</v>
      </c>
      <c r="F141" s="361"/>
      <c r="G141" s="361"/>
      <c r="H141" s="361"/>
      <c r="I141" s="361"/>
      <c r="J141" s="361"/>
      <c r="K141" s="361"/>
      <c r="L141" s="361"/>
      <c r="M141" s="361"/>
      <c r="N141" s="361"/>
      <c r="O141" s="361"/>
      <c r="P141" s="361"/>
      <c r="Q141" s="372">
        <v>13000</v>
      </c>
      <c r="R141" s="373">
        <v>4</v>
      </c>
      <c r="S141" s="370">
        <f t="shared" si="21"/>
        <v>3250</v>
      </c>
      <c r="T141" s="362" t="b">
        <v>0</v>
      </c>
      <c r="U141" s="362" t="b">
        <v>0</v>
      </c>
      <c r="V141" s="361"/>
      <c r="W141" s="372" t="str">
        <f t="shared" si="23"/>
        <v/>
      </c>
      <c r="X141" s="374">
        <f t="shared" si="22"/>
        <v>3250</v>
      </c>
      <c r="Y141" s="364"/>
    </row>
    <row r="142" spans="1:25" s="7" customFormat="1">
      <c r="A142" s="366">
        <v>41834</v>
      </c>
      <c r="B142" s="361" t="s">
        <v>720</v>
      </c>
      <c r="C142" s="361">
        <v>4</v>
      </c>
      <c r="D142" s="367">
        <v>13545</v>
      </c>
      <c r="E142" s="361" t="s">
        <v>718</v>
      </c>
      <c r="F142" s="361"/>
      <c r="G142" s="361"/>
      <c r="H142" s="361"/>
      <c r="I142" s="361"/>
      <c r="J142" s="361"/>
      <c r="K142" s="361"/>
      <c r="L142" s="361"/>
      <c r="M142" s="361"/>
      <c r="N142" s="361"/>
      <c r="O142" s="361"/>
      <c r="P142" s="361"/>
      <c r="Q142" s="379">
        <v>14500</v>
      </c>
      <c r="R142" s="380">
        <v>3</v>
      </c>
      <c r="S142" s="370">
        <f t="shared" si="21"/>
        <v>4833.333333333333</v>
      </c>
      <c r="T142" s="362" t="b">
        <v>0</v>
      </c>
      <c r="U142" s="362" t="b">
        <v>1</v>
      </c>
      <c r="V142" s="361"/>
      <c r="W142" s="375">
        <f t="shared" si="23"/>
        <v>4833.333333333333</v>
      </c>
      <c r="X142" s="381" t="str">
        <f t="shared" si="22"/>
        <v/>
      </c>
      <c r="Y142" s="364"/>
    </row>
    <row r="143" spans="1:25" s="7" customFormat="1">
      <c r="A143" s="360"/>
      <c r="B143" s="361"/>
      <c r="C143" s="361"/>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4"/>
    </row>
    <row r="144" spans="1:25" s="7" customFormat="1">
      <c r="A144" s="360"/>
      <c r="B144" s="361"/>
      <c r="C144" s="361"/>
      <c r="D144" s="361"/>
      <c r="E144" s="361"/>
      <c r="F144" s="361"/>
      <c r="G144" s="361"/>
      <c r="H144" s="361"/>
      <c r="I144" s="361"/>
      <c r="J144" s="361"/>
      <c r="K144" s="361"/>
      <c r="L144" s="361"/>
      <c r="M144" s="361"/>
      <c r="N144" s="361"/>
      <c r="O144" s="361"/>
      <c r="P144" s="361"/>
      <c r="Q144" s="361"/>
      <c r="R144" s="361"/>
      <c r="S144" s="361"/>
      <c r="T144" s="361"/>
      <c r="U144" s="361"/>
      <c r="V144" s="361"/>
      <c r="W144" s="361"/>
      <c r="X144" s="361"/>
      <c r="Y144" s="364"/>
    </row>
    <row r="145" spans="1:25" s="7" customFormat="1">
      <c r="A145" s="360"/>
      <c r="B145" s="361"/>
      <c r="C145" s="361"/>
      <c r="D145" s="361"/>
      <c r="E145" s="361"/>
      <c r="F145" s="361"/>
      <c r="G145" s="361"/>
      <c r="H145" s="361"/>
      <c r="I145" s="361"/>
      <c r="J145" s="361"/>
      <c r="K145" s="361"/>
      <c r="L145" s="361"/>
      <c r="M145" s="361"/>
      <c r="N145" s="361"/>
      <c r="O145" s="361"/>
      <c r="P145" s="361"/>
      <c r="Q145" s="361"/>
      <c r="R145" s="363" t="s">
        <v>728</v>
      </c>
      <c r="S145" s="363" t="s">
        <v>456</v>
      </c>
      <c r="T145" s="361"/>
      <c r="U145" s="361"/>
      <c r="V145" s="361" t="s">
        <v>728</v>
      </c>
      <c r="W145" s="361" t="s">
        <v>729</v>
      </c>
      <c r="X145" s="361" t="s">
        <v>730</v>
      </c>
      <c r="Y145" s="364" t="s">
        <v>456</v>
      </c>
    </row>
    <row r="146" spans="1:25" s="7" customFormat="1">
      <c r="A146" s="360"/>
      <c r="B146" s="361"/>
      <c r="C146" s="361"/>
      <c r="D146" s="361"/>
      <c r="E146" s="361"/>
      <c r="F146" s="361"/>
      <c r="G146" s="361"/>
      <c r="H146" s="361"/>
      <c r="I146" s="361"/>
      <c r="J146" s="361"/>
      <c r="K146" s="361"/>
      <c r="L146" s="361"/>
      <c r="M146" s="361"/>
      <c r="N146" s="361"/>
      <c r="O146" s="361"/>
      <c r="P146" s="361"/>
      <c r="Q146" s="361"/>
      <c r="R146" s="382">
        <v>0</v>
      </c>
      <c r="S146" s="383">
        <f>PERCENTILE($S$125:$S$142,R146)</f>
        <v>3225.6666666666665</v>
      </c>
      <c r="T146" s="361"/>
      <c r="U146" s="361"/>
      <c r="V146" s="313">
        <v>0</v>
      </c>
      <c r="W146" s="384">
        <f>PERCENTILE($W$126:$W$142,V146)</f>
        <v>3225.6666666666665</v>
      </c>
      <c r="X146" s="384">
        <f>PERCENTILE($X$126:$X$142,V146)</f>
        <v>3250</v>
      </c>
      <c r="Y146" s="385">
        <f>S146</f>
        <v>3225.6666666666665</v>
      </c>
    </row>
    <row r="147" spans="1:25" s="7" customFormat="1">
      <c r="A147" s="360"/>
      <c r="B147" s="361"/>
      <c r="C147" s="361"/>
      <c r="D147" s="361"/>
      <c r="E147" s="361"/>
      <c r="F147" s="361"/>
      <c r="G147" s="361"/>
      <c r="H147" s="361"/>
      <c r="I147" s="361"/>
      <c r="J147" s="361"/>
      <c r="K147" s="361"/>
      <c r="L147" s="361"/>
      <c r="M147" s="361"/>
      <c r="N147" s="361"/>
      <c r="O147" s="361"/>
      <c r="P147" s="361"/>
      <c r="Q147" s="361"/>
      <c r="R147" s="386">
        <v>0.25</v>
      </c>
      <c r="S147" s="387">
        <f t="shared" ref="S147:S150" si="26">PERCENTILE($S$125:$S$142,R147)</f>
        <v>3957.5</v>
      </c>
      <c r="T147" s="361"/>
      <c r="U147" s="361"/>
      <c r="V147" s="388">
        <v>0.25</v>
      </c>
      <c r="W147" s="389">
        <f t="shared" ref="W147:W150" si="27">PERCENTILE($W$126:$W$142,V147)</f>
        <v>4000</v>
      </c>
      <c r="X147" s="389">
        <f t="shared" ref="X147:X150" si="28">PERCENTILE($X$126:$X$142,V147)</f>
        <v>3671.875</v>
      </c>
      <c r="Y147" s="390">
        <f>S147</f>
        <v>3957.5</v>
      </c>
    </row>
    <row r="148" spans="1:25" s="7" customFormat="1">
      <c r="A148" s="360" t="s">
        <v>731</v>
      </c>
      <c r="B148" s="361"/>
      <c r="C148" s="361"/>
      <c r="D148" s="361"/>
      <c r="E148" s="361"/>
      <c r="F148" s="361"/>
      <c r="G148" s="361"/>
      <c r="H148" s="361"/>
      <c r="I148" s="361"/>
      <c r="J148" s="361"/>
      <c r="K148" s="361"/>
      <c r="L148" s="361"/>
      <c r="M148" s="361"/>
      <c r="N148" s="361"/>
      <c r="O148" s="361"/>
      <c r="P148" s="361"/>
      <c r="Q148" s="361"/>
      <c r="R148" s="391">
        <v>0.5</v>
      </c>
      <c r="S148" s="392">
        <f t="shared" si="26"/>
        <v>4833.333333333333</v>
      </c>
      <c r="T148" s="361"/>
      <c r="U148" s="361"/>
      <c r="V148" s="313">
        <v>0.5</v>
      </c>
      <c r="W148" s="384">
        <f t="shared" si="27"/>
        <v>4833.333333333333</v>
      </c>
      <c r="X148" s="384">
        <f t="shared" si="28"/>
        <v>4288.25</v>
      </c>
      <c r="Y148" s="385">
        <f>S148</f>
        <v>4833.333333333333</v>
      </c>
    </row>
    <row r="149" spans="1:25" s="7" customFormat="1">
      <c r="A149" s="360"/>
      <c r="B149" s="361"/>
      <c r="C149" s="361"/>
      <c r="D149" s="361"/>
      <c r="E149" s="361"/>
      <c r="F149" s="361"/>
      <c r="G149" s="361"/>
      <c r="H149" s="361"/>
      <c r="I149" s="361"/>
      <c r="J149" s="361"/>
      <c r="K149" s="361"/>
      <c r="L149" s="361"/>
      <c r="M149" s="361"/>
      <c r="N149" s="361"/>
      <c r="O149" s="361"/>
      <c r="P149" s="361"/>
      <c r="Q149" s="361"/>
      <c r="R149" s="391">
        <v>0.75</v>
      </c>
      <c r="S149" s="392">
        <f t="shared" si="26"/>
        <v>5604.25</v>
      </c>
      <c r="T149" s="361"/>
      <c r="U149" s="361"/>
      <c r="V149" s="313">
        <v>0.75</v>
      </c>
      <c r="W149" s="384">
        <f t="shared" si="27"/>
        <v>5131.666666666667</v>
      </c>
      <c r="X149" s="384">
        <f t="shared" si="28"/>
        <v>5519.75</v>
      </c>
      <c r="Y149" s="385">
        <f>S149</f>
        <v>5604.25</v>
      </c>
    </row>
    <row r="150" spans="1:25" s="7" customFormat="1">
      <c r="A150" s="360"/>
      <c r="B150" s="361"/>
      <c r="C150" s="361"/>
      <c r="D150" s="361"/>
      <c r="E150" s="361"/>
      <c r="F150" s="361"/>
      <c r="G150" s="361"/>
      <c r="H150" s="361"/>
      <c r="I150" s="361"/>
      <c r="J150" s="361"/>
      <c r="K150" s="361"/>
      <c r="L150" s="361"/>
      <c r="M150" s="361"/>
      <c r="N150" s="361"/>
      <c r="O150" s="361"/>
      <c r="P150" s="361"/>
      <c r="Q150" s="361"/>
      <c r="R150" s="393">
        <v>1</v>
      </c>
      <c r="S150" s="394">
        <f t="shared" si="26"/>
        <v>9156.3333333333339</v>
      </c>
      <c r="T150" s="361"/>
      <c r="U150" s="361"/>
      <c r="V150" s="313">
        <v>1</v>
      </c>
      <c r="W150" s="384">
        <f t="shared" si="27"/>
        <v>5818.333333333333</v>
      </c>
      <c r="X150" s="384">
        <f t="shared" si="28"/>
        <v>5817.25</v>
      </c>
      <c r="Y150" s="385">
        <f>S150</f>
        <v>9156.3333333333339</v>
      </c>
    </row>
    <row r="151" spans="1:25" s="7" customFormat="1">
      <c r="A151" s="360"/>
      <c r="B151" s="361"/>
      <c r="C151" s="361"/>
      <c r="D151" s="361"/>
      <c r="E151" s="361"/>
      <c r="F151" s="361"/>
      <c r="G151" s="361"/>
      <c r="H151" s="361"/>
      <c r="I151" s="361"/>
      <c r="J151" s="361"/>
      <c r="K151" s="361"/>
      <c r="L151" s="361"/>
      <c r="M151" s="361"/>
      <c r="N151" s="361"/>
      <c r="O151" s="361"/>
      <c r="P151" s="361"/>
      <c r="Q151" s="361"/>
      <c r="R151" s="362" t="s">
        <v>732</v>
      </c>
      <c r="S151" s="370">
        <f>AVERAGE(S126:S142)</f>
        <v>4838.338235294118</v>
      </c>
      <c r="T151" s="361"/>
      <c r="U151" s="361"/>
      <c r="V151" s="361"/>
      <c r="W151" s="361"/>
      <c r="X151" s="361"/>
      <c r="Y151" s="364"/>
    </row>
    <row r="152" spans="1:25" s="7" customFormat="1">
      <c r="A152" s="360" t="s">
        <v>733</v>
      </c>
      <c r="B152" s="361"/>
      <c r="C152" s="361"/>
      <c r="D152" s="361"/>
      <c r="E152" s="361"/>
      <c r="F152" s="361"/>
      <c r="G152" s="361"/>
      <c r="H152" s="361"/>
      <c r="I152" s="361"/>
      <c r="J152" s="361"/>
      <c r="K152" s="361"/>
      <c r="L152" s="361"/>
      <c r="M152" s="361"/>
      <c r="N152" s="361"/>
      <c r="O152" s="361"/>
      <c r="P152" s="361"/>
      <c r="Q152" s="361"/>
      <c r="T152" s="361"/>
      <c r="U152" s="361"/>
      <c r="V152" s="361"/>
      <c r="W152" s="361"/>
      <c r="X152" s="361"/>
      <c r="Y152" s="364"/>
    </row>
    <row r="153" spans="1:25" s="7" customFormat="1">
      <c r="A153" s="360" t="s">
        <v>734</v>
      </c>
      <c r="B153" s="361"/>
      <c r="C153" s="361"/>
      <c r="D153" s="361"/>
      <c r="E153" s="361"/>
      <c r="F153" s="361"/>
      <c r="G153" s="361"/>
      <c r="H153" s="361"/>
      <c r="I153" s="361"/>
      <c r="J153" s="361"/>
      <c r="K153" s="361"/>
      <c r="L153" s="361"/>
      <c r="M153" s="361"/>
      <c r="N153" s="361"/>
      <c r="O153" s="361"/>
      <c r="P153" s="361"/>
      <c r="Q153" s="361"/>
      <c r="R153" s="361"/>
      <c r="S153" s="361"/>
      <c r="T153" s="361"/>
      <c r="U153" s="361"/>
      <c r="V153" s="361"/>
      <c r="W153" s="361"/>
      <c r="X153" s="361"/>
      <c r="Y153" s="364"/>
    </row>
    <row r="154" spans="1:25" s="7" customFormat="1">
      <c r="A154" s="360" t="s">
        <v>735</v>
      </c>
      <c r="B154" s="361"/>
      <c r="C154" s="361"/>
      <c r="D154" s="361"/>
      <c r="E154" s="361"/>
      <c r="F154" s="361"/>
      <c r="G154" s="361"/>
      <c r="H154" s="361"/>
      <c r="I154" s="361"/>
      <c r="J154" s="361"/>
      <c r="K154" s="361"/>
      <c r="L154" s="361"/>
      <c r="M154" s="361"/>
      <c r="N154" s="361"/>
      <c r="O154" s="361"/>
      <c r="P154" s="361"/>
      <c r="Q154" s="361"/>
      <c r="R154" s="361"/>
      <c r="S154" s="361"/>
      <c r="T154" s="361"/>
      <c r="U154" s="361"/>
      <c r="V154" s="361"/>
      <c r="W154" s="361"/>
      <c r="X154" s="361"/>
      <c r="Y154" s="364"/>
    </row>
    <row r="155" spans="1:25" s="7" customFormat="1">
      <c r="A155" s="360" t="s">
        <v>736</v>
      </c>
      <c r="B155" s="361"/>
      <c r="C155" s="361"/>
      <c r="D155" s="361"/>
      <c r="E155" s="361"/>
      <c r="F155" s="361"/>
      <c r="G155" s="361"/>
      <c r="H155" s="361"/>
      <c r="I155" s="361"/>
      <c r="J155" s="361"/>
      <c r="K155" s="361"/>
      <c r="L155" s="361"/>
      <c r="M155" s="361"/>
      <c r="N155" s="361"/>
      <c r="O155" s="361"/>
      <c r="P155" s="361"/>
      <c r="Q155" s="361"/>
      <c r="R155" s="361"/>
      <c r="S155" s="361"/>
      <c r="T155" s="361"/>
      <c r="U155" s="361"/>
      <c r="V155" s="361"/>
      <c r="W155" s="361"/>
      <c r="X155" s="361"/>
      <c r="Y155" s="364"/>
    </row>
    <row r="156" spans="1:25" s="7" customFormat="1">
      <c r="A156" s="360" t="s">
        <v>737</v>
      </c>
      <c r="B156" s="361"/>
      <c r="C156" s="361"/>
      <c r="D156" s="361"/>
      <c r="E156" s="361"/>
      <c r="F156" s="361"/>
      <c r="G156" s="361"/>
      <c r="H156" s="361"/>
      <c r="I156" s="361"/>
      <c r="J156" s="361"/>
      <c r="K156" s="361"/>
      <c r="L156" s="361"/>
      <c r="M156" s="361"/>
      <c r="N156" s="361"/>
      <c r="O156" s="361"/>
      <c r="P156" s="361"/>
      <c r="Q156" s="361"/>
      <c r="R156" s="361"/>
      <c r="S156" s="361"/>
      <c r="T156" s="361"/>
      <c r="U156" s="361"/>
      <c r="V156" s="361"/>
      <c r="W156" s="361"/>
      <c r="X156" s="361"/>
      <c r="Y156" s="364"/>
    </row>
    <row r="157" spans="1:25" s="7" customFormat="1">
      <c r="A157" s="360"/>
      <c r="B157" s="361"/>
      <c r="C157" s="361"/>
      <c r="D157" s="361"/>
      <c r="E157" s="361"/>
      <c r="F157" s="361"/>
      <c r="G157" s="361"/>
      <c r="H157" s="361"/>
      <c r="I157" s="361"/>
      <c r="J157" s="361"/>
      <c r="K157" s="361"/>
      <c r="L157" s="361"/>
      <c r="M157" s="361"/>
      <c r="N157" s="361"/>
      <c r="O157" s="361"/>
      <c r="P157" s="361"/>
      <c r="Q157" s="361"/>
      <c r="R157" s="361"/>
      <c r="S157" s="361"/>
      <c r="T157" s="361"/>
      <c r="U157" s="361"/>
      <c r="V157" s="361"/>
      <c r="W157" s="361"/>
      <c r="X157" s="361"/>
      <c r="Y157" s="364"/>
    </row>
    <row r="158" spans="1:25" s="7" customFormat="1">
      <c r="A158" s="360"/>
      <c r="B158" s="361"/>
      <c r="C158" s="361"/>
      <c r="D158" s="361"/>
      <c r="E158" s="361"/>
      <c r="F158" s="361"/>
      <c r="G158" s="361"/>
      <c r="H158" s="361"/>
      <c r="I158" s="361"/>
      <c r="J158" s="361"/>
      <c r="K158" s="361"/>
      <c r="L158" s="361"/>
      <c r="M158" s="361"/>
      <c r="N158" s="361"/>
      <c r="O158" s="361"/>
      <c r="P158" s="361"/>
      <c r="Q158" s="361"/>
      <c r="R158" s="361"/>
      <c r="S158" s="361"/>
      <c r="T158" s="361"/>
      <c r="U158" s="361"/>
      <c r="V158" s="361"/>
      <c r="W158" s="361"/>
      <c r="X158" s="361"/>
      <c r="Y158" s="364"/>
    </row>
    <row r="159" spans="1:25" s="7" customFormat="1">
      <c r="A159" s="360"/>
      <c r="B159" s="361"/>
      <c r="C159" s="361"/>
      <c r="D159" s="361"/>
      <c r="E159" s="361"/>
      <c r="F159" s="361"/>
      <c r="G159" s="361"/>
      <c r="H159" s="361"/>
      <c r="I159" s="361"/>
      <c r="J159" s="361"/>
      <c r="K159" s="361"/>
      <c r="L159" s="361"/>
      <c r="M159" s="361"/>
      <c r="N159" s="361"/>
      <c r="O159" s="361"/>
      <c r="P159" s="361"/>
      <c r="Q159" s="361"/>
      <c r="R159" s="361"/>
      <c r="S159" s="361"/>
      <c r="T159" s="361"/>
      <c r="U159" s="361"/>
      <c r="V159" s="361"/>
      <c r="W159" s="361"/>
      <c r="X159" s="361"/>
      <c r="Y159" s="364"/>
    </row>
    <row r="160" spans="1:25" s="7" customFormat="1">
      <c r="A160" s="360" t="s">
        <v>738</v>
      </c>
      <c r="B160" s="361"/>
      <c r="C160" s="361"/>
      <c r="D160" s="361"/>
      <c r="E160" s="361"/>
      <c r="F160" s="361"/>
      <c r="G160" s="361"/>
      <c r="H160" s="361"/>
      <c r="I160" s="361"/>
      <c r="J160" s="361"/>
      <c r="K160" s="361"/>
      <c r="L160" s="361"/>
      <c r="M160" s="361"/>
      <c r="N160" s="361"/>
      <c r="O160" s="361"/>
      <c r="P160" s="361"/>
      <c r="Q160" s="361"/>
      <c r="R160" s="361"/>
      <c r="S160" s="361"/>
      <c r="T160" s="361"/>
      <c r="U160" s="361"/>
      <c r="V160" s="361"/>
      <c r="W160" s="361"/>
      <c r="X160" s="361"/>
      <c r="Y160" s="364"/>
    </row>
    <row r="161" spans="1:26" s="7" customFormat="1" ht="13.5" thickBot="1">
      <c r="A161" s="395"/>
      <c r="B161" s="396"/>
      <c r="C161" s="396"/>
      <c r="D161" s="396"/>
      <c r="E161" s="396"/>
      <c r="F161" s="396"/>
      <c r="G161" s="396"/>
      <c r="H161" s="396"/>
      <c r="I161" s="396"/>
      <c r="J161" s="396"/>
      <c r="K161" s="396"/>
      <c r="L161" s="396"/>
      <c r="M161" s="396"/>
      <c r="N161" s="396"/>
      <c r="O161" s="396"/>
      <c r="P161" s="396"/>
      <c r="Q161" s="396"/>
      <c r="R161" s="396"/>
      <c r="S161" s="396"/>
      <c r="T161" s="396"/>
      <c r="U161" s="396"/>
      <c r="V161" s="396"/>
      <c r="W161" s="396"/>
      <c r="X161" s="396"/>
      <c r="Y161" s="397"/>
    </row>
    <row r="162" spans="1:26" s="7" customFormat="1">
      <c r="A162" s="356"/>
      <c r="B162" s="356"/>
      <c r="C162" s="356"/>
      <c r="D162" s="356"/>
      <c r="E162" s="356"/>
      <c r="F162" s="356"/>
      <c r="G162" s="356"/>
      <c r="H162" s="356"/>
      <c r="I162" s="356"/>
      <c r="J162" s="356"/>
      <c r="K162" s="356"/>
      <c r="L162" s="356"/>
      <c r="M162" s="356"/>
      <c r="N162" s="356"/>
      <c r="O162" s="356"/>
      <c r="P162" s="356"/>
      <c r="Q162" s="356"/>
      <c r="R162" s="356"/>
      <c r="S162" s="356"/>
      <c r="T162" s="356"/>
      <c r="U162" s="356"/>
      <c r="V162" s="356"/>
      <c r="W162" s="356"/>
      <c r="X162" s="356"/>
      <c r="Y162" s="356"/>
      <c r="Z162" s="356"/>
    </row>
    <row r="163" spans="1:26" s="7" customFormat="1"/>
    <row r="164" spans="1:26" s="7" customFormat="1"/>
  </sheetData>
  <mergeCells count="19">
    <mergeCell ref="R79:R80"/>
    <mergeCell ref="L82:L84"/>
    <mergeCell ref="L96:L98"/>
    <mergeCell ref="L76:L78"/>
    <mergeCell ref="M76:M78"/>
    <mergeCell ref="N76:P76"/>
    <mergeCell ref="L79:L81"/>
    <mergeCell ref="L85:L87"/>
    <mergeCell ref="L90:L92"/>
    <mergeCell ref="M90:M92"/>
    <mergeCell ref="N90:P90"/>
    <mergeCell ref="L93:L95"/>
    <mergeCell ref="L113:L115"/>
    <mergeCell ref="L99:L101"/>
    <mergeCell ref="L104:L106"/>
    <mergeCell ref="M104:M106"/>
    <mergeCell ref="N104:P104"/>
    <mergeCell ref="L107:L109"/>
    <mergeCell ref="L110:L112"/>
  </mergeCells>
  <hyperlinks>
    <hyperlink ref="R76" r:id="rId1"/>
  </hyperlinks>
  <pageMargins left="0.7" right="0.7" top="0.75" bottom="0.75" header="0.3" footer="0.3"/>
  <legacyDrawing r:id="rId2"/>
</worksheet>
</file>

<file path=xl/worksheets/sheet19.xml><?xml version="1.0" encoding="utf-8"?>
<worksheet xmlns="http://schemas.openxmlformats.org/spreadsheetml/2006/main" xmlns:r="http://schemas.openxmlformats.org/officeDocument/2006/relationships">
  <dimension ref="A1:M72"/>
  <sheetViews>
    <sheetView topLeftCell="A37" workbookViewId="0">
      <selection activeCell="E70" sqref="E70"/>
    </sheetView>
  </sheetViews>
  <sheetFormatPr defaultRowHeight="12.75"/>
  <cols>
    <col min="1" max="1" width="21.140625" bestFit="1" customWidth="1"/>
    <col min="2" max="2" width="11.28515625" customWidth="1"/>
    <col min="3" max="3" width="9.28515625" bestFit="1" customWidth="1"/>
    <col min="5" max="5" width="9.85546875" customWidth="1"/>
  </cols>
  <sheetData>
    <row r="1" spans="1:12">
      <c r="A1" t="s">
        <v>545</v>
      </c>
      <c r="B1" t="s">
        <v>546</v>
      </c>
      <c r="K1">
        <v>9.0128461000288318E-2</v>
      </c>
      <c r="L1" t="s">
        <v>911</v>
      </c>
    </row>
    <row r="2" spans="1:12" ht="13.5" thickBot="1"/>
    <row r="3" spans="1:12">
      <c r="A3" s="203" t="s">
        <v>547</v>
      </c>
      <c r="B3" s="475" t="s">
        <v>548</v>
      </c>
      <c r="C3" s="475"/>
      <c r="D3" s="475"/>
      <c r="E3" s="475"/>
      <c r="F3" s="475"/>
      <c r="G3" s="475"/>
      <c r="H3" s="475"/>
      <c r="I3" s="476"/>
      <c r="J3" s="477" t="s">
        <v>549</v>
      </c>
      <c r="K3" s="478"/>
    </row>
    <row r="4" spans="1:12">
      <c r="A4" s="204"/>
      <c r="B4" s="205" t="s">
        <v>550</v>
      </c>
      <c r="C4" s="206" t="s">
        <v>552</v>
      </c>
      <c r="D4" s="205" t="s">
        <v>550</v>
      </c>
      <c r="E4" s="205" t="s">
        <v>550</v>
      </c>
      <c r="F4" s="205" t="s">
        <v>550</v>
      </c>
      <c r="G4" s="205" t="s">
        <v>550</v>
      </c>
      <c r="H4" s="207" t="s">
        <v>551</v>
      </c>
      <c r="I4" s="208" t="s">
        <v>552</v>
      </c>
      <c r="J4" s="479"/>
      <c r="K4" s="480"/>
    </row>
    <row r="5" spans="1:12">
      <c r="A5" s="209" t="s">
        <v>553</v>
      </c>
      <c r="B5" s="205" t="s">
        <v>554</v>
      </c>
      <c r="C5" s="205" t="s">
        <v>554</v>
      </c>
      <c r="D5" s="205" t="s">
        <v>555</v>
      </c>
      <c r="E5" s="205" t="s">
        <v>556</v>
      </c>
      <c r="F5" s="205" t="s">
        <v>557</v>
      </c>
      <c r="G5" s="205" t="s">
        <v>558</v>
      </c>
      <c r="H5" s="207" t="s">
        <v>559</v>
      </c>
      <c r="I5" s="210" t="s">
        <v>559</v>
      </c>
      <c r="J5" s="207" t="s">
        <v>550</v>
      </c>
      <c r="K5" s="211" t="s">
        <v>560</v>
      </c>
    </row>
    <row r="6" spans="1:12">
      <c r="A6" t="s">
        <v>561</v>
      </c>
      <c r="B6" s="212">
        <f>[5]HPUpgrade!AO10</f>
        <v>134.5653139726399</v>
      </c>
      <c r="C6" s="212">
        <f>[5]HPUpgrade!AP10</f>
        <v>0</v>
      </c>
      <c r="D6" s="212">
        <f>[5]HPUpgrade!AQ10</f>
        <v>185.06207192173795</v>
      </c>
      <c r="E6" s="212">
        <f>[5]HPUpgrade!AR10</f>
        <v>15.869696470000001</v>
      </c>
      <c r="F6" s="212">
        <f>[5]HPUpgrade!AS10</f>
        <v>0</v>
      </c>
      <c r="G6" s="212">
        <f>[5]HPUpgrade!AT10</f>
        <v>0</v>
      </c>
      <c r="H6" s="212">
        <f>[5]HPUpgrade!AU10</f>
        <v>0</v>
      </c>
      <c r="I6" s="212">
        <f>[5]HPUpgrade!AV10</f>
        <v>0</v>
      </c>
      <c r="J6" s="212">
        <f>[5]HPUpgrade!AW10</f>
        <v>25.398072533654574</v>
      </c>
      <c r="K6" s="212">
        <f>[5]HPUpgrade!AX10</f>
        <v>2.1502794320391199</v>
      </c>
    </row>
    <row r="7" spans="1:12">
      <c r="A7" s="180" t="s">
        <v>562</v>
      </c>
      <c r="B7" s="212">
        <f>[5]HPUpgrade!AO11</f>
        <v>134.5653139726399</v>
      </c>
      <c r="C7" s="212">
        <f>[5]HPUpgrade!AP11</f>
        <v>0</v>
      </c>
      <c r="D7" s="212">
        <f>[5]HPUpgrade!AQ11</f>
        <v>185.06207192173795</v>
      </c>
      <c r="E7" s="212">
        <f>[5]HPUpgrade!AR11</f>
        <v>31.275325390000035</v>
      </c>
      <c r="F7" s="212">
        <f>[5]HPUpgrade!AS11</f>
        <v>0</v>
      </c>
      <c r="G7" s="212">
        <f>[5]HPUpgrade!AT11</f>
        <v>0</v>
      </c>
      <c r="H7" s="212">
        <f>[5]HPUpgrade!AU11</f>
        <v>0</v>
      </c>
      <c r="I7" s="212">
        <f>[5]HPUpgrade!AV11</f>
        <v>0</v>
      </c>
      <c r="J7" s="212">
        <f>[5]HPUpgrade!AW11</f>
        <v>25.398072533654574</v>
      </c>
      <c r="K7" s="212">
        <f>[5]HPUpgrade!AX11</f>
        <v>2.1502794320391199</v>
      </c>
    </row>
    <row r="8" spans="1:12">
      <c r="A8" s="180" t="s">
        <v>563</v>
      </c>
      <c r="B8" s="212">
        <f>[5]HPUpgrade!AO12</f>
        <v>134.5653139726399</v>
      </c>
      <c r="C8" s="212">
        <f>[5]HPUpgrade!AP12</f>
        <v>0</v>
      </c>
      <c r="D8" s="212">
        <f>[5]HPUpgrade!AQ12</f>
        <v>185.06207192173795</v>
      </c>
      <c r="E8" s="212">
        <f>[5]HPUpgrade!AR12</f>
        <v>50.669817789999996</v>
      </c>
      <c r="F8" s="212">
        <f>[5]HPUpgrade!AS12</f>
        <v>0</v>
      </c>
      <c r="G8" s="212">
        <f>[5]HPUpgrade!AT12</f>
        <v>0</v>
      </c>
      <c r="H8" s="212">
        <f>[5]HPUpgrade!AU12</f>
        <v>0</v>
      </c>
      <c r="I8" s="212">
        <f>[5]HPUpgrade!AV12</f>
        <v>0</v>
      </c>
      <c r="J8" s="212">
        <f>[5]HPUpgrade!AW12</f>
        <v>25.398072533654574</v>
      </c>
      <c r="K8" s="212">
        <f>[5]HPUpgrade!AX12</f>
        <v>2.1502794320391199</v>
      </c>
    </row>
    <row r="9" spans="1:12">
      <c r="A9" s="180" t="s">
        <v>564</v>
      </c>
      <c r="B9" s="212">
        <f>[5]HPUpgrade!AO13</f>
        <v>117.94453152744856</v>
      </c>
      <c r="C9" s="212">
        <f>[5]HPUpgrade!AP13</f>
        <v>0</v>
      </c>
      <c r="D9" s="212">
        <f>[5]HPUpgrade!AQ13</f>
        <v>243.22328866494175</v>
      </c>
      <c r="E9" s="212">
        <f>[5]HPUpgrade!AR13</f>
        <v>15.860532380000018</v>
      </c>
      <c r="F9" s="212">
        <f>[5]HPUpgrade!AS13</f>
        <v>0</v>
      </c>
      <c r="G9" s="212">
        <f>[5]HPUpgrade!AT13</f>
        <v>0</v>
      </c>
      <c r="H9" s="212">
        <f>[5]HPUpgrade!AU13</f>
        <v>0</v>
      </c>
      <c r="I9" s="212">
        <f>[5]HPUpgrade!AV13</f>
        <v>0</v>
      </c>
      <c r="J9" s="212">
        <f>[5]HPUpgrade!AW13</f>
        <v>16.962917192124763</v>
      </c>
      <c r="K9" s="212">
        <f>[5]HPUpgrade!AX13</f>
        <v>1.4361330725895129</v>
      </c>
    </row>
    <row r="10" spans="1:12">
      <c r="A10" s="180" t="s">
        <v>565</v>
      </c>
      <c r="B10" s="212">
        <f>[5]HPUpgrade!AO14</f>
        <v>117.94453152744856</v>
      </c>
      <c r="C10" s="212">
        <f>[5]HPUpgrade!AP14</f>
        <v>0</v>
      </c>
      <c r="D10" s="212">
        <f>[5]HPUpgrade!AQ14</f>
        <v>243.22328866494175</v>
      </c>
      <c r="E10" s="212">
        <f>[5]HPUpgrade!AR14</f>
        <v>31.345845989999969</v>
      </c>
      <c r="F10" s="212">
        <f>[5]HPUpgrade!AS14</f>
        <v>0</v>
      </c>
      <c r="G10" s="212">
        <f>[5]HPUpgrade!AT14</f>
        <v>0</v>
      </c>
      <c r="H10" s="212">
        <f>[5]HPUpgrade!AU14</f>
        <v>0</v>
      </c>
      <c r="I10" s="212">
        <f>[5]HPUpgrade!AV14</f>
        <v>0</v>
      </c>
      <c r="J10" s="212">
        <f>[5]HPUpgrade!AW14</f>
        <v>16.962917192124763</v>
      </c>
      <c r="K10" s="212">
        <f>[5]HPUpgrade!AX14</f>
        <v>1.4361330725895129</v>
      </c>
    </row>
    <row r="11" spans="1:12">
      <c r="A11" s="180" t="s">
        <v>566</v>
      </c>
      <c r="B11" s="212">
        <f>[5]HPUpgrade!AO15</f>
        <v>117.94453152744856</v>
      </c>
      <c r="C11" s="212">
        <f>[5]HPUpgrade!AP15</f>
        <v>0</v>
      </c>
      <c r="D11" s="212">
        <f>[5]HPUpgrade!AQ15</f>
        <v>243.22328866494175</v>
      </c>
      <c r="E11" s="212">
        <f>[5]HPUpgrade!AR15</f>
        <v>51.086072969999947</v>
      </c>
      <c r="F11" s="212">
        <f>[5]HPUpgrade!AS15</f>
        <v>0</v>
      </c>
      <c r="G11" s="212">
        <f>[5]HPUpgrade!AT15</f>
        <v>0</v>
      </c>
      <c r="H11" s="212">
        <f>[5]HPUpgrade!AU15</f>
        <v>0</v>
      </c>
      <c r="I11" s="212">
        <f>[5]HPUpgrade!AV15</f>
        <v>0</v>
      </c>
      <c r="J11" s="212">
        <f>[5]HPUpgrade!AW15</f>
        <v>16.962917192124763</v>
      </c>
      <c r="K11" s="212">
        <f>[5]HPUpgrade!AX15</f>
        <v>1.4361330725895129</v>
      </c>
    </row>
    <row r="12" spans="1:12">
      <c r="A12" s="180" t="s">
        <v>567</v>
      </c>
      <c r="B12" s="212">
        <f>[5]HPUpgrade!AO16</f>
        <v>97.633593264434865</v>
      </c>
      <c r="C12" s="212">
        <f>[5]HPUpgrade!AP16</f>
        <v>0</v>
      </c>
      <c r="D12" s="212">
        <f>[5]HPUpgrade!AQ16</f>
        <v>248.35943809006059</v>
      </c>
      <c r="E12" s="212">
        <f>[5]HPUpgrade!AR16</f>
        <v>16.101439590000009</v>
      </c>
      <c r="F12" s="212">
        <f>[5]HPUpgrade!AS16</f>
        <v>0</v>
      </c>
      <c r="G12" s="212">
        <f>[5]HPUpgrade!AT16</f>
        <v>0</v>
      </c>
      <c r="H12" s="212">
        <f>[5]HPUpgrade!AU16</f>
        <v>0</v>
      </c>
      <c r="I12" s="212">
        <f>[5]HPUpgrade!AV16</f>
        <v>0</v>
      </c>
      <c r="J12" s="212">
        <f>[5]HPUpgrade!AW16</f>
        <v>14.041774860318608</v>
      </c>
      <c r="K12" s="212">
        <f>[5]HPUpgrade!AX16</f>
        <v>1.1888201213481004</v>
      </c>
    </row>
    <row r="13" spans="1:12">
      <c r="A13" s="180" t="s">
        <v>568</v>
      </c>
      <c r="B13" s="212">
        <f>[5]HPUpgrade!AO17</f>
        <v>97.633593264434865</v>
      </c>
      <c r="C13" s="212">
        <f>[5]HPUpgrade!AP17</f>
        <v>0</v>
      </c>
      <c r="D13" s="212">
        <f>[5]HPUpgrade!AQ17</f>
        <v>248.35943809006059</v>
      </c>
      <c r="E13" s="212">
        <f>[5]HPUpgrade!AR17</f>
        <v>31.558066760000042</v>
      </c>
      <c r="F13" s="212">
        <f>[5]HPUpgrade!AS17</f>
        <v>0</v>
      </c>
      <c r="G13" s="212">
        <f>[5]HPUpgrade!AT17</f>
        <v>0</v>
      </c>
      <c r="H13" s="212">
        <f>[5]HPUpgrade!AU17</f>
        <v>0</v>
      </c>
      <c r="I13" s="212">
        <f>[5]HPUpgrade!AV17</f>
        <v>0</v>
      </c>
      <c r="J13" s="212">
        <f>[5]HPUpgrade!AW17</f>
        <v>14.041774860318608</v>
      </c>
      <c r="K13" s="212">
        <f>[5]HPUpgrade!AX17</f>
        <v>1.1888201213481004</v>
      </c>
    </row>
    <row r="14" spans="1:12">
      <c r="A14" s="180" t="s">
        <v>569</v>
      </c>
      <c r="B14" s="212">
        <f>[5]HPUpgrade!AO18</f>
        <v>97.633593264434865</v>
      </c>
      <c r="C14" s="212">
        <f>[5]HPUpgrade!AP18</f>
        <v>0</v>
      </c>
      <c r="D14" s="212">
        <f>[5]HPUpgrade!AQ18</f>
        <v>248.35943809006059</v>
      </c>
      <c r="E14" s="212">
        <f>[5]HPUpgrade!AR18</f>
        <v>51.227045089999876</v>
      </c>
      <c r="F14" s="212">
        <f>[5]HPUpgrade!AS18</f>
        <v>0</v>
      </c>
      <c r="G14" s="212">
        <f>[5]HPUpgrade!AT18</f>
        <v>0</v>
      </c>
      <c r="H14" s="212">
        <f>[5]HPUpgrade!AU18</f>
        <v>0</v>
      </c>
      <c r="I14" s="212">
        <f>[5]HPUpgrade!AV18</f>
        <v>0</v>
      </c>
      <c r="J14" s="212">
        <f>[5]HPUpgrade!AW18</f>
        <v>14.041774860318608</v>
      </c>
      <c r="K14" s="212">
        <f>[5]HPUpgrade!AX18</f>
        <v>1.1888201213481004</v>
      </c>
    </row>
    <row r="15" spans="1:12" ht="12.75" customHeight="1" thickBot="1"/>
    <row r="16" spans="1:12">
      <c r="A16" s="203"/>
      <c r="B16" s="475" t="s">
        <v>548</v>
      </c>
      <c r="C16" s="475"/>
      <c r="D16" s="475"/>
      <c r="E16" s="475"/>
      <c r="F16" s="475"/>
      <c r="G16" s="475"/>
      <c r="H16" s="475"/>
      <c r="I16" s="476"/>
      <c r="J16" s="477" t="s">
        <v>549</v>
      </c>
      <c r="K16" s="478"/>
    </row>
    <row r="17" spans="1:13">
      <c r="A17" s="204"/>
      <c r="B17" s="205" t="s">
        <v>550</v>
      </c>
      <c r="C17" s="206" t="s">
        <v>552</v>
      </c>
      <c r="D17" s="205" t="s">
        <v>550</v>
      </c>
      <c r="E17" s="205" t="s">
        <v>550</v>
      </c>
      <c r="F17" s="205" t="s">
        <v>550</v>
      </c>
      <c r="G17" s="205" t="s">
        <v>550</v>
      </c>
      <c r="H17" s="207" t="s">
        <v>551</v>
      </c>
      <c r="I17" s="208" t="s">
        <v>552</v>
      </c>
      <c r="J17" s="479"/>
      <c r="K17" s="480"/>
      <c r="M17" t="s">
        <v>898</v>
      </c>
    </row>
    <row r="18" spans="1:13">
      <c r="A18" s="209" t="s">
        <v>553</v>
      </c>
      <c r="B18" s="205" t="s">
        <v>554</v>
      </c>
      <c r="C18" s="205" t="s">
        <v>554</v>
      </c>
      <c r="D18" s="205" t="s">
        <v>555</v>
      </c>
      <c r="E18" s="205" t="s">
        <v>556</v>
      </c>
      <c r="F18" s="205" t="s">
        <v>557</v>
      </c>
      <c r="G18" s="205" t="s">
        <v>558</v>
      </c>
      <c r="H18" s="207" t="s">
        <v>559</v>
      </c>
      <c r="I18" s="210" t="s">
        <v>559</v>
      </c>
      <c r="J18" s="207" t="s">
        <v>550</v>
      </c>
      <c r="K18" s="211" t="s">
        <v>560</v>
      </c>
      <c r="M18" s="439" t="s">
        <v>910</v>
      </c>
    </row>
    <row r="19" spans="1:13">
      <c r="A19" t="s">
        <v>570</v>
      </c>
      <c r="B19" s="212">
        <f>[5]VSHPUpgrade!AO10</f>
        <v>399.97917299272876</v>
      </c>
      <c r="C19" s="212">
        <f>[5]VSHPUpgrade!AP10</f>
        <v>0</v>
      </c>
      <c r="D19" s="212">
        <f>[5]VSHPUpgrade!AQ10</f>
        <v>-21.998388444052306</v>
      </c>
      <c r="E19" s="212">
        <f>Raw!C104</f>
        <v>63.646904412715216</v>
      </c>
      <c r="F19" s="212">
        <f>[5]VSHPUpgrade!AS10</f>
        <v>0</v>
      </c>
      <c r="G19" s="212">
        <f>[5]VSHPUpgrade!AT10</f>
        <v>0</v>
      </c>
      <c r="H19" s="212">
        <f>[5]VSHPUpgrade!AU10</f>
        <v>0</v>
      </c>
      <c r="I19" s="212">
        <f>[5]VSHPUpgrade!AV10</f>
        <v>0</v>
      </c>
      <c r="J19" s="212">
        <f>[5]VSHPUpgrade!AW10</f>
        <v>75.492708690784525</v>
      </c>
      <c r="K19" s="212">
        <f>[5]VSHPUpgrade!AX10</f>
        <v>6.3914463804925932</v>
      </c>
    </row>
    <row r="20" spans="1:13">
      <c r="A20" s="180" t="s">
        <v>571</v>
      </c>
      <c r="B20" s="212">
        <f>[5]VSHPUpgrade!AO11</f>
        <v>399.97917299272876</v>
      </c>
      <c r="C20" s="212">
        <f>[5]VSHPUpgrade!AP11</f>
        <v>0</v>
      </c>
      <c r="D20" s="212">
        <f>[5]VSHPUpgrade!AQ11</f>
        <v>-21.998388444052306</v>
      </c>
      <c r="E20" s="212">
        <f>Raw!C105</f>
        <v>148.1378811331501</v>
      </c>
      <c r="F20" s="212">
        <f>[5]VSHPUpgrade!AS11</f>
        <v>0</v>
      </c>
      <c r="G20" s="212">
        <f>[5]VSHPUpgrade!AT11</f>
        <v>0</v>
      </c>
      <c r="H20" s="212">
        <f>[5]VSHPUpgrade!AU11</f>
        <v>0</v>
      </c>
      <c r="I20" s="212">
        <f>[5]VSHPUpgrade!AV11</f>
        <v>0</v>
      </c>
      <c r="J20" s="212">
        <f>[5]VSHPUpgrade!AW11</f>
        <v>75.492708690784525</v>
      </c>
      <c r="K20" s="212">
        <f>[5]VSHPUpgrade!AX11</f>
        <v>6.3914463804925932</v>
      </c>
    </row>
    <row r="21" spans="1:13">
      <c r="A21" s="180" t="s">
        <v>572</v>
      </c>
      <c r="B21" s="212">
        <f>[5]VSHPUpgrade!AO12</f>
        <v>399.97917299272876</v>
      </c>
      <c r="C21" s="212">
        <f>[5]VSHPUpgrade!AP12</f>
        <v>0</v>
      </c>
      <c r="D21" s="212">
        <f>[5]VSHPUpgrade!AQ12</f>
        <v>-21.998388444052306</v>
      </c>
      <c r="E21" s="212">
        <f>Raw!C106</f>
        <v>248.28454951850256</v>
      </c>
      <c r="F21" s="212">
        <f>[5]VSHPUpgrade!AS12</f>
        <v>0</v>
      </c>
      <c r="G21" s="212">
        <f>[5]VSHPUpgrade!AT12</f>
        <v>0</v>
      </c>
      <c r="H21" s="212">
        <f>[5]VSHPUpgrade!AU12</f>
        <v>0</v>
      </c>
      <c r="I21" s="212">
        <f>[5]VSHPUpgrade!AV12</f>
        <v>0</v>
      </c>
      <c r="J21" s="212">
        <f>[5]VSHPUpgrade!AW12</f>
        <v>75.492708690784525</v>
      </c>
      <c r="K21" s="212">
        <f>[5]VSHPUpgrade!AX12</f>
        <v>6.3914463804925932</v>
      </c>
    </row>
    <row r="22" spans="1:13">
      <c r="A22" s="180" t="s">
        <v>573</v>
      </c>
      <c r="B22" s="212">
        <f>[5]VSHPUpgrade!AO13</f>
        <v>582.31227378469714</v>
      </c>
      <c r="C22" s="212">
        <f>[5]VSHPUpgrade!AP13</f>
        <v>0</v>
      </c>
      <c r="D22" s="212">
        <f>[5]VSHPUpgrade!AQ13</f>
        <v>-10.897565996603163</v>
      </c>
      <c r="E22" s="212">
        <f>Raw!C107</f>
        <v>63.646904412715216</v>
      </c>
      <c r="F22" s="212">
        <f>[5]VSHPUpgrade!AS13</f>
        <v>0</v>
      </c>
      <c r="G22" s="212">
        <f>[5]VSHPUpgrade!AT13</f>
        <v>0</v>
      </c>
      <c r="H22" s="212">
        <f>[5]VSHPUpgrade!AU13</f>
        <v>0</v>
      </c>
      <c r="I22" s="212">
        <f>[5]VSHPUpgrade!AV13</f>
        <v>0</v>
      </c>
      <c r="J22" s="212">
        <f>[5]VSHPUpgrade!AW13</f>
        <v>83.74881609385038</v>
      </c>
      <c r="K22" s="212">
        <f>[5]VSHPUpgrade!AX13</f>
        <v>7.0904339872881206</v>
      </c>
    </row>
    <row r="23" spans="1:13">
      <c r="A23" s="180" t="s">
        <v>574</v>
      </c>
      <c r="B23" s="212">
        <f>[5]VSHPUpgrade!AO14</f>
        <v>582.31227378469714</v>
      </c>
      <c r="C23" s="212">
        <f>[5]VSHPUpgrade!AP14</f>
        <v>0</v>
      </c>
      <c r="D23" s="212">
        <f>[5]VSHPUpgrade!AQ14</f>
        <v>-10.897565996603163</v>
      </c>
      <c r="E23" s="212">
        <f>Raw!C108</f>
        <v>148.1378811331501</v>
      </c>
      <c r="F23" s="212">
        <f>[5]VSHPUpgrade!AS14</f>
        <v>0</v>
      </c>
      <c r="G23" s="212">
        <f>[5]VSHPUpgrade!AT14</f>
        <v>0</v>
      </c>
      <c r="H23" s="212">
        <f>[5]VSHPUpgrade!AU14</f>
        <v>0</v>
      </c>
      <c r="I23" s="212">
        <f>[5]VSHPUpgrade!AV14</f>
        <v>0</v>
      </c>
      <c r="J23" s="212">
        <f>[5]VSHPUpgrade!AW14</f>
        <v>83.74881609385038</v>
      </c>
      <c r="K23" s="212">
        <f>[5]VSHPUpgrade!AX14</f>
        <v>7.0904339872881206</v>
      </c>
    </row>
    <row r="24" spans="1:13">
      <c r="A24" s="180" t="s">
        <v>575</v>
      </c>
      <c r="B24" s="212">
        <f>[5]VSHPUpgrade!AO15</f>
        <v>582.31227378469714</v>
      </c>
      <c r="C24" s="212">
        <f>[5]VSHPUpgrade!AP15</f>
        <v>0</v>
      </c>
      <c r="D24" s="212">
        <f>[5]VSHPUpgrade!AQ15</f>
        <v>-10.897565996603163</v>
      </c>
      <c r="E24" s="212">
        <f>Raw!C109</f>
        <v>248.28454951850256</v>
      </c>
      <c r="F24" s="212">
        <f>[5]VSHPUpgrade!AS15</f>
        <v>0</v>
      </c>
      <c r="G24" s="212">
        <f>[5]VSHPUpgrade!AT15</f>
        <v>0</v>
      </c>
      <c r="H24" s="212">
        <f>[5]VSHPUpgrade!AU15</f>
        <v>0</v>
      </c>
      <c r="I24" s="212">
        <f>[5]VSHPUpgrade!AV15</f>
        <v>0</v>
      </c>
      <c r="J24" s="212">
        <f>[5]VSHPUpgrade!AW15</f>
        <v>83.74881609385038</v>
      </c>
      <c r="K24" s="212">
        <f>[5]VSHPUpgrade!AX15</f>
        <v>7.0904339872881206</v>
      </c>
    </row>
    <row r="25" spans="1:13">
      <c r="A25" s="180" t="s">
        <v>576</v>
      </c>
      <c r="B25" s="212">
        <f>[5]VSHPUpgrade!AO16</f>
        <v>673.77497156488607</v>
      </c>
      <c r="C25" s="212">
        <f>[5]VSHPUpgrade!AP16</f>
        <v>0</v>
      </c>
      <c r="D25" s="212">
        <f>[5]VSHPUpgrade!AQ16</f>
        <v>-11.259166586872631</v>
      </c>
      <c r="E25" s="212">
        <f>Raw!C110</f>
        <v>63.646904412715216</v>
      </c>
      <c r="F25" s="212">
        <f>[5]VSHPUpgrade!AS16</f>
        <v>0</v>
      </c>
      <c r="G25" s="212">
        <f>[5]VSHPUpgrade!AT16</f>
        <v>0</v>
      </c>
      <c r="H25" s="212">
        <f>[5]VSHPUpgrade!AU16</f>
        <v>0</v>
      </c>
      <c r="I25" s="212">
        <f>[5]VSHPUpgrade!AV16</f>
        <v>0</v>
      </c>
      <c r="J25" s="212">
        <f>[5]VSHPUpgrade!AW16</f>
        <v>96.903085719759943</v>
      </c>
      <c r="K25" s="212">
        <f>[5]VSHPUpgrade!AX16</f>
        <v>8.2041151685120024</v>
      </c>
    </row>
    <row r="26" spans="1:13">
      <c r="A26" s="180" t="s">
        <v>577</v>
      </c>
      <c r="B26" s="212">
        <f>[5]VSHPUpgrade!AO17</f>
        <v>673.77497156488607</v>
      </c>
      <c r="C26" s="212">
        <f>[5]VSHPUpgrade!AP17</f>
        <v>0</v>
      </c>
      <c r="D26" s="212">
        <f>[5]VSHPUpgrade!AQ17</f>
        <v>-11.259166586872631</v>
      </c>
      <c r="E26" s="212">
        <f>Raw!C111</f>
        <v>148.1378811331501</v>
      </c>
      <c r="F26" s="212">
        <f>[5]VSHPUpgrade!AS17</f>
        <v>0</v>
      </c>
      <c r="G26" s="212">
        <f>[5]VSHPUpgrade!AT17</f>
        <v>0</v>
      </c>
      <c r="H26" s="212">
        <f>[5]VSHPUpgrade!AU17</f>
        <v>0</v>
      </c>
      <c r="I26" s="212">
        <f>[5]VSHPUpgrade!AV17</f>
        <v>0</v>
      </c>
      <c r="J26" s="212">
        <f>[5]VSHPUpgrade!AW17</f>
        <v>96.903085719759943</v>
      </c>
      <c r="K26" s="212">
        <f>[5]VSHPUpgrade!AX17</f>
        <v>8.2041151685120024</v>
      </c>
    </row>
    <row r="27" spans="1:13">
      <c r="A27" s="180" t="s">
        <v>578</v>
      </c>
      <c r="B27" s="212">
        <f>[5]VSHPUpgrade!AO18</f>
        <v>673.77497156488607</v>
      </c>
      <c r="C27" s="212">
        <f>[5]VSHPUpgrade!AP18</f>
        <v>0</v>
      </c>
      <c r="D27" s="212">
        <f>[5]VSHPUpgrade!AQ18</f>
        <v>-11.259166586872631</v>
      </c>
      <c r="E27" s="212">
        <f>Raw!C112</f>
        <v>248.28454951850256</v>
      </c>
      <c r="F27" s="212">
        <f>[5]VSHPUpgrade!AS18</f>
        <v>0</v>
      </c>
      <c r="G27" s="212">
        <f>[5]VSHPUpgrade!AT18</f>
        <v>0</v>
      </c>
      <c r="H27" s="212">
        <f>[5]VSHPUpgrade!AU18</f>
        <v>0</v>
      </c>
      <c r="I27" s="212">
        <f>[5]VSHPUpgrade!AV18</f>
        <v>0</v>
      </c>
      <c r="J27" s="212">
        <f>[5]VSHPUpgrade!AW18</f>
        <v>96.903085719759943</v>
      </c>
      <c r="K27" s="212">
        <f>[5]VSHPUpgrade!AX18</f>
        <v>8.2041151685120024</v>
      </c>
    </row>
    <row r="28" spans="1:13">
      <c r="B28" s="180"/>
      <c r="C28" s="213"/>
      <c r="E28" s="213"/>
      <c r="G28" s="213"/>
      <c r="I28" s="213"/>
      <c r="K28" s="213"/>
    </row>
    <row r="30" spans="1:13" ht="13.5" thickBot="1"/>
    <row r="31" spans="1:13">
      <c r="A31" s="203"/>
      <c r="B31" s="475" t="s">
        <v>548</v>
      </c>
      <c r="C31" s="475"/>
      <c r="D31" s="475"/>
      <c r="E31" s="475"/>
      <c r="F31" s="475"/>
      <c r="G31" s="475"/>
      <c r="H31" s="475"/>
      <c r="I31" s="476"/>
      <c r="J31" s="477" t="s">
        <v>549</v>
      </c>
      <c r="K31" s="478"/>
    </row>
    <row r="32" spans="1:13">
      <c r="A32" s="204"/>
      <c r="B32" s="205" t="s">
        <v>550</v>
      </c>
      <c r="C32" s="206" t="s">
        <v>552</v>
      </c>
      <c r="D32" s="205" t="s">
        <v>550</v>
      </c>
      <c r="E32" s="205" t="s">
        <v>550</v>
      </c>
      <c r="F32" s="205" t="s">
        <v>550</v>
      </c>
      <c r="G32" s="205" t="s">
        <v>550</v>
      </c>
      <c r="H32" s="207" t="s">
        <v>551</v>
      </c>
      <c r="I32" s="208" t="s">
        <v>552</v>
      </c>
      <c r="J32" s="479"/>
      <c r="K32" s="480"/>
    </row>
    <row r="33" spans="1:11">
      <c r="A33" s="209" t="s">
        <v>553</v>
      </c>
      <c r="B33" s="205" t="s">
        <v>554</v>
      </c>
      <c r="C33" s="205" t="s">
        <v>554</v>
      </c>
      <c r="D33" s="205" t="s">
        <v>555</v>
      </c>
      <c r="E33" s="205" t="s">
        <v>556</v>
      </c>
      <c r="F33" s="205" t="s">
        <v>557</v>
      </c>
      <c r="G33" s="205" t="s">
        <v>558</v>
      </c>
      <c r="H33" s="207" t="s">
        <v>559</v>
      </c>
      <c r="I33" s="210" t="s">
        <v>559</v>
      </c>
      <c r="J33" s="207" t="s">
        <v>550</v>
      </c>
      <c r="K33" s="211" t="s">
        <v>560</v>
      </c>
    </row>
    <row r="34" spans="1:11">
      <c r="A34" s="180" t="s">
        <v>579</v>
      </c>
      <c r="B34" s="214">
        <f>[5]DHP!AO10</f>
        <v>2738.5165726189575</v>
      </c>
      <c r="C34" s="214">
        <f>[5]DHP!AP10</f>
        <v>0</v>
      </c>
      <c r="D34" s="214">
        <f>[5]DHP!AQ10</f>
        <v>254.71770166029717</v>
      </c>
      <c r="E34" s="214">
        <f>[5]DHP!AR10</f>
        <v>-192.39676424000001</v>
      </c>
      <c r="F34" s="214">
        <f>[5]DHP!AS10</f>
        <v>0</v>
      </c>
      <c r="G34" s="214">
        <f>[5]DHP!AT10</f>
        <v>0</v>
      </c>
      <c r="H34" s="214">
        <f>[5]DHP!AU10</f>
        <v>0</v>
      </c>
      <c r="I34" s="214">
        <f>[5]DHP!AV10</f>
        <v>0</v>
      </c>
      <c r="J34" s="214">
        <f>[5]DHP!AW10</f>
        <v>647.00661623411406</v>
      </c>
      <c r="K34" s="214">
        <f>[5]DHP!AX10</f>
        <v>54.777582725536647</v>
      </c>
    </row>
    <row r="35" spans="1:11">
      <c r="A35" s="180" t="s">
        <v>580</v>
      </c>
      <c r="B35" s="214">
        <f>[5]DHP!AO11</f>
        <v>2738.5165726189575</v>
      </c>
      <c r="C35" s="214">
        <f>[5]DHP!AP11</f>
        <v>0</v>
      </c>
      <c r="D35" s="214">
        <f>[5]DHP!AQ11</f>
        <v>254.71770166029717</v>
      </c>
      <c r="E35" s="214">
        <f>[5]DHP!AR11</f>
        <v>-393.10186218000001</v>
      </c>
      <c r="F35" s="214">
        <f>[5]DHP!AS11</f>
        <v>0</v>
      </c>
      <c r="G35" s="214">
        <f>[5]DHP!AT11</f>
        <v>0</v>
      </c>
      <c r="H35" s="214">
        <f>[5]DHP!AU11</f>
        <v>0</v>
      </c>
      <c r="I35" s="214">
        <f>[5]DHP!AV11</f>
        <v>0</v>
      </c>
      <c r="J35" s="214">
        <f>[5]DHP!AW11</f>
        <v>647.00661623411406</v>
      </c>
      <c r="K35" s="214">
        <f>[5]DHP!AX11</f>
        <v>54.777582725536647</v>
      </c>
    </row>
    <row r="36" spans="1:11">
      <c r="A36" s="180" t="s">
        <v>581</v>
      </c>
      <c r="B36" s="214">
        <f>[5]DHP!AO12</f>
        <v>2738.5165726189575</v>
      </c>
      <c r="C36" s="214">
        <f>[5]DHP!AP12</f>
        <v>0</v>
      </c>
      <c r="D36" s="214">
        <f>[5]DHP!AQ12</f>
        <v>254.71770166029717</v>
      </c>
      <c r="E36" s="214">
        <f>[5]DHP!AR12</f>
        <v>-679.85455003000004</v>
      </c>
      <c r="F36" s="214">
        <f>[5]DHP!AS12</f>
        <v>0</v>
      </c>
      <c r="G36" s="214">
        <f>[5]DHP!AT12</f>
        <v>0</v>
      </c>
      <c r="H36" s="214">
        <f>[5]DHP!AU12</f>
        <v>0</v>
      </c>
      <c r="I36" s="214">
        <f>[5]DHP!AV12</f>
        <v>0</v>
      </c>
      <c r="J36" s="214">
        <f>[5]DHP!AW12</f>
        <v>647.00661623411406</v>
      </c>
      <c r="K36" s="214">
        <f>[5]DHP!AX12</f>
        <v>54.777582725536647</v>
      </c>
    </row>
    <row r="37" spans="1:11">
      <c r="A37" s="180" t="s">
        <v>582</v>
      </c>
      <c r="B37" s="214">
        <f>[5]DHP!AO13</f>
        <v>2976.9281092658866</v>
      </c>
      <c r="C37" s="214">
        <f>[5]DHP!AP13</f>
        <v>0</v>
      </c>
      <c r="D37" s="214">
        <f>[5]DHP!AQ13</f>
        <v>342.68305465672341</v>
      </c>
      <c r="E37" s="214">
        <f>[5]DHP!AR13</f>
        <v>-192.39676424000001</v>
      </c>
      <c r="F37" s="214">
        <f>[5]DHP!AS13</f>
        <v>0</v>
      </c>
      <c r="G37" s="214">
        <f>[5]DHP!AT13</f>
        <v>0</v>
      </c>
      <c r="H37" s="214">
        <f>[5]DHP!AU13</f>
        <v>0</v>
      </c>
      <c r="I37" s="214">
        <f>[5]DHP!AV13</f>
        <v>0</v>
      </c>
      <c r="J37" s="214">
        <f>[5]DHP!AW13</f>
        <v>523.38794824392289</v>
      </c>
      <c r="K37" s="214">
        <f>[5]DHP!AX13</f>
        <v>44.311643672754037</v>
      </c>
    </row>
    <row r="38" spans="1:11">
      <c r="A38" s="180" t="s">
        <v>583</v>
      </c>
      <c r="B38" s="214">
        <f>[5]DHP!AO14</f>
        <v>2976.9281092658866</v>
      </c>
      <c r="C38" s="214">
        <f>[5]DHP!AP14</f>
        <v>0</v>
      </c>
      <c r="D38" s="214">
        <f>[5]DHP!AQ14</f>
        <v>342.68305465672341</v>
      </c>
      <c r="E38" s="214">
        <f>[5]DHP!AR14</f>
        <v>-393.10186218000001</v>
      </c>
      <c r="F38" s="214">
        <f>[5]DHP!AS14</f>
        <v>0</v>
      </c>
      <c r="G38" s="214">
        <f>[5]DHP!AT14</f>
        <v>0</v>
      </c>
      <c r="H38" s="214">
        <f>[5]DHP!AU14</f>
        <v>0</v>
      </c>
      <c r="I38" s="214">
        <f>[5]DHP!AV14</f>
        <v>0</v>
      </c>
      <c r="J38" s="214">
        <f>[5]DHP!AW14</f>
        <v>523.38794824392289</v>
      </c>
      <c r="K38" s="214">
        <f>[5]DHP!AX14</f>
        <v>44.311643672754037</v>
      </c>
    </row>
    <row r="39" spans="1:11">
      <c r="A39" s="180" t="s">
        <v>584</v>
      </c>
      <c r="B39" s="214">
        <f>[5]DHP!AO15</f>
        <v>2976.9281092658866</v>
      </c>
      <c r="C39" s="214">
        <f>[5]DHP!AP15</f>
        <v>0</v>
      </c>
      <c r="D39" s="214">
        <f>[5]DHP!AQ15</f>
        <v>342.68305465672341</v>
      </c>
      <c r="E39" s="214">
        <f>[5]DHP!AR15</f>
        <v>-679.85455003000004</v>
      </c>
      <c r="F39" s="214">
        <f>[5]DHP!AS15</f>
        <v>0</v>
      </c>
      <c r="G39" s="214">
        <f>[5]DHP!AT15</f>
        <v>0</v>
      </c>
      <c r="H39" s="214">
        <f>[5]DHP!AU15</f>
        <v>0</v>
      </c>
      <c r="I39" s="214">
        <f>[5]DHP!AV15</f>
        <v>0</v>
      </c>
      <c r="J39" s="214">
        <f>[5]DHP!AW15</f>
        <v>523.38794824392289</v>
      </c>
      <c r="K39" s="214">
        <f>[5]DHP!AX15</f>
        <v>44.311643672754037</v>
      </c>
    </row>
    <row r="40" spans="1:11">
      <c r="A40" s="180" t="s">
        <v>585</v>
      </c>
      <c r="B40" s="214">
        <f>[5]DHP!AO16</f>
        <v>1639.8901000105166</v>
      </c>
      <c r="C40" s="214">
        <f>[5]DHP!AP16</f>
        <v>0</v>
      </c>
      <c r="D40" s="214">
        <f>[5]DHP!AQ16</f>
        <v>367.84223185438969</v>
      </c>
      <c r="E40" s="214">
        <f>[5]DHP!AR16</f>
        <v>-195.58776805000002</v>
      </c>
      <c r="F40" s="214">
        <f>[5]DHP!AS16</f>
        <v>0</v>
      </c>
      <c r="G40" s="214">
        <f>[5]DHP!AT16</f>
        <v>0</v>
      </c>
      <c r="H40" s="214">
        <f>[5]DHP!AU16</f>
        <v>0</v>
      </c>
      <c r="I40" s="214">
        <f>[5]DHP!AV16</f>
        <v>0</v>
      </c>
      <c r="J40" s="214">
        <f>[5]DHP!AW16</f>
        <v>1509.3063718391163</v>
      </c>
      <c r="K40" s="214">
        <f>[5]DHP!AX16</f>
        <v>127.78254899897512</v>
      </c>
    </row>
    <row r="41" spans="1:11">
      <c r="A41" s="180" t="s">
        <v>586</v>
      </c>
      <c r="B41" s="214">
        <f>[5]DHP!AO17</f>
        <v>1639.8901000105166</v>
      </c>
      <c r="C41" s="214">
        <f>[5]DHP!AP17</f>
        <v>0</v>
      </c>
      <c r="D41" s="214">
        <f>[5]DHP!AQ17</f>
        <v>367.84223185438969</v>
      </c>
      <c r="E41" s="214">
        <f>[5]DHP!AR17</f>
        <v>-396.29596749000001</v>
      </c>
      <c r="F41" s="214">
        <f>[5]DHP!AS17</f>
        <v>0</v>
      </c>
      <c r="G41" s="214">
        <f>[5]DHP!AT17</f>
        <v>0</v>
      </c>
      <c r="H41" s="214">
        <f>[5]DHP!AU17</f>
        <v>0</v>
      </c>
      <c r="I41" s="214">
        <f>[5]DHP!AV17</f>
        <v>0</v>
      </c>
      <c r="J41" s="214">
        <f>[5]DHP!AW17</f>
        <v>1509.3063718391163</v>
      </c>
      <c r="K41" s="214">
        <f>[5]DHP!AX17</f>
        <v>127.78254899897512</v>
      </c>
    </row>
    <row r="42" spans="1:11">
      <c r="A42" s="180" t="s">
        <v>587</v>
      </c>
      <c r="B42" s="214">
        <f>[5]DHP!AO18</f>
        <v>1639.8901000105166</v>
      </c>
      <c r="C42" s="214">
        <f>[5]DHP!AP18</f>
        <v>0</v>
      </c>
      <c r="D42" s="214">
        <f>[5]DHP!AQ18</f>
        <v>367.84223185438969</v>
      </c>
      <c r="E42" s="214">
        <f>[5]DHP!AR18</f>
        <v>-682.82415287000003</v>
      </c>
      <c r="F42" s="214">
        <f>[5]DHP!AS18</f>
        <v>0</v>
      </c>
      <c r="G42" s="214">
        <f>[5]DHP!AT18</f>
        <v>0</v>
      </c>
      <c r="H42" s="214">
        <f>[5]DHP!AU18</f>
        <v>0</v>
      </c>
      <c r="I42" s="214">
        <f>[5]DHP!AV18</f>
        <v>0</v>
      </c>
      <c r="J42" s="214">
        <f>[5]DHP!AW18</f>
        <v>1509.3063718391163</v>
      </c>
      <c r="K42" s="214">
        <f>[5]DHP!AX18</f>
        <v>127.78254899897512</v>
      </c>
    </row>
    <row r="45" spans="1:11" ht="13.5" thickBot="1"/>
    <row r="46" spans="1:11">
      <c r="A46" s="203"/>
      <c r="B46" s="475" t="s">
        <v>548</v>
      </c>
      <c r="C46" s="475"/>
      <c r="D46" s="475"/>
      <c r="E46" s="475"/>
      <c r="F46" s="475"/>
      <c r="G46" s="475"/>
      <c r="H46" s="475"/>
      <c r="I46" s="476"/>
      <c r="J46" s="477" t="s">
        <v>549</v>
      </c>
      <c r="K46" s="478"/>
    </row>
    <row r="47" spans="1:11">
      <c r="A47" s="204"/>
      <c r="B47" s="205" t="s">
        <v>550</v>
      </c>
      <c r="C47" s="206" t="s">
        <v>552</v>
      </c>
      <c r="D47" s="205" t="s">
        <v>550</v>
      </c>
      <c r="E47" s="205" t="s">
        <v>550</v>
      </c>
      <c r="F47" s="205" t="s">
        <v>550</v>
      </c>
      <c r="G47" s="205" t="s">
        <v>550</v>
      </c>
      <c r="H47" s="207" t="s">
        <v>551</v>
      </c>
      <c r="I47" s="208" t="s">
        <v>552</v>
      </c>
      <c r="J47" s="479"/>
      <c r="K47" s="480"/>
    </row>
    <row r="48" spans="1:11">
      <c r="A48" s="209" t="s">
        <v>553</v>
      </c>
      <c r="B48" s="205" t="s">
        <v>554</v>
      </c>
      <c r="C48" s="205" t="s">
        <v>554</v>
      </c>
      <c r="D48" s="205" t="s">
        <v>555</v>
      </c>
      <c r="E48" s="205" t="s">
        <v>556</v>
      </c>
      <c r="F48" s="205" t="s">
        <v>557</v>
      </c>
      <c r="G48" s="205" t="s">
        <v>558</v>
      </c>
      <c r="H48" s="207" t="s">
        <v>559</v>
      </c>
      <c r="I48" s="210" t="s">
        <v>559</v>
      </c>
      <c r="J48" s="207" t="s">
        <v>550</v>
      </c>
      <c r="K48" s="211" t="s">
        <v>560</v>
      </c>
    </row>
    <row r="49" spans="1:11">
      <c r="A49" s="180" t="s">
        <v>880</v>
      </c>
      <c r="B49" s="214">
        <f>[5]PTCS!AO10</f>
        <v>419.46167481862858</v>
      </c>
      <c r="C49" s="214">
        <f>[5]PTCS!AP10</f>
        <v>0</v>
      </c>
      <c r="D49" s="214">
        <f>[5]PTCS!AQ10</f>
        <v>13.760829924998715</v>
      </c>
      <c r="E49" s="214">
        <f>[5]PTCS!AR10</f>
        <v>30.705759639999993</v>
      </c>
      <c r="F49" s="214">
        <f>[5]PTCS!AS10</f>
        <v>0</v>
      </c>
      <c r="G49" s="214">
        <f>[5]PTCS!AT10</f>
        <v>0</v>
      </c>
      <c r="H49" s="214">
        <f>[5]PTCS!AU10</f>
        <v>0</v>
      </c>
      <c r="I49" s="214">
        <f>[5]PTCS!AV10</f>
        <v>0</v>
      </c>
      <c r="J49" s="214">
        <f>[5]PTCS!AW10</f>
        <v>79.169867238579883</v>
      </c>
      <c r="K49" s="214">
        <f>[5]PTCS!AX10</f>
        <v>6.7027660045779989</v>
      </c>
    </row>
    <row r="50" spans="1:11">
      <c r="A50" s="180" t="s">
        <v>881</v>
      </c>
      <c r="B50" s="214">
        <f>[5]PTCS!AO11</f>
        <v>419.46167481862858</v>
      </c>
      <c r="C50" s="214">
        <f>[5]PTCS!AP11</f>
        <v>0</v>
      </c>
      <c r="D50" s="214">
        <f>[5]PTCS!AQ11</f>
        <v>13.760829924998715</v>
      </c>
      <c r="E50" s="214">
        <f>[5]PTCS!AR11</f>
        <v>63.162865079999989</v>
      </c>
      <c r="F50" s="214">
        <f>[5]PTCS!AS11</f>
        <v>0</v>
      </c>
      <c r="G50" s="214">
        <f>[5]PTCS!AT11</f>
        <v>0</v>
      </c>
      <c r="H50" s="214">
        <f>[5]PTCS!AU11</f>
        <v>0</v>
      </c>
      <c r="I50" s="214">
        <f>[5]PTCS!AV11</f>
        <v>0</v>
      </c>
      <c r="J50" s="214">
        <f>[5]PTCS!AW11</f>
        <v>79.169867238579883</v>
      </c>
      <c r="K50" s="214">
        <f>[5]PTCS!AX11</f>
        <v>6.7027660045779989</v>
      </c>
    </row>
    <row r="51" spans="1:11">
      <c r="A51" s="180" t="s">
        <v>882</v>
      </c>
      <c r="B51" s="214">
        <f>[5]PTCS!AO12</f>
        <v>419.46167481862858</v>
      </c>
      <c r="C51" s="214">
        <f>[5]PTCS!AP12</f>
        <v>0</v>
      </c>
      <c r="D51" s="214">
        <f>[5]PTCS!AQ12</f>
        <v>13.760829924998715</v>
      </c>
      <c r="E51" s="214">
        <f>[5]PTCS!AR12</f>
        <v>106.38566924000007</v>
      </c>
      <c r="F51" s="214">
        <f>[5]PTCS!AS12</f>
        <v>0</v>
      </c>
      <c r="G51" s="214">
        <f>[5]PTCS!AT12</f>
        <v>0</v>
      </c>
      <c r="H51" s="214">
        <f>[5]PTCS!AU12</f>
        <v>0</v>
      </c>
      <c r="I51" s="214">
        <f>[5]PTCS!AV12</f>
        <v>0</v>
      </c>
      <c r="J51" s="214">
        <f>[5]PTCS!AW12</f>
        <v>79.169867238579883</v>
      </c>
      <c r="K51" s="214">
        <f>[5]PTCS!AX12</f>
        <v>6.7027660045779989</v>
      </c>
    </row>
    <row r="52" spans="1:11">
      <c r="A52" s="180" t="s">
        <v>883</v>
      </c>
      <c r="B52" s="214">
        <f>[5]PTCS!AO13</f>
        <v>667.77720920251272</v>
      </c>
      <c r="C52" s="214">
        <f>[5]PTCS!AP13</f>
        <v>0</v>
      </c>
      <c r="D52" s="214">
        <f>[5]PTCS!AQ13</f>
        <v>14.090837089359228</v>
      </c>
      <c r="E52" s="214">
        <f>[5]PTCS!AR13</f>
        <v>30.715044900000013</v>
      </c>
      <c r="F52" s="214">
        <f>[5]PTCS!AS13</f>
        <v>0</v>
      </c>
      <c r="G52" s="214">
        <f>[5]PTCS!AT13</f>
        <v>0</v>
      </c>
      <c r="H52" s="214">
        <f>[5]PTCS!AU13</f>
        <v>0</v>
      </c>
      <c r="I52" s="214">
        <f>[5]PTCS!AV13</f>
        <v>0</v>
      </c>
      <c r="J52" s="214">
        <f>[5]PTCS!AW13</f>
        <v>96.040480688620292</v>
      </c>
      <c r="K52" s="214">
        <f>[5]PTCS!AX13</f>
        <v>8.1310843566669213</v>
      </c>
    </row>
    <row r="53" spans="1:11">
      <c r="A53" s="180" t="s">
        <v>884</v>
      </c>
      <c r="B53" s="214">
        <f>[5]PTCS!AO14</f>
        <v>667.77720920251272</v>
      </c>
      <c r="C53" s="214">
        <f>[5]PTCS!AP14</f>
        <v>0</v>
      </c>
      <c r="D53" s="214">
        <f>[5]PTCS!AQ14</f>
        <v>14.090837089359228</v>
      </c>
      <c r="E53" s="214">
        <f>[5]PTCS!AR14</f>
        <v>63.57843580000003</v>
      </c>
      <c r="F53" s="214">
        <f>[5]PTCS!AS14</f>
        <v>0</v>
      </c>
      <c r="G53" s="214">
        <f>[5]PTCS!AT14</f>
        <v>0</v>
      </c>
      <c r="H53" s="214">
        <f>[5]PTCS!AU14</f>
        <v>0</v>
      </c>
      <c r="I53" s="214">
        <f>[5]PTCS!AV14</f>
        <v>0</v>
      </c>
      <c r="J53" s="214">
        <f>[5]PTCS!AW14</f>
        <v>96.040480688620292</v>
      </c>
      <c r="K53" s="214">
        <f>[5]PTCS!AX14</f>
        <v>8.1310843566669213</v>
      </c>
    </row>
    <row r="54" spans="1:11">
      <c r="A54" s="180" t="s">
        <v>885</v>
      </c>
      <c r="B54" s="214">
        <f>[5]PTCS!AO15</f>
        <v>667.77720920251272</v>
      </c>
      <c r="C54" s="214">
        <f>[5]PTCS!AP15</f>
        <v>0</v>
      </c>
      <c r="D54" s="214">
        <f>[5]PTCS!AQ15</f>
        <v>14.090837089359228</v>
      </c>
      <c r="E54" s="214">
        <f>[5]PTCS!AR15</f>
        <v>108.29338487000004</v>
      </c>
      <c r="F54" s="214">
        <f>[5]PTCS!AS15</f>
        <v>0</v>
      </c>
      <c r="G54" s="214">
        <f>[5]PTCS!AT15</f>
        <v>0</v>
      </c>
      <c r="H54" s="214">
        <f>[5]PTCS!AU15</f>
        <v>0</v>
      </c>
      <c r="I54" s="214">
        <f>[5]PTCS!AV15</f>
        <v>0</v>
      </c>
      <c r="J54" s="214">
        <f>[5]PTCS!AW15</f>
        <v>96.040480688620292</v>
      </c>
      <c r="K54" s="214">
        <f>[5]PTCS!AX15</f>
        <v>8.1310843566669213</v>
      </c>
    </row>
    <row r="55" spans="1:11">
      <c r="A55" s="180" t="s">
        <v>886</v>
      </c>
      <c r="B55" s="214">
        <f>[5]PTCS!AO16</f>
        <v>757.48924749223158</v>
      </c>
      <c r="C55" s="214">
        <f>[5]PTCS!AP16</f>
        <v>0</v>
      </c>
      <c r="D55" s="214">
        <f>[5]PTCS!AQ16</f>
        <v>10.819782101865862</v>
      </c>
      <c r="E55" s="214">
        <f>[5]PTCS!AR16</f>
        <v>31.026158569999993</v>
      </c>
      <c r="F55" s="214">
        <f>[5]PTCS!AS16</f>
        <v>0</v>
      </c>
      <c r="G55" s="214">
        <f>[5]PTCS!AT16</f>
        <v>0</v>
      </c>
      <c r="H55" s="214">
        <f>[5]PTCS!AU16</f>
        <v>0</v>
      </c>
      <c r="I55" s="214">
        <f>[5]PTCS!AV16</f>
        <v>0</v>
      </c>
      <c r="J55" s="214">
        <f>[5]PTCS!AW16</f>
        <v>108.94296846772573</v>
      </c>
      <c r="K55" s="214">
        <f>[5]PTCS!AX16</f>
        <v>9.2234489074328696</v>
      </c>
    </row>
    <row r="56" spans="1:11">
      <c r="A56" s="180" t="s">
        <v>887</v>
      </c>
      <c r="B56" s="214">
        <f>[5]PTCS!AO17</f>
        <v>757.48924749223158</v>
      </c>
      <c r="C56" s="214">
        <f>[5]PTCS!AP17</f>
        <v>0</v>
      </c>
      <c r="D56" s="214">
        <f>[5]PTCS!AQ17</f>
        <v>10.819782101865862</v>
      </c>
      <c r="E56" s="214">
        <f>[5]PTCS!AR17</f>
        <v>63.762841660000007</v>
      </c>
      <c r="F56" s="214">
        <f>[5]PTCS!AS17</f>
        <v>0</v>
      </c>
      <c r="G56" s="214">
        <f>[5]PTCS!AT17</f>
        <v>0</v>
      </c>
      <c r="H56" s="214">
        <f>[5]PTCS!AU17</f>
        <v>0</v>
      </c>
      <c r="I56" s="214">
        <f>[5]PTCS!AV17</f>
        <v>0</v>
      </c>
      <c r="J56" s="214">
        <f>[5]PTCS!AW17</f>
        <v>108.94296846772573</v>
      </c>
      <c r="K56" s="214">
        <f>[5]PTCS!AX17</f>
        <v>9.2234489074328696</v>
      </c>
    </row>
    <row r="57" spans="1:11">
      <c r="A57" s="180" t="s">
        <v>888</v>
      </c>
      <c r="B57" s="214">
        <f>[5]PTCS!AO18</f>
        <v>757.48924749223158</v>
      </c>
      <c r="C57" s="214">
        <f>[5]PTCS!AP18</f>
        <v>0</v>
      </c>
      <c r="D57" s="214">
        <f>[5]PTCS!AQ18</f>
        <v>10.819782101865862</v>
      </c>
      <c r="E57" s="214">
        <f>[5]PTCS!AR18</f>
        <v>108.08973006000012</v>
      </c>
      <c r="F57" s="214">
        <f>[5]PTCS!AS18</f>
        <v>0</v>
      </c>
      <c r="G57" s="214">
        <f>[5]PTCS!AT18</f>
        <v>0</v>
      </c>
      <c r="H57" s="214">
        <f>[5]PTCS!AU18</f>
        <v>0</v>
      </c>
      <c r="I57" s="214">
        <f>[5]PTCS!AV18</f>
        <v>0</v>
      </c>
      <c r="J57" s="214">
        <f>[5]PTCS!AW18</f>
        <v>108.94296846772573</v>
      </c>
      <c r="K57" s="214">
        <f>[5]PTCS!AX18</f>
        <v>9.2234489074328696</v>
      </c>
    </row>
    <row r="60" spans="1:11" ht="13.5" thickBot="1"/>
    <row r="61" spans="1:11">
      <c r="A61" s="203"/>
      <c r="B61" s="475" t="s">
        <v>548</v>
      </c>
      <c r="C61" s="475"/>
      <c r="D61" s="475"/>
      <c r="E61" s="475"/>
      <c r="F61" s="475"/>
      <c r="G61" s="475"/>
      <c r="H61" s="475"/>
      <c r="I61" s="476"/>
      <c r="J61" s="477" t="s">
        <v>549</v>
      </c>
      <c r="K61" s="478"/>
    </row>
    <row r="62" spans="1:11">
      <c r="A62" s="204"/>
      <c r="B62" s="205" t="s">
        <v>550</v>
      </c>
      <c r="C62" s="206" t="s">
        <v>552</v>
      </c>
      <c r="D62" s="205" t="s">
        <v>550</v>
      </c>
      <c r="E62" s="205" t="s">
        <v>550</v>
      </c>
      <c r="F62" s="205" t="s">
        <v>550</v>
      </c>
      <c r="G62" s="205" t="s">
        <v>550</v>
      </c>
      <c r="H62" s="207" t="s">
        <v>551</v>
      </c>
      <c r="I62" s="208" t="s">
        <v>552</v>
      </c>
      <c r="J62" s="479"/>
      <c r="K62" s="480"/>
    </row>
    <row r="63" spans="1:11">
      <c r="A63" s="209" t="s">
        <v>553</v>
      </c>
      <c r="B63" s="205" t="s">
        <v>554</v>
      </c>
      <c r="C63" s="205" t="s">
        <v>554</v>
      </c>
      <c r="D63" s="205" t="s">
        <v>555</v>
      </c>
      <c r="E63" s="205" t="s">
        <v>556</v>
      </c>
      <c r="F63" s="205" t="s">
        <v>557</v>
      </c>
      <c r="G63" s="205" t="s">
        <v>558</v>
      </c>
      <c r="H63" s="207" t="s">
        <v>559</v>
      </c>
      <c r="I63" s="210" t="s">
        <v>559</v>
      </c>
      <c r="J63" s="207" t="s">
        <v>550</v>
      </c>
      <c r="K63" s="211" t="s">
        <v>560</v>
      </c>
    </row>
    <row r="64" spans="1:11">
      <c r="A64" s="180" t="s">
        <v>889</v>
      </c>
      <c r="B64" s="212">
        <f>[5]HRV!AO10</f>
        <v>671.33042414840406</v>
      </c>
      <c r="C64" s="212">
        <f>[5]HRV!AP10</f>
        <v>0</v>
      </c>
      <c r="D64" s="212">
        <f>[5]HRV!AQ10</f>
        <v>29.836260506567328</v>
      </c>
      <c r="E64" s="212">
        <f>[5]HRV!AR10</f>
        <v>-13.681898010000008</v>
      </c>
      <c r="F64" s="212">
        <f>[5]HRV!AS10</f>
        <v>0</v>
      </c>
      <c r="G64" s="212">
        <f>[5]HRV!AT10</f>
        <v>0</v>
      </c>
      <c r="H64" s="212">
        <f>[5]HRV!AU10</f>
        <v>0</v>
      </c>
      <c r="I64" s="212">
        <f>[5]HRV!AV10</f>
        <v>0</v>
      </c>
      <c r="J64" s="212">
        <f>[5]HRV!AW10</f>
        <v>126.70797773367477</v>
      </c>
      <c r="K64" s="212">
        <f>[5]HRV!AX10</f>
        <v>10.727489577603283</v>
      </c>
    </row>
    <row r="65" spans="1:11">
      <c r="A65" s="180" t="s">
        <v>890</v>
      </c>
      <c r="B65" s="212">
        <f>[5]HRV!AO11</f>
        <v>671.33042414840406</v>
      </c>
      <c r="C65" s="212">
        <f>[5]HRV!AP11</f>
        <v>0</v>
      </c>
      <c r="D65" s="212">
        <f>[5]HRV!AQ11</f>
        <v>29.836260506567328</v>
      </c>
      <c r="E65" s="212">
        <f>[5]HRV!AR11</f>
        <v>8.4630364199999857</v>
      </c>
      <c r="F65" s="212">
        <f>[5]HRV!AS11</f>
        <v>0</v>
      </c>
      <c r="G65" s="212">
        <f>[5]HRV!AT11</f>
        <v>0</v>
      </c>
      <c r="H65" s="212">
        <f>[5]HRV!AU11</f>
        <v>0</v>
      </c>
      <c r="I65" s="212">
        <f>[5]HRV!AV11</f>
        <v>0</v>
      </c>
      <c r="J65" s="212">
        <f>[5]HRV!AW11</f>
        <v>126.70797773367477</v>
      </c>
      <c r="K65" s="212">
        <f>[5]HRV!AX11</f>
        <v>10.727489577603283</v>
      </c>
    </row>
    <row r="66" spans="1:11">
      <c r="A66" s="180" t="s">
        <v>891</v>
      </c>
      <c r="B66" s="212">
        <f>[5]HRV!AO12</f>
        <v>671.33042414840406</v>
      </c>
      <c r="C66" s="212">
        <f>[5]HRV!AP12</f>
        <v>0</v>
      </c>
      <c r="D66" s="212">
        <f>[5]HRV!AQ12</f>
        <v>29.836260506567328</v>
      </c>
      <c r="E66" s="212">
        <f>[5]HRV!AR12</f>
        <v>33.60562826999994</v>
      </c>
      <c r="F66" s="212">
        <f>[5]HRV!AS12</f>
        <v>0</v>
      </c>
      <c r="G66" s="212">
        <f>[5]HRV!AT12</f>
        <v>0</v>
      </c>
      <c r="H66" s="212">
        <f>[5]HRV!AU12</f>
        <v>0</v>
      </c>
      <c r="I66" s="212">
        <f>[5]HRV!AV12</f>
        <v>0</v>
      </c>
      <c r="J66" s="212">
        <f>[5]HRV!AW12</f>
        <v>126.70797773367477</v>
      </c>
      <c r="K66" s="212">
        <f>[5]HRV!AX12</f>
        <v>10.727489577603283</v>
      </c>
    </row>
    <row r="67" spans="1:11">
      <c r="A67" s="180" t="s">
        <v>892</v>
      </c>
      <c r="B67" s="212">
        <f>[5]HRV!AO13</f>
        <v>961.07248711120326</v>
      </c>
      <c r="C67" s="212">
        <f>[5]HRV!AP13</f>
        <v>0</v>
      </c>
      <c r="D67" s="212">
        <f>[5]HRV!AQ13</f>
        <v>31.395332218582979</v>
      </c>
      <c r="E67" s="212">
        <f>[5]HRV!AR13</f>
        <v>-13.644004430000008</v>
      </c>
      <c r="F67" s="212">
        <f>[5]HRV!AS13</f>
        <v>0</v>
      </c>
      <c r="G67" s="212">
        <f>[5]HRV!AT13</f>
        <v>0</v>
      </c>
      <c r="H67" s="212">
        <f>[5]HRV!AU13</f>
        <v>0</v>
      </c>
      <c r="I67" s="212">
        <f>[5]HRV!AV13</f>
        <v>0</v>
      </c>
      <c r="J67" s="212">
        <f>[5]HRV!AW13</f>
        <v>138.22254243896504</v>
      </c>
      <c r="K67" s="212">
        <f>[5]HRV!AX13</f>
        <v>11.702348265082845</v>
      </c>
    </row>
    <row r="68" spans="1:11">
      <c r="A68" s="180" t="s">
        <v>893</v>
      </c>
      <c r="B68" s="212">
        <f>[5]HRV!AO14</f>
        <v>961.07248711120326</v>
      </c>
      <c r="C68" s="212">
        <f>[5]HRV!AP14</f>
        <v>0</v>
      </c>
      <c r="D68" s="212">
        <f>[5]HRV!AQ14</f>
        <v>31.395332218582979</v>
      </c>
      <c r="E68" s="212">
        <f>[5]HRV!AR14</f>
        <v>8.6228920500000008</v>
      </c>
      <c r="F68" s="212">
        <f>[5]HRV!AS14</f>
        <v>0</v>
      </c>
      <c r="G68" s="212">
        <f>[5]HRV!AT14</f>
        <v>0</v>
      </c>
      <c r="H68" s="212">
        <f>[5]HRV!AU14</f>
        <v>0</v>
      </c>
      <c r="I68" s="212">
        <f>[5]HRV!AV14</f>
        <v>0</v>
      </c>
      <c r="J68" s="212">
        <f>[5]HRV!AW14</f>
        <v>138.22254243896504</v>
      </c>
      <c r="K68" s="212">
        <f>[5]HRV!AX14</f>
        <v>11.702348265082845</v>
      </c>
    </row>
    <row r="69" spans="1:11">
      <c r="A69" s="180" t="s">
        <v>894</v>
      </c>
      <c r="B69" s="212">
        <f>[5]HRV!AO15</f>
        <v>961.07248711120326</v>
      </c>
      <c r="C69" s="212">
        <f>[5]HRV!AP15</f>
        <v>0</v>
      </c>
      <c r="D69" s="212">
        <f>[5]HRV!AQ15</f>
        <v>31.395332218582979</v>
      </c>
      <c r="E69" s="212">
        <f>[5]HRV!AR15</f>
        <v>34.239409340000094</v>
      </c>
      <c r="F69" s="212">
        <f>[5]HRV!AS15</f>
        <v>0</v>
      </c>
      <c r="G69" s="212">
        <f>[5]HRV!AT15</f>
        <v>0</v>
      </c>
      <c r="H69" s="212">
        <f>[5]HRV!AU15</f>
        <v>0</v>
      </c>
      <c r="I69" s="212">
        <f>[5]HRV!AV15</f>
        <v>0</v>
      </c>
      <c r="J69" s="212">
        <f>[5]HRV!AW15</f>
        <v>138.22254243896504</v>
      </c>
      <c r="K69" s="212">
        <f>[5]HRV!AX15</f>
        <v>11.702348265082845</v>
      </c>
    </row>
    <row r="70" spans="1:11">
      <c r="A70" s="180" t="s">
        <v>895</v>
      </c>
      <c r="B70" s="212">
        <f>[5]HRV!AO16</f>
        <v>1073.2278989875481</v>
      </c>
      <c r="C70" s="212">
        <f>[5]HRV!AP16</f>
        <v>0</v>
      </c>
      <c r="D70" s="212">
        <f>[5]HRV!AQ16</f>
        <v>25.848460476492637</v>
      </c>
      <c r="E70" s="212">
        <f>[5]HRV!AR16</f>
        <v>-14.553040199999975</v>
      </c>
      <c r="F70" s="212">
        <f>[5]HRV!AS16</f>
        <v>0</v>
      </c>
      <c r="G70" s="212">
        <f>[5]HRV!AT16</f>
        <v>0</v>
      </c>
      <c r="H70" s="212">
        <f>[5]HRV!AU16</f>
        <v>0</v>
      </c>
      <c r="I70" s="212">
        <f>[5]HRV!AV16</f>
        <v>0</v>
      </c>
      <c r="J70" s="212">
        <f>[5]HRV!AW16</f>
        <v>154.35286183291106</v>
      </c>
      <c r="K70" s="212">
        <f>[5]HRV!AX16</f>
        <v>13.067991031047221</v>
      </c>
    </row>
    <row r="71" spans="1:11">
      <c r="A71" s="180" t="s">
        <v>896</v>
      </c>
      <c r="B71" s="212">
        <f>[5]HRV!AO17</f>
        <v>1073.2278989875481</v>
      </c>
      <c r="C71" s="212">
        <f>[5]HRV!AP17</f>
        <v>0</v>
      </c>
      <c r="D71" s="212">
        <f>[5]HRV!AQ17</f>
        <v>25.848460476492637</v>
      </c>
      <c r="E71" s="212">
        <f>[5]HRV!AR17</f>
        <v>7.7348274800000194</v>
      </c>
      <c r="F71" s="212">
        <f>[5]HRV!AS17</f>
        <v>0</v>
      </c>
      <c r="G71" s="212">
        <f>[5]HRV!AT17</f>
        <v>0</v>
      </c>
      <c r="H71" s="212">
        <f>[5]HRV!AU17</f>
        <v>0</v>
      </c>
      <c r="I71" s="212">
        <f>[5]HRV!AV17</f>
        <v>0</v>
      </c>
      <c r="J71" s="212">
        <f>[5]HRV!AW17</f>
        <v>154.35286183291106</v>
      </c>
      <c r="K71" s="212">
        <f>[5]HRV!AX17</f>
        <v>13.067991031047221</v>
      </c>
    </row>
    <row r="72" spans="1:11">
      <c r="A72" s="180" t="s">
        <v>897</v>
      </c>
      <c r="B72" s="212">
        <f>[5]HRV!AO18</f>
        <v>1073.2278989875481</v>
      </c>
      <c r="C72" s="212">
        <f>[5]HRV!AP18</f>
        <v>0</v>
      </c>
      <c r="D72" s="212">
        <f>[5]HRV!AQ18</f>
        <v>25.848460476492637</v>
      </c>
      <c r="E72" s="212">
        <f>[5]HRV!AR18</f>
        <v>33.341646940000039</v>
      </c>
      <c r="F72" s="212">
        <f>[5]HRV!AS18</f>
        <v>0</v>
      </c>
      <c r="G72" s="212">
        <f>[5]HRV!AT18</f>
        <v>0</v>
      </c>
      <c r="H72" s="212">
        <f>[5]HRV!AU18</f>
        <v>0</v>
      </c>
      <c r="I72" s="212">
        <f>[5]HRV!AV18</f>
        <v>0</v>
      </c>
      <c r="J72" s="212">
        <f>[5]HRV!AW18</f>
        <v>154.35286183291106</v>
      </c>
      <c r="K72" s="212">
        <f>[5]HRV!AX18</f>
        <v>13.067991031047221</v>
      </c>
    </row>
  </sheetData>
  <mergeCells count="10">
    <mergeCell ref="B46:I46"/>
    <mergeCell ref="J46:K47"/>
    <mergeCell ref="B61:I61"/>
    <mergeCell ref="J61:K62"/>
    <mergeCell ref="B3:I3"/>
    <mergeCell ref="J3:K4"/>
    <mergeCell ref="B16:I16"/>
    <mergeCell ref="J16:K17"/>
    <mergeCell ref="B31:I31"/>
    <mergeCell ref="J31:K32"/>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D21"/>
  <sheetViews>
    <sheetView tabSelected="1" topLeftCell="B1" workbookViewId="0">
      <selection activeCell="C25" sqref="C25"/>
    </sheetView>
  </sheetViews>
  <sheetFormatPr defaultRowHeight="12.75"/>
  <cols>
    <col min="1" max="2" width="21.85546875" customWidth="1"/>
    <col min="3" max="3" width="40.28515625" bestFit="1" customWidth="1"/>
    <col min="4" max="4" width="12.28515625" bestFit="1" customWidth="1"/>
    <col min="5" max="5" width="30.5703125" bestFit="1" customWidth="1"/>
    <col min="10" max="10" width="15.42578125" customWidth="1"/>
  </cols>
  <sheetData>
    <row r="1" spans="1:56" ht="15.75" thickBot="1">
      <c r="A1" s="64" t="s">
        <v>818</v>
      </c>
      <c r="B1" s="64" t="s">
        <v>819</v>
      </c>
      <c r="C1" s="64" t="s">
        <v>906</v>
      </c>
      <c r="D1" s="64" t="s">
        <v>820</v>
      </c>
      <c r="E1" s="64" t="s">
        <v>821</v>
      </c>
      <c r="F1" s="64" t="s">
        <v>823</v>
      </c>
      <c r="G1" s="64" t="s">
        <v>822</v>
      </c>
      <c r="H1" s="64" t="s">
        <v>907</v>
      </c>
      <c r="I1" s="64" t="s">
        <v>65</v>
      </c>
      <c r="J1" s="64" t="s">
        <v>66</v>
      </c>
      <c r="K1" s="58">
        <v>2016</v>
      </c>
      <c r="L1" s="59">
        <v>2017</v>
      </c>
      <c r="M1" s="59">
        <v>2018</v>
      </c>
      <c r="N1" s="59">
        <v>2019</v>
      </c>
      <c r="O1" s="59">
        <v>2020</v>
      </c>
      <c r="P1" s="59">
        <v>2021</v>
      </c>
      <c r="Q1" s="59">
        <v>2022</v>
      </c>
      <c r="R1" s="59">
        <v>2023</v>
      </c>
      <c r="S1" s="59">
        <v>2024</v>
      </c>
      <c r="T1" s="59">
        <v>2025</v>
      </c>
      <c r="U1" s="59">
        <v>2026</v>
      </c>
      <c r="V1" s="59">
        <v>2027</v>
      </c>
      <c r="W1" s="59">
        <v>2028</v>
      </c>
      <c r="X1" s="59">
        <v>2029</v>
      </c>
      <c r="Y1" s="59">
        <v>2030</v>
      </c>
      <c r="Z1" s="59">
        <v>2031</v>
      </c>
      <c r="AA1" s="59">
        <v>2032</v>
      </c>
      <c r="AB1" s="59">
        <v>2033</v>
      </c>
      <c r="AC1" s="59">
        <v>2034</v>
      </c>
      <c r="AD1" s="59">
        <v>2035</v>
      </c>
      <c r="AE1" s="60" t="s">
        <v>60</v>
      </c>
      <c r="AF1" s="39" t="s">
        <v>908</v>
      </c>
      <c r="AG1" s="40"/>
      <c r="AH1" s="40"/>
      <c r="AI1" s="40"/>
      <c r="AJ1" s="40"/>
      <c r="AK1" s="40"/>
      <c r="AL1" s="40"/>
      <c r="AM1" s="40"/>
      <c r="AN1" s="40"/>
      <c r="AO1" s="40"/>
      <c r="AP1" s="40"/>
      <c r="AQ1" s="34"/>
      <c r="AR1" s="38"/>
      <c r="AS1" s="39" t="s">
        <v>909</v>
      </c>
      <c r="AT1" s="40"/>
      <c r="AU1" s="40"/>
      <c r="AV1" s="40"/>
      <c r="AW1" s="40"/>
      <c r="AX1" s="40"/>
      <c r="AY1" s="40"/>
      <c r="AZ1" s="40"/>
      <c r="BA1" s="40"/>
      <c r="BB1" s="40"/>
      <c r="BC1" s="40"/>
      <c r="BD1" s="34"/>
    </row>
    <row r="2" spans="1:56" ht="15">
      <c r="A2" s="64"/>
      <c r="B2" s="64"/>
      <c r="C2" s="64"/>
      <c r="D2" s="64"/>
      <c r="E2" s="64"/>
      <c r="F2" s="64" t="s">
        <v>509</v>
      </c>
      <c r="G2" s="64" t="s">
        <v>46</v>
      </c>
      <c r="H2" s="64" t="s">
        <v>64</v>
      </c>
      <c r="I2" s="64">
        <v>1</v>
      </c>
      <c r="J2" s="64"/>
      <c r="K2" s="61" t="str">
        <f>CONCATENATE("aMW_",K$1)</f>
        <v>aMW_2016</v>
      </c>
      <c r="L2" s="61" t="str">
        <f t="shared" ref="L2:AD2" si="0">CONCATENATE("aMW_",L$1)</f>
        <v>aMW_2017</v>
      </c>
      <c r="M2" s="61" t="str">
        <f t="shared" si="0"/>
        <v>aMW_2018</v>
      </c>
      <c r="N2" s="61" t="str">
        <f t="shared" si="0"/>
        <v>aMW_2019</v>
      </c>
      <c r="O2" s="61" t="str">
        <f t="shared" si="0"/>
        <v>aMW_2020</v>
      </c>
      <c r="P2" s="61" t="str">
        <f t="shared" si="0"/>
        <v>aMW_2021</v>
      </c>
      <c r="Q2" s="61" t="str">
        <f t="shared" si="0"/>
        <v>aMW_2022</v>
      </c>
      <c r="R2" s="61" t="str">
        <f t="shared" si="0"/>
        <v>aMW_2023</v>
      </c>
      <c r="S2" s="61" t="str">
        <f t="shared" si="0"/>
        <v>aMW_2024</v>
      </c>
      <c r="T2" s="61" t="str">
        <f t="shared" si="0"/>
        <v>aMW_2025</v>
      </c>
      <c r="U2" s="61" t="str">
        <f t="shared" si="0"/>
        <v>aMW_2026</v>
      </c>
      <c r="V2" s="61" t="str">
        <f t="shared" si="0"/>
        <v>aMW_2027</v>
      </c>
      <c r="W2" s="61" t="str">
        <f t="shared" si="0"/>
        <v>aMW_2028</v>
      </c>
      <c r="X2" s="61" t="str">
        <f t="shared" si="0"/>
        <v>aMW_2029</v>
      </c>
      <c r="Y2" s="61" t="str">
        <f t="shared" si="0"/>
        <v>aMW_2030</v>
      </c>
      <c r="Z2" s="61" t="str">
        <f t="shared" si="0"/>
        <v>aMW_2031</v>
      </c>
      <c r="AA2" s="61" t="str">
        <f t="shared" si="0"/>
        <v>aMW_2032</v>
      </c>
      <c r="AB2" s="61" t="str">
        <f t="shared" si="0"/>
        <v>aMW_2033</v>
      </c>
      <c r="AC2" s="61" t="str">
        <f t="shared" si="0"/>
        <v>aMW_2034</v>
      </c>
      <c r="AD2" s="61" t="str">
        <f t="shared" si="0"/>
        <v>aMW_2035</v>
      </c>
      <c r="AE2" s="63" t="s">
        <v>60</v>
      </c>
      <c r="AF2" s="32" t="s">
        <v>33</v>
      </c>
      <c r="AG2" s="32" t="s">
        <v>34</v>
      </c>
      <c r="AH2" s="32" t="s">
        <v>35</v>
      </c>
      <c r="AI2" s="32" t="s">
        <v>36</v>
      </c>
      <c r="AJ2" s="32" t="s">
        <v>37</v>
      </c>
      <c r="AK2" s="32" t="s">
        <v>38</v>
      </c>
      <c r="AL2" s="32" t="s">
        <v>39</v>
      </c>
      <c r="AM2" s="32" t="s">
        <v>40</v>
      </c>
      <c r="AN2" s="32" t="s">
        <v>41</v>
      </c>
      <c r="AO2" s="32" t="s">
        <v>42</v>
      </c>
      <c r="AP2" s="32" t="s">
        <v>43</v>
      </c>
      <c r="AQ2" s="32" t="s">
        <v>44</v>
      </c>
      <c r="AR2" s="32"/>
      <c r="AS2" s="32" t="s">
        <v>33</v>
      </c>
      <c r="AT2" s="32" t="s">
        <v>34</v>
      </c>
      <c r="AU2" s="32" t="s">
        <v>35</v>
      </c>
      <c r="AV2" s="32" t="s">
        <v>36</v>
      </c>
      <c r="AW2" s="32" t="s">
        <v>37</v>
      </c>
      <c r="AX2" s="32" t="s">
        <v>38</v>
      </c>
      <c r="AY2" s="32" t="s">
        <v>39</v>
      </c>
      <c r="AZ2" s="32" t="s">
        <v>40</v>
      </c>
      <c r="BA2" s="32" t="s">
        <v>41</v>
      </c>
      <c r="BB2" s="32" t="s">
        <v>42</v>
      </c>
      <c r="BC2" s="32" t="s">
        <v>43</v>
      </c>
      <c r="BD2" s="32" t="s">
        <v>44</v>
      </c>
    </row>
    <row r="3" spans="1:56" ht="15">
      <c r="A3" s="55" t="str">
        <f>VLOOKUP(CONCATENATE($C3," - ",$B3),[2]ACHIEV!$B$12:$C$100,2,FALSE)</f>
        <v>LO5Med</v>
      </c>
      <c r="B3" s="55" t="str">
        <f>'SC-New'!$C$7</f>
        <v>New</v>
      </c>
      <c r="C3" s="55" t="str">
        <f>'SC-New (2)'!$C$8</f>
        <v>ASHP</v>
      </c>
      <c r="D3" s="55" t="s">
        <v>517</v>
      </c>
      <c r="E3" s="55" t="str">
        <f>'SC-New (2)'!$A$9</f>
        <v>HVAC</v>
      </c>
      <c r="F3" s="406">
        <f t="shared" ref="F3:F21" si="1">VLOOKUP($J3,MeasureOutput,14,FALSE)</f>
        <v>0.16546861636563115</v>
      </c>
      <c r="G3" s="57">
        <f>'SC-New (2)'!A38</f>
        <v>604.08127008718748</v>
      </c>
      <c r="H3" s="57">
        <f>'SC-New (2)'!B38</f>
        <v>931.03029713947728</v>
      </c>
      <c r="I3" s="7" t="str">
        <f>'SC-New (2)'!C38</f>
        <v>Single Family</v>
      </c>
      <c r="J3" s="7" t="str">
        <f>'SC-New (2)'!D38</f>
        <v>New SF HVAC Upgrade - Central Heat Pump Upgrade to Variable Capacity Central Heat Pump</v>
      </c>
      <c r="K3" s="29">
        <f>'SC-New (2)'!E38</f>
        <v>1.5487637059893464E-2</v>
      </c>
      <c r="L3" s="29">
        <f>'SC-New (2)'!F38</f>
        <v>3.3004632113097253E-2</v>
      </c>
      <c r="M3" s="29">
        <f>'SC-New (2)'!G38</f>
        <v>5.2381158671803159E-2</v>
      </c>
      <c r="N3" s="29">
        <f>'SC-New (2)'!H38</f>
        <v>7.4372089235037186E-2</v>
      </c>
      <c r="O3" s="29">
        <f>'SC-New (2)'!I38</f>
        <v>9.8674033974217312E-2</v>
      </c>
      <c r="P3" s="29">
        <f>'SC-New (2)'!J38</f>
        <v>0.12331425496010238</v>
      </c>
      <c r="Q3" s="29">
        <f>'SC-New (2)'!K38</f>
        <v>0.15112294395254552</v>
      </c>
      <c r="R3" s="29">
        <f>'SC-New (2)'!L38</f>
        <v>0.18216533182995706</v>
      </c>
      <c r="S3" s="29">
        <f>'SC-New (2)'!M38</f>
        <v>0.20991284052013864</v>
      </c>
      <c r="T3" s="29">
        <f>'SC-New (2)'!N38</f>
        <v>0.23956206901408472</v>
      </c>
      <c r="U3" s="29">
        <f>'SC-New (2)'!O38</f>
        <v>0.26143190317213971</v>
      </c>
      <c r="V3" s="29">
        <f>'SC-New (2)'!P38</f>
        <v>0.27175813124113823</v>
      </c>
      <c r="W3" s="29">
        <f>'SC-New (2)'!Q38</f>
        <v>0.27252957188925775</v>
      </c>
      <c r="X3" s="29">
        <f>'SC-New (2)'!R38</f>
        <v>0.27689688173187593</v>
      </c>
      <c r="Y3" s="29">
        <f>'SC-New (2)'!S38</f>
        <v>0.28190071387738003</v>
      </c>
      <c r="Z3" s="29">
        <f>'SC-New (2)'!T38</f>
        <v>0.28131851559152921</v>
      </c>
      <c r="AA3" s="29">
        <f>'SC-New (2)'!U38</f>
        <v>0.27218047899623271</v>
      </c>
      <c r="AB3" s="29">
        <f>'SC-New (2)'!V38</f>
        <v>0.27175131483306886</v>
      </c>
      <c r="AC3" s="29">
        <f>'SC-New (2)'!W38</f>
        <v>0.27244748095894267</v>
      </c>
      <c r="AD3" s="29">
        <f>'SC-New (2)'!X38</f>
        <v>0.27429782252312868</v>
      </c>
      <c r="AE3" s="29">
        <f>'SC-New (2)'!Y38</f>
        <v>3.9165098061455703</v>
      </c>
      <c r="AF3" s="407">
        <f t="shared" ref="AF3:AF21" si="2">VLOOKUP($J3,MeasureOutput,15,FALSE)</f>
        <v>40.503857723992795</v>
      </c>
      <c r="AG3" s="407">
        <f t="shared" ref="AG3:AG21" si="3">VLOOKUP($J3,MeasureOutput,16,FALSE)</f>
        <v>29.577098387482376</v>
      </c>
      <c r="AH3" s="407">
        <f t="shared" ref="AH3:AH21" si="4">VLOOKUP($J3,MeasureOutput,17,FALSE)</f>
        <v>23.960289502740732</v>
      </c>
      <c r="AI3" s="407">
        <f t="shared" ref="AI3:AI21" si="5">VLOOKUP($J3,MeasureOutput,18,FALSE)</f>
        <v>21.735634313086543</v>
      </c>
      <c r="AJ3" s="407">
        <f t="shared" ref="AJ3:AJ21" si="6">VLOOKUP($J3,MeasureOutput,19,FALSE)</f>
        <v>12.33968592609981</v>
      </c>
      <c r="AK3" s="407">
        <f t="shared" ref="AK3:AK21" si="7">VLOOKUP($J3,MeasureOutput,20,FALSE)</f>
        <v>10.26567530022256</v>
      </c>
      <c r="AL3" s="407">
        <f t="shared" ref="AL3:AL21" si="8">VLOOKUP($J3,MeasureOutput,21,FALSE)</f>
        <v>50.844075064718389</v>
      </c>
      <c r="AM3" s="407">
        <f t="shared" ref="AM3:AM21" si="9">VLOOKUP($J3,MeasureOutput,22,FALSE)</f>
        <v>50.940686485528438</v>
      </c>
      <c r="AN3" s="407">
        <f t="shared" ref="AN3:AN21" si="10">VLOOKUP($J3,MeasureOutput,23,FALSE)</f>
        <v>23.076045072632748</v>
      </c>
      <c r="AO3" s="407">
        <f t="shared" ref="AO3:AO21" si="11">VLOOKUP($J3,MeasureOutput,24,FALSE)</f>
        <v>21.507965032533452</v>
      </c>
      <c r="AP3" s="407">
        <f t="shared" ref="AP3:AP21" si="12">VLOOKUP($J3,MeasureOutput,25,FALSE)</f>
        <v>29.312280217326169</v>
      </c>
      <c r="AQ3" s="407">
        <f t="shared" ref="AQ3:AQ21" si="13">VLOOKUP($J3,MeasureOutput,26,FALSE)</f>
        <v>51.149518157839978</v>
      </c>
      <c r="AR3" s="407"/>
      <c r="AS3" s="407">
        <f t="shared" ref="AS3:AS21" si="14">VLOOKUP($J3,MeasureOutput,28,FALSE)</f>
        <v>38.431525766346411</v>
      </c>
      <c r="AT3" s="407">
        <f t="shared" ref="AT3:AT21" si="15">VLOOKUP($J3,MeasureOutput,29,FALSE)</f>
        <v>27.220509266601471</v>
      </c>
      <c r="AU3" s="407">
        <f t="shared" ref="AU3:AU21" si="16">VLOOKUP($J3,MeasureOutput,30,FALSE)</f>
        <v>20.100918909115393</v>
      </c>
      <c r="AV3" s="407">
        <f t="shared" ref="AV3:AV21" si="17">VLOOKUP($J3,MeasureOutput,31,FALSE)</f>
        <v>19.014312058700813</v>
      </c>
      <c r="AW3" s="407">
        <f t="shared" ref="AW3:AW21" si="18">VLOOKUP($J3,MeasureOutput,32,FALSE)</f>
        <v>8.8489288099019294</v>
      </c>
      <c r="AX3" s="407">
        <f t="shared" ref="AX3:AX21" si="19">VLOOKUP($J3,MeasureOutput,33,FALSE)</f>
        <v>3.4854401615939077</v>
      </c>
      <c r="AY3" s="407">
        <f t="shared" ref="AY3:AY21" si="20">VLOOKUP($J3,MeasureOutput,34,FALSE)</f>
        <v>18.727815426034788</v>
      </c>
      <c r="AZ3" s="407">
        <f t="shared" ref="AZ3:AZ21" si="21">VLOOKUP($J3,MeasureOutput,35,FALSE)</f>
        <v>13.014376149394106</v>
      </c>
      <c r="BA3" s="407">
        <f t="shared" ref="BA3:BA21" si="22">VLOOKUP($J3,MeasureOutput,36,FALSE)</f>
        <v>10.247868434179708</v>
      </c>
      <c r="BB3" s="407">
        <f t="shared" ref="BB3:BB21" si="23">VLOOKUP($J3,MeasureOutput,37,FALSE)</f>
        <v>12.43383469895099</v>
      </c>
      <c r="BC3" s="407">
        <f t="shared" ref="BC3:BC21" si="24">VLOOKUP($J3,MeasureOutput,38,FALSE)</f>
        <v>23.080957788259806</v>
      </c>
      <c r="BD3" s="407">
        <f t="shared" ref="BD3:BD21" si="25">VLOOKUP($J3,MeasureOutput,39,FALSE)</f>
        <v>44.261971433904172</v>
      </c>
    </row>
    <row r="4" spans="1:56" ht="15">
      <c r="A4" s="55" t="str">
        <f>VLOOKUP(CONCATENATE($C4," - ",$B4),[2]ACHIEV!$B$12:$C$100,2,FALSE)</f>
        <v>LO5Med</v>
      </c>
      <c r="B4" s="55" t="str">
        <f>'SC-New'!$C$7</f>
        <v>New</v>
      </c>
      <c r="C4" s="55" t="str">
        <f>'SC-New (2)'!$C$8</f>
        <v>ASHP</v>
      </c>
      <c r="D4" s="55" t="s">
        <v>517</v>
      </c>
      <c r="E4" s="55" t="str">
        <f>'SC-New (2)'!$A$9</f>
        <v>HVAC</v>
      </c>
      <c r="F4" s="406">
        <f t="shared" si="1"/>
        <v>4.9049505856757158E-2</v>
      </c>
      <c r="G4" s="57">
        <f>'SC-New (2)'!A39</f>
        <v>169.0298278611364</v>
      </c>
      <c r="H4" s="57">
        <f>'SC-New (2)'!B39</f>
        <v>22.457961847090477</v>
      </c>
      <c r="I4" s="7" t="str">
        <f>'SC-New (2)'!C39</f>
        <v>Single Family</v>
      </c>
      <c r="J4" s="7" t="str">
        <f>'SC-New (2)'!D39</f>
        <v>New SF HVAC Upgrade - Heat Pump Upgrade to 9.0 HSPF/14 SEER</v>
      </c>
      <c r="K4" s="29">
        <f>'SC-New (2)'!E39</f>
        <v>4.333643097114581E-3</v>
      </c>
      <c r="L4" s="29">
        <f>'SC-New (2)'!F39</f>
        <v>9.2351270614494888E-3</v>
      </c>
      <c r="M4" s="29">
        <f>'SC-New (2)'!G39</f>
        <v>1.4656932224009959E-2</v>
      </c>
      <c r="N4" s="29">
        <f>'SC-New (2)'!H39</f>
        <v>2.0810281767645298E-2</v>
      </c>
      <c r="O4" s="29">
        <f>'SC-New (2)'!I39</f>
        <v>2.7610283256454225E-2</v>
      </c>
      <c r="P4" s="29">
        <f>'SC-New (2)'!J39</f>
        <v>3.4504938856525037E-2</v>
      </c>
      <c r="Q4" s="29">
        <f>'SC-New (2)'!K39</f>
        <v>4.2286173180771033E-2</v>
      </c>
      <c r="R4" s="29">
        <f>'SC-New (2)'!L39</f>
        <v>5.0972238680799177E-2</v>
      </c>
      <c r="S4" s="29">
        <f>'SC-New (2)'!M39</f>
        <v>5.8736353957539747E-2</v>
      </c>
      <c r="T4" s="29">
        <f>'SC-New (2)'!N39</f>
        <v>6.703259526928225E-2</v>
      </c>
      <c r="U4" s="29">
        <f>'SC-New (2)'!O39</f>
        <v>7.3152060457391949E-2</v>
      </c>
      <c r="V4" s="29">
        <f>'SC-New (2)'!P39</f>
        <v>7.6041473917779059E-2</v>
      </c>
      <c r="W4" s="29">
        <f>'SC-New (2)'!Q39</f>
        <v>7.6257333085102519E-2</v>
      </c>
      <c r="X4" s="29">
        <f>'SC-New (2)'!R39</f>
        <v>7.7479363410272922E-2</v>
      </c>
      <c r="Y4" s="29">
        <f>'SC-New (2)'!S39</f>
        <v>7.8879500987917905E-2</v>
      </c>
      <c r="Z4" s="29">
        <f>'SC-New (2)'!T39</f>
        <v>7.8716594304808526E-2</v>
      </c>
      <c r="AA4" s="29">
        <f>'SC-New (2)'!U39</f>
        <v>7.6159652334949382E-2</v>
      </c>
      <c r="AB4" s="29">
        <f>'SC-New (2)'!V39</f>
        <v>7.60395665977881E-2</v>
      </c>
      <c r="AC4" s="29">
        <f>'SC-New (2)'!W39</f>
        <v>7.6234362970802994E-2</v>
      </c>
      <c r="AD4" s="29">
        <f>'SC-New (2)'!X39</f>
        <v>7.6752112703439984E-2</v>
      </c>
      <c r="AE4" s="29">
        <f>'SC-New (2)'!Y39</f>
        <v>1.0958905881218441</v>
      </c>
      <c r="AF4" s="407">
        <f t="shared" si="2"/>
        <v>12.006471379831348</v>
      </c>
      <c r="AG4" s="407">
        <f t="shared" si="3"/>
        <v>8.7674756243627332</v>
      </c>
      <c r="AH4" s="407">
        <f t="shared" si="4"/>
        <v>7.1024970541687775</v>
      </c>
      <c r="AI4" s="407">
        <f t="shared" si="5"/>
        <v>6.3689748539510038</v>
      </c>
      <c r="AJ4" s="407">
        <f t="shared" si="6"/>
        <v>3.2948142482423166</v>
      </c>
      <c r="AK4" s="407">
        <f t="shared" si="7"/>
        <v>2.6322935400729328</v>
      </c>
      <c r="AL4" s="407">
        <f t="shared" si="8"/>
        <v>12.261637239554869</v>
      </c>
      <c r="AM4" s="407">
        <f t="shared" si="9"/>
        <v>12.279938120216404</v>
      </c>
      <c r="AN4" s="407">
        <f t="shared" si="10"/>
        <v>5.7041289355993063</v>
      </c>
      <c r="AO4" s="407">
        <f t="shared" si="11"/>
        <v>6.17316658743239</v>
      </c>
      <c r="AP4" s="407">
        <f t="shared" si="12"/>
        <v>8.688976144078504</v>
      </c>
      <c r="AQ4" s="407">
        <f t="shared" si="13"/>
        <v>15.162141592515209</v>
      </c>
      <c r="AR4" s="407"/>
      <c r="AS4" s="407">
        <f t="shared" si="14"/>
        <v>11.392174477335256</v>
      </c>
      <c r="AT4" s="407">
        <f t="shared" si="15"/>
        <v>8.068916982697397</v>
      </c>
      <c r="AU4" s="407">
        <f t="shared" si="16"/>
        <v>5.9584721345602674</v>
      </c>
      <c r="AV4" s="407">
        <f t="shared" si="17"/>
        <v>5.6159043522117962</v>
      </c>
      <c r="AW4" s="407">
        <f t="shared" si="18"/>
        <v>2.5124730163358895</v>
      </c>
      <c r="AX4" s="407">
        <f t="shared" si="19"/>
        <v>0.94116177866344886</v>
      </c>
      <c r="AY4" s="407">
        <f t="shared" si="20"/>
        <v>4.6530354811797849</v>
      </c>
      <c r="AZ4" s="407">
        <f t="shared" si="21"/>
        <v>3.2448936274537363</v>
      </c>
      <c r="BA4" s="407">
        <f t="shared" si="22"/>
        <v>2.6165858770467385</v>
      </c>
      <c r="BB4" s="407">
        <f t="shared" si="23"/>
        <v>3.6213752279299483</v>
      </c>
      <c r="BC4" s="407">
        <f t="shared" si="24"/>
        <v>6.8418386463885383</v>
      </c>
      <c r="BD4" s="407">
        <f t="shared" si="25"/>
        <v>13.120480939307816</v>
      </c>
    </row>
    <row r="5" spans="1:56" ht="15">
      <c r="A5" s="55" t="str">
        <f>VLOOKUP(CONCATENATE($C5," - ",$B5),[2]ACHIEV!$B$12:$C$100,2,FALSE)</f>
        <v>LO5Med</v>
      </c>
      <c r="B5" s="55" t="str">
        <f>'SC-New'!$C$7</f>
        <v>New</v>
      </c>
      <c r="C5" s="55" t="str">
        <f>'SC-New (3)'!$C$8</f>
        <v>DHP</v>
      </c>
      <c r="D5" s="55" t="s">
        <v>517</v>
      </c>
      <c r="E5" s="55" t="str">
        <f>'SC-New (3)'!$A$9</f>
        <v>HVAC</v>
      </c>
      <c r="F5" s="406">
        <f t="shared" si="1"/>
        <v>1.0689158324246504</v>
      </c>
      <c r="G5" s="57">
        <f>'SC-New (3)'!A38</f>
        <v>2940.9032029199307</v>
      </c>
      <c r="H5" s="57">
        <f>'SC-New (3)'!B38</f>
        <v>94.480855798810595</v>
      </c>
      <c r="I5" s="7" t="str">
        <f>'SC-New (3)'!C38</f>
        <v>Single Family</v>
      </c>
      <c r="J5" s="7" t="str">
        <f>'SC-New (3)'!D38</f>
        <v>New SF Zonal to DHP</v>
      </c>
      <c r="K5" s="29">
        <f>'SC-New (3)'!E38</f>
        <v>3.0729946024877001E-2</v>
      </c>
      <c r="L5" s="29">
        <f>'SC-New (3)'!F38</f>
        <v>6.5486462491611191E-2</v>
      </c>
      <c r="M5" s="29">
        <f>'SC-New (3)'!G38</f>
        <v>0.10393258651917957</v>
      </c>
      <c r="N5" s="29">
        <f>'SC-New (3)'!H38</f>
        <v>0.14756610573399828</v>
      </c>
      <c r="O5" s="29">
        <f>'SC-New (3)'!I38</f>
        <v>0.19578504625065354</v>
      </c>
      <c r="P5" s="29">
        <f>'SC-New (3)'!J38</f>
        <v>0.24467518087926673</v>
      </c>
      <c r="Q5" s="29">
        <f>'SC-New (3)'!K38</f>
        <v>0.29985206218502269</v>
      </c>
      <c r="R5" s="29">
        <f>'SC-New (3)'!L38</f>
        <v>0.36144511865110146</v>
      </c>
      <c r="S5" s="29">
        <f>'SC-New (3)'!M38</f>
        <v>0.41650060846382264</v>
      </c>
      <c r="T5" s="29">
        <f>'SC-New (3)'!N38</f>
        <v>0.47532941416056923</v>
      </c>
      <c r="U5" s="29">
        <f>'SC-New (3)'!O38</f>
        <v>0.51872265876276857</v>
      </c>
      <c r="V5" s="29">
        <f>'SC-New (3)'!P38</f>
        <v>0.53921154483194378</v>
      </c>
      <c r="W5" s="29">
        <f>'SC-New (3)'!Q38</f>
        <v>0.54074220631286762</v>
      </c>
      <c r="X5" s="29">
        <f>'SC-New (3)'!R38</f>
        <v>0.549407646703714</v>
      </c>
      <c r="Y5" s="29">
        <f>'SC-New (3)'!S38</f>
        <v>0.55933604902578815</v>
      </c>
      <c r="Z5" s="29">
        <f>'SC-New (3)'!T38</f>
        <v>0.55818087462243771</v>
      </c>
      <c r="AA5" s="29">
        <f>'SC-New (3)'!U38</f>
        <v>0.54004955024668777</v>
      </c>
      <c r="AB5" s="29">
        <f>'SC-New (3)'!V38</f>
        <v>0.53919801998943595</v>
      </c>
      <c r="AC5" s="29">
        <f>'SC-New (3)'!W38</f>
        <v>0.54057932479337201</v>
      </c>
      <c r="AD5" s="29">
        <f>'SC-New (3)'!X38</f>
        <v>0.54425069804257287</v>
      </c>
      <c r="AE5" s="29">
        <f>'SC-New (3)'!Y38</f>
        <v>7.7709811046916908</v>
      </c>
      <c r="AF5" s="407">
        <f t="shared" si="2"/>
        <v>311.30415694632273</v>
      </c>
      <c r="AG5" s="407">
        <f t="shared" si="3"/>
        <v>220.33155880048389</v>
      </c>
      <c r="AH5" s="407">
        <f t="shared" si="4"/>
        <v>197.3308662894085</v>
      </c>
      <c r="AI5" s="407">
        <f t="shared" si="5"/>
        <v>148.54126016374602</v>
      </c>
      <c r="AJ5" s="407">
        <f t="shared" si="6"/>
        <v>89.590945884301988</v>
      </c>
      <c r="AK5" s="407">
        <f t="shared" si="7"/>
        <v>31.209332330056668</v>
      </c>
      <c r="AL5" s="407">
        <f t="shared" si="8"/>
        <v>11.993468280139862</v>
      </c>
      <c r="AM5" s="407">
        <f t="shared" si="9"/>
        <v>6.8507085033245136</v>
      </c>
      <c r="AN5" s="407">
        <f t="shared" si="10"/>
        <v>14.593076957134819</v>
      </c>
      <c r="AO5" s="407">
        <f t="shared" si="11"/>
        <v>96.266331432875276</v>
      </c>
      <c r="AP5" s="407">
        <f t="shared" si="12"/>
        <v>224.38598441382652</v>
      </c>
      <c r="AQ5" s="407">
        <f t="shared" si="13"/>
        <v>277.21798412895936</v>
      </c>
      <c r="AR5" s="407"/>
      <c r="AS5" s="407">
        <f t="shared" si="14"/>
        <v>243.77896005560976</v>
      </c>
      <c r="AT5" s="407">
        <f t="shared" si="15"/>
        <v>177.02303475742582</v>
      </c>
      <c r="AU5" s="407">
        <f t="shared" si="16"/>
        <v>150.60807080719871</v>
      </c>
      <c r="AV5" s="407">
        <f t="shared" si="17"/>
        <v>125.57655783391195</v>
      </c>
      <c r="AW5" s="407">
        <f t="shared" si="18"/>
        <v>87.624900537373406</v>
      </c>
      <c r="AX5" s="407">
        <f t="shared" si="19"/>
        <v>30.269213480801035</v>
      </c>
      <c r="AY5" s="407">
        <f t="shared" si="20"/>
        <v>13.089989520142215</v>
      </c>
      <c r="AZ5" s="407">
        <f t="shared" si="21"/>
        <v>6.4411650992652651</v>
      </c>
      <c r="BA5" s="407">
        <f t="shared" si="22"/>
        <v>16.126172852996749</v>
      </c>
      <c r="BB5" s="407">
        <f t="shared" si="23"/>
        <v>73.710692272623945</v>
      </c>
      <c r="BC5" s="407">
        <f t="shared" si="24"/>
        <v>175.84298672141068</v>
      </c>
      <c r="BD5" s="407">
        <f t="shared" si="25"/>
        <v>211.195784850591</v>
      </c>
    </row>
    <row r="6" spans="1:56" ht="15">
      <c r="A6" s="55" t="str">
        <f>VLOOKUP(CONCATENATE($C6," - ",$B6),[2]ACHIEV!$B$12:$C$100,2,FALSE)</f>
        <v>LO5Med</v>
      </c>
      <c r="B6" s="55" t="str">
        <f>'SC-NR'!$C$7</f>
        <v>NR</v>
      </c>
      <c r="C6" s="55" t="str">
        <f>'SC-NR'!$C$8</f>
        <v>ASHP</v>
      </c>
      <c r="D6" s="55" t="s">
        <v>517</v>
      </c>
      <c r="E6" s="55" t="str">
        <f>'SC-NR'!$A$9</f>
        <v>HVAC</v>
      </c>
      <c r="F6" s="406">
        <f t="shared" si="1"/>
        <v>0.98227153967436376</v>
      </c>
      <c r="G6" s="57">
        <f>'SC-NR'!A58</f>
        <v>2811.7504025708308</v>
      </c>
      <c r="H6" s="57">
        <f>'SC-NR'!B58</f>
        <v>74.084180782573597</v>
      </c>
      <c r="I6" s="7" t="str">
        <f>'SC-NR'!C58</f>
        <v>Single Family</v>
      </c>
      <c r="J6" s="7" t="str">
        <f>'SC-NR'!D58</f>
        <v>Existing Single Family Home HVAC Conversion - Convert FAF w/CAC to Heat Pump - House with "Good Insulation" + HZ1</v>
      </c>
      <c r="K6" s="29">
        <f>'SC-NR'!E58</f>
        <v>1.7277601163127911E-2</v>
      </c>
      <c r="L6" s="29">
        <f>'SC-NR'!F58</f>
        <v>3.8404333604281658E-2</v>
      </c>
      <c r="M6" s="29">
        <f>'SC-NR'!G58</f>
        <v>6.4159258812682599E-2</v>
      </c>
      <c r="N6" s="29">
        <f>'SC-NR'!H58</f>
        <v>9.3944091480769737E-2</v>
      </c>
      <c r="O6" s="29">
        <f>'SC-NR'!I58</f>
        <v>0.12779279470501453</v>
      </c>
      <c r="P6" s="29">
        <f>'SC-NR'!J58</f>
        <v>0.16723478387045485</v>
      </c>
      <c r="Q6" s="29">
        <f>'SC-NR'!K58</f>
        <v>0.21034287112597164</v>
      </c>
      <c r="R6" s="29">
        <f>'SC-NR'!L58</f>
        <v>0.25419024826418107</v>
      </c>
      <c r="S6" s="29">
        <f>'SC-NR'!M58</f>
        <v>0.29528919664208342</v>
      </c>
      <c r="T6" s="29">
        <f>'SC-NR'!N58</f>
        <v>0.33036149917472574</v>
      </c>
      <c r="U6" s="29">
        <f>'SC-NR'!O58</f>
        <v>0.35720783064304246</v>
      </c>
      <c r="V6" s="29">
        <f>'SC-NR'!P58</f>
        <v>0.3752925656153851</v>
      </c>
      <c r="W6" s="29">
        <f>'SC-NR'!Q58</f>
        <v>0.38572211777334053</v>
      </c>
      <c r="X6" s="29">
        <f>'SC-NR'!R58</f>
        <v>0.39060960425341912</v>
      </c>
      <c r="Y6" s="29">
        <f>'SC-NR'!S58</f>
        <v>0.39218968548040689</v>
      </c>
      <c r="Z6" s="29">
        <f>'SC-NR'!T58</f>
        <v>0.48000388055399057</v>
      </c>
      <c r="AA6" s="29">
        <f>'SC-NR'!U58</f>
        <v>0.47215163171882069</v>
      </c>
      <c r="AB6" s="29">
        <f>'SC-NR'!V58</f>
        <v>0.46313030251307291</v>
      </c>
      <c r="AC6" s="29">
        <f>'SC-NR'!W58</f>
        <v>0.45541640841358361</v>
      </c>
      <c r="AD6" s="29">
        <f>'SC-NR'!X58</f>
        <v>0.44779626336406009</v>
      </c>
      <c r="AE6" s="29">
        <f>'SC-NR'!Y58</f>
        <v>6.133935322643989</v>
      </c>
      <c r="AF6" s="407">
        <f t="shared" si="2"/>
        <v>240.44309768919737</v>
      </c>
      <c r="AG6" s="407">
        <f t="shared" si="3"/>
        <v>175.57856353845051</v>
      </c>
      <c r="AH6" s="407">
        <f t="shared" si="4"/>
        <v>142.23549442690035</v>
      </c>
      <c r="AI6" s="407">
        <f t="shared" si="5"/>
        <v>123.31511423166664</v>
      </c>
      <c r="AJ6" s="407">
        <f t="shared" si="6"/>
        <v>45.248302968257285</v>
      </c>
      <c r="AK6" s="407">
        <f t="shared" si="7"/>
        <v>29.254617919927568</v>
      </c>
      <c r="AL6" s="407">
        <f t="shared" si="8"/>
        <v>85.057334494346051</v>
      </c>
      <c r="AM6" s="407">
        <f t="shared" si="9"/>
        <v>84.83339019638548</v>
      </c>
      <c r="AN6" s="407">
        <f t="shared" si="10"/>
        <v>49.332568320368289</v>
      </c>
      <c r="AO6" s="407">
        <f t="shared" si="11"/>
        <v>112.06457731407491</v>
      </c>
      <c r="AP6" s="407">
        <f t="shared" si="12"/>
        <v>174.00652312712381</v>
      </c>
      <c r="AQ6" s="407">
        <f t="shared" si="13"/>
        <v>303.6389440973112</v>
      </c>
      <c r="AR6" s="407"/>
      <c r="AS6" s="407">
        <f t="shared" si="14"/>
        <v>228.14111108011312</v>
      </c>
      <c r="AT6" s="407">
        <f t="shared" si="15"/>
        <v>161.58914080083255</v>
      </c>
      <c r="AU6" s="407">
        <f t="shared" si="16"/>
        <v>119.32510828577509</v>
      </c>
      <c r="AV6" s="407">
        <f t="shared" si="17"/>
        <v>111.29578141539022</v>
      </c>
      <c r="AW6" s="407">
        <f t="shared" si="18"/>
        <v>43.998227166970274</v>
      </c>
      <c r="AX6" s="407">
        <f t="shared" si="19"/>
        <v>13.591960470147514</v>
      </c>
      <c r="AY6" s="407">
        <f t="shared" si="20"/>
        <v>41.868037691307592</v>
      </c>
      <c r="AZ6" s="407">
        <f t="shared" si="21"/>
        <v>29.974121757092149</v>
      </c>
      <c r="BA6" s="407">
        <f t="shared" si="22"/>
        <v>28.344372265616705</v>
      </c>
      <c r="BB6" s="407">
        <f t="shared" si="23"/>
        <v>68.846104291667999</v>
      </c>
      <c r="BC6" s="407">
        <f t="shared" si="24"/>
        <v>137.01551654807955</v>
      </c>
      <c r="BD6" s="407">
        <f t="shared" si="25"/>
        <v>262.75239247382899</v>
      </c>
    </row>
    <row r="7" spans="1:56" ht="15">
      <c r="A7" s="55" t="str">
        <f>VLOOKUP(CONCATENATE($C7," - ",$B7),[2]ACHIEV!$B$12:$C$100,2,FALSE)</f>
        <v>LO5Med</v>
      </c>
      <c r="B7" s="55" t="str">
        <f>'SC-NR'!$C$7</f>
        <v>NR</v>
      </c>
      <c r="C7" s="55" t="str">
        <f>'SC-NR'!$C$8</f>
        <v>ASHP</v>
      </c>
      <c r="D7" s="55" t="s">
        <v>517</v>
      </c>
      <c r="E7" s="55" t="str">
        <f>'SC-NR'!$A$9</f>
        <v>HVAC</v>
      </c>
      <c r="F7" s="406">
        <f t="shared" si="1"/>
        <v>0.96482421441975341</v>
      </c>
      <c r="G7" s="57">
        <f>'SC-NR'!A59</f>
        <v>2761.80746743703</v>
      </c>
      <c r="H7" s="57">
        <f>'SC-NR'!B59</f>
        <v>81.233181270377628</v>
      </c>
      <c r="I7" s="7" t="str">
        <f>'SC-NR'!C59</f>
        <v>Single Family</v>
      </c>
      <c r="J7" s="7" t="str">
        <f>'SC-NR'!D59</f>
        <v>Existing Single Family Home HVAC Conversion - Convert FAF w/CAC to Heat Pump - House with "Good Insulation" + HZ23</v>
      </c>
      <c r="K7" s="29">
        <f>'SC-NR'!E59</f>
        <v>0</v>
      </c>
      <c r="L7" s="29">
        <f>'SC-NR'!F59</f>
        <v>0</v>
      </c>
      <c r="M7" s="29">
        <f>'SC-NR'!G59</f>
        <v>0</v>
      </c>
      <c r="N7" s="29">
        <f>'SC-NR'!H59</f>
        <v>0</v>
      </c>
      <c r="O7" s="29">
        <f>'SC-NR'!I59</f>
        <v>0</v>
      </c>
      <c r="P7" s="29">
        <f>'SC-NR'!J59</f>
        <v>0</v>
      </c>
      <c r="Q7" s="29">
        <f>'SC-NR'!K59</f>
        <v>0</v>
      </c>
      <c r="R7" s="29">
        <f>'SC-NR'!L59</f>
        <v>0</v>
      </c>
      <c r="S7" s="29">
        <f>'SC-NR'!M59</f>
        <v>0</v>
      </c>
      <c r="T7" s="29">
        <f>'SC-NR'!N59</f>
        <v>0</v>
      </c>
      <c r="U7" s="29">
        <f>'SC-NR'!O59</f>
        <v>0</v>
      </c>
      <c r="V7" s="29">
        <f>'SC-NR'!P59</f>
        <v>0</v>
      </c>
      <c r="W7" s="29">
        <f>'SC-NR'!Q59</f>
        <v>0</v>
      </c>
      <c r="X7" s="29">
        <f>'SC-NR'!R59</f>
        <v>0</v>
      </c>
      <c r="Y7" s="29">
        <f>'SC-NR'!S59</f>
        <v>0</v>
      </c>
      <c r="Z7" s="29">
        <f>'SC-NR'!T59</f>
        <v>0</v>
      </c>
      <c r="AA7" s="29">
        <f>'SC-NR'!U59</f>
        <v>0</v>
      </c>
      <c r="AB7" s="29">
        <f>'SC-NR'!V59</f>
        <v>0</v>
      </c>
      <c r="AC7" s="29">
        <f>'SC-NR'!W59</f>
        <v>0</v>
      </c>
      <c r="AD7" s="29">
        <f>'SC-NR'!X59</f>
        <v>0</v>
      </c>
      <c r="AE7" s="29">
        <f>'SC-NR'!Y59</f>
        <v>0</v>
      </c>
      <c r="AF7" s="407">
        <f t="shared" si="2"/>
        <v>236.17229398455152</v>
      </c>
      <c r="AG7" s="407">
        <f t="shared" si="3"/>
        <v>172.45989809609415</v>
      </c>
      <c r="AH7" s="407">
        <f t="shared" si="4"/>
        <v>139.70907598374851</v>
      </c>
      <c r="AI7" s="407">
        <f t="shared" si="5"/>
        <v>121.12476378398435</v>
      </c>
      <c r="AJ7" s="407">
        <f t="shared" si="6"/>
        <v>44.444592561772609</v>
      </c>
      <c r="AK7" s="407">
        <f t="shared" si="7"/>
        <v>28.734990899631025</v>
      </c>
      <c r="AL7" s="407">
        <f t="shared" si="8"/>
        <v>83.546527232771709</v>
      </c>
      <c r="AM7" s="407">
        <f t="shared" si="9"/>
        <v>83.326560683190152</v>
      </c>
      <c r="AN7" s="407">
        <f t="shared" si="10"/>
        <v>48.456312287032375</v>
      </c>
      <c r="AO7" s="407">
        <f t="shared" si="11"/>
        <v>110.07406140216098</v>
      </c>
      <c r="AP7" s="407">
        <f t="shared" si="12"/>
        <v>170.91578061571064</v>
      </c>
      <c r="AQ7" s="407">
        <f t="shared" si="13"/>
        <v>298.24564173268351</v>
      </c>
      <c r="AR7" s="407"/>
      <c r="AS7" s="407">
        <f t="shared" si="14"/>
        <v>224.08881799394419</v>
      </c>
      <c r="AT7" s="407">
        <f t="shared" si="15"/>
        <v>158.71895859225529</v>
      </c>
      <c r="AU7" s="407">
        <f t="shared" si="16"/>
        <v>117.20562920976144</v>
      </c>
      <c r="AV7" s="407">
        <f t="shared" si="17"/>
        <v>109.31892102663669</v>
      </c>
      <c r="AW7" s="407">
        <f t="shared" si="18"/>
        <v>43.216720884036739</v>
      </c>
      <c r="AX7" s="407">
        <f t="shared" si="19"/>
        <v>13.350537049615911</v>
      </c>
      <c r="AY7" s="407">
        <f t="shared" si="20"/>
        <v>41.124368308459673</v>
      </c>
      <c r="AZ7" s="407">
        <f t="shared" si="21"/>
        <v>29.44171475021836</v>
      </c>
      <c r="BA7" s="407">
        <f t="shared" si="22"/>
        <v>27.840913230821457</v>
      </c>
      <c r="BB7" s="407">
        <f t="shared" si="23"/>
        <v>67.62324449633293</v>
      </c>
      <c r="BC7" s="407">
        <f t="shared" si="24"/>
        <v>134.58181651139182</v>
      </c>
      <c r="BD7" s="407">
        <f t="shared" si="25"/>
        <v>258.08532612022407</v>
      </c>
    </row>
    <row r="8" spans="1:56" ht="15">
      <c r="A8" s="55" t="str">
        <f>VLOOKUP(CONCATENATE($C8," - ",$B8),[2]ACHIEV!$B$12:$C$100,2,FALSE)</f>
        <v>LO5Med</v>
      </c>
      <c r="B8" s="55" t="str">
        <f>'SC-NR'!$C$7</f>
        <v>NR</v>
      </c>
      <c r="C8" s="55" t="str">
        <f>'SC-NR'!$C$8</f>
        <v>ASHP</v>
      </c>
      <c r="D8" s="55" t="s">
        <v>517</v>
      </c>
      <c r="E8" s="55" t="str">
        <f>'SC-NR'!$A$9</f>
        <v>HVAC</v>
      </c>
      <c r="F8" s="406">
        <f t="shared" si="1"/>
        <v>0.98227153967436376</v>
      </c>
      <c r="G8" s="57">
        <f>'SC-NR'!A60</f>
        <v>2743.9389887282687</v>
      </c>
      <c r="H8" s="57">
        <f>'SC-NR'!B60</f>
        <v>87.679832343793066</v>
      </c>
      <c r="I8" s="7" t="str">
        <f>'SC-NR'!C60</f>
        <v>Single Family</v>
      </c>
      <c r="J8" s="7" t="str">
        <f>'SC-NR'!D60</f>
        <v>Existing Single Family Home HVAC Conversion - Convert FAF w/o CAC to Heat Pump - House with "Good Insulation" + HZ1CZ23</v>
      </c>
      <c r="K8" s="29">
        <f>'SC-NR'!E60</f>
        <v>3.8438762427152245E-2</v>
      </c>
      <c r="L8" s="29">
        <f>'SC-NR'!F60</f>
        <v>8.5440973063926812E-2</v>
      </c>
      <c r="M8" s="29">
        <f>'SC-NR'!G60</f>
        <v>0.1427398678623279</v>
      </c>
      <c r="N8" s="29">
        <f>'SC-NR'!H60</f>
        <v>0.2090043970670184</v>
      </c>
      <c r="O8" s="29">
        <f>'SC-NR'!I60</f>
        <v>0.2843101209009849</v>
      </c>
      <c r="P8" s="29">
        <f>'SC-NR'!J60</f>
        <v>0.37205964335322095</v>
      </c>
      <c r="Q8" s="29">
        <f>'SC-NR'!K60</f>
        <v>0.46796540648890467</v>
      </c>
      <c r="R8" s="29">
        <f>'SC-NR'!L60</f>
        <v>0.56551592272991336</v>
      </c>
      <c r="S8" s="29">
        <f>'SC-NR'!M60</f>
        <v>0.65695180539604492</v>
      </c>
      <c r="T8" s="29">
        <f>'SC-NR'!N60</f>
        <v>0.73497976148189914</v>
      </c>
      <c r="U8" s="29">
        <f>'SC-NR'!O60</f>
        <v>0.79470678883992552</v>
      </c>
      <c r="V8" s="29">
        <f>'SC-NR'!P60</f>
        <v>0.83494124179415963</v>
      </c>
      <c r="W8" s="29">
        <f>'SC-NR'!Q60</f>
        <v>0.8581446410297433</v>
      </c>
      <c r="X8" s="29">
        <f>'SC-NR'!R60</f>
        <v>0.86901819517073076</v>
      </c>
      <c r="Y8" s="29">
        <f>'SC-NR'!S60</f>
        <v>0.87253351922100486</v>
      </c>
      <c r="Z8" s="29">
        <f>'SC-NR'!T60</f>
        <v>1.0679002805147348</v>
      </c>
      <c r="AA8" s="29">
        <f>'SC-NR'!U60</f>
        <v>1.0504307993845583</v>
      </c>
      <c r="AB8" s="29">
        <f>'SC-NR'!V60</f>
        <v>1.0303603783323056</v>
      </c>
      <c r="AC8" s="29">
        <f>'SC-NR'!W60</f>
        <v>1.0131987052575004</v>
      </c>
      <c r="AD8" s="29">
        <f>'SC-NR'!X60</f>
        <v>0.99624560265641859</v>
      </c>
      <c r="AE8" s="29">
        <f>'SC-NR'!Y60</f>
        <v>13.646621448457164</v>
      </c>
      <c r="AF8" s="407">
        <f t="shared" si="2"/>
        <v>240.44309768919737</v>
      </c>
      <c r="AG8" s="407">
        <f t="shared" si="3"/>
        <v>175.57856353845051</v>
      </c>
      <c r="AH8" s="407">
        <f t="shared" si="4"/>
        <v>142.23549442690035</v>
      </c>
      <c r="AI8" s="407">
        <f t="shared" si="5"/>
        <v>122.81465431525187</v>
      </c>
      <c r="AJ8" s="407">
        <f t="shared" si="6"/>
        <v>42.795662297975269</v>
      </c>
      <c r="AK8" s="407">
        <f t="shared" si="7"/>
        <v>26.479521992131069</v>
      </c>
      <c r="AL8" s="407">
        <f t="shared" si="8"/>
        <v>66.072224542952384</v>
      </c>
      <c r="AM8" s="407">
        <f t="shared" si="9"/>
        <v>65.778436844169576</v>
      </c>
      <c r="AN8" s="407">
        <f t="shared" si="10"/>
        <v>41.655634383223443</v>
      </c>
      <c r="AO8" s="407">
        <f t="shared" si="11"/>
        <v>110.69713658687742</v>
      </c>
      <c r="AP8" s="407">
        <f t="shared" si="12"/>
        <v>174.00652312712381</v>
      </c>
      <c r="AQ8" s="407">
        <f t="shared" si="13"/>
        <v>303.6389440973112</v>
      </c>
      <c r="AR8" s="407"/>
      <c r="AS8" s="407">
        <f t="shared" si="14"/>
        <v>228.14111108011312</v>
      </c>
      <c r="AT8" s="407">
        <f t="shared" si="15"/>
        <v>161.58914080083255</v>
      </c>
      <c r="AU8" s="407">
        <f t="shared" si="16"/>
        <v>119.32510828577509</v>
      </c>
      <c r="AV8" s="407">
        <f t="shared" si="17"/>
        <v>111.15749735314145</v>
      </c>
      <c r="AW8" s="407">
        <f t="shared" si="18"/>
        <v>43.251001730071827</v>
      </c>
      <c r="AX8" s="407">
        <f t="shared" si="19"/>
        <v>12.970242202132708</v>
      </c>
      <c r="AY8" s="407">
        <f t="shared" si="20"/>
        <v>35.798055315652441</v>
      </c>
      <c r="AZ8" s="407">
        <f t="shared" si="21"/>
        <v>25.832948612151448</v>
      </c>
      <c r="BA8" s="407">
        <f t="shared" si="22"/>
        <v>25.498812857827659</v>
      </c>
      <c r="BB8" s="407">
        <f t="shared" si="23"/>
        <v>68.411267627097899</v>
      </c>
      <c r="BC8" s="407">
        <f t="shared" si="24"/>
        <v>137.01551654807955</v>
      </c>
      <c r="BD8" s="407">
        <f t="shared" si="25"/>
        <v>262.75239247382899</v>
      </c>
    </row>
    <row r="9" spans="1:56" ht="15">
      <c r="A9" s="55" t="str">
        <f>VLOOKUP(CONCATENATE($C9," - ",$B9),[2]ACHIEV!$B$12:$C$100,2,FALSE)</f>
        <v>LO5Med</v>
      </c>
      <c r="B9" s="55" t="str">
        <f>'SC-NR'!$C$7</f>
        <v>NR</v>
      </c>
      <c r="C9" s="55" t="str">
        <f>'SC-NR'!$C$8</f>
        <v>ASHP</v>
      </c>
      <c r="D9" s="55" t="s">
        <v>517</v>
      </c>
      <c r="E9" s="55" t="str">
        <f>'SC-NR'!$A$9</f>
        <v>HVAC</v>
      </c>
      <c r="F9" s="406">
        <f t="shared" si="1"/>
        <v>0.99094554744612473</v>
      </c>
      <c r="G9" s="57">
        <f>'SC-NR'!A61</f>
        <v>2721.7747534126584</v>
      </c>
      <c r="H9" s="57">
        <f>'SC-NR'!B61</f>
        <v>101.92281262146766</v>
      </c>
      <c r="I9" s="7" t="str">
        <f>'SC-NR'!C61</f>
        <v>Single Family</v>
      </c>
      <c r="J9" s="7" t="str">
        <f>'SC-NR'!D61</f>
        <v>Existing Single Family Home HVAC Conversion - Convert FAF w/o CAC to Heat Pump - House with "Good Insulation" + HZ23CZ23</v>
      </c>
      <c r="K9" s="29">
        <f>'SC-NR'!E61</f>
        <v>1.7658379625596819E-2</v>
      </c>
      <c r="L9" s="29">
        <f>'SC-NR'!F61</f>
        <v>3.9250720956548454E-2</v>
      </c>
      <c r="M9" s="29">
        <f>'SC-NR'!G61</f>
        <v>6.5573255101471536E-2</v>
      </c>
      <c r="N9" s="29">
        <f>'SC-NR'!H61</f>
        <v>9.6014511232582658E-2</v>
      </c>
      <c r="O9" s="29">
        <f>'SC-NR'!I61</f>
        <v>0.13060920095394613</v>
      </c>
      <c r="P9" s="29">
        <f>'SC-NR'!J61</f>
        <v>0.17092044620704186</v>
      </c>
      <c r="Q9" s="29">
        <f>'SC-NR'!K61</f>
        <v>0.2149785861365468</v>
      </c>
      <c r="R9" s="29">
        <f>'SC-NR'!L61</f>
        <v>0.25979230904766437</v>
      </c>
      <c r="S9" s="29">
        <f>'SC-NR'!M61</f>
        <v>0.30179703098896077</v>
      </c>
      <c r="T9" s="29">
        <f>'SC-NR'!N61</f>
        <v>0.33764228674048652</v>
      </c>
      <c r="U9" s="29">
        <f>'SC-NR'!O61</f>
        <v>0.36508028048430785</v>
      </c>
      <c r="V9" s="29">
        <f>'SC-NR'!P61</f>
        <v>0.38356358222016751</v>
      </c>
      <c r="W9" s="29">
        <f>'SC-NR'!Q61</f>
        <v>0.39422298971495184</v>
      </c>
      <c r="X9" s="29">
        <f>'SC-NR'!R61</f>
        <v>0.39921819077702891</v>
      </c>
      <c r="Y9" s="29">
        <f>'SC-NR'!S61</f>
        <v>0.40083309517735582</v>
      </c>
      <c r="Z9" s="29">
        <f>'SC-NR'!T61</f>
        <v>0.49058261413458265</v>
      </c>
      <c r="AA9" s="29">
        <f>'SC-NR'!U61</f>
        <v>0.48255731076422875</v>
      </c>
      <c r="AB9" s="29">
        <f>'SC-NR'!V61</f>
        <v>0.47333716183623159</v>
      </c>
      <c r="AC9" s="29">
        <f>'SC-NR'!W61</f>
        <v>0.46545326238084139</v>
      </c>
      <c r="AD9" s="29">
        <f>'SC-NR'!X61</f>
        <v>0.457665178096678</v>
      </c>
      <c r="AE9" s="29">
        <f>'SC-NR'!Y61</f>
        <v>6.2691202038660805</v>
      </c>
      <c r="AF9" s="407">
        <f t="shared" si="2"/>
        <v>242.56634489099841</v>
      </c>
      <c r="AG9" s="407">
        <f t="shared" si="3"/>
        <v>177.12902057927246</v>
      </c>
      <c r="AH9" s="407">
        <f t="shared" si="4"/>
        <v>143.49151349520014</v>
      </c>
      <c r="AI9" s="407">
        <f t="shared" si="5"/>
        <v>123.55677521827523</v>
      </c>
      <c r="AJ9" s="407">
        <f t="shared" si="6"/>
        <v>41.495540902626814</v>
      </c>
      <c r="AK9" s="407">
        <f t="shared" si="7"/>
        <v>24.814704689679079</v>
      </c>
      <c r="AL9" s="407">
        <f t="shared" si="8"/>
        <v>53.666575522942487</v>
      </c>
      <c r="AM9" s="407">
        <f t="shared" si="9"/>
        <v>53.32240852998271</v>
      </c>
      <c r="AN9" s="407">
        <f t="shared" si="10"/>
        <v>36.771124368470623</v>
      </c>
      <c r="AO9" s="407">
        <f t="shared" si="11"/>
        <v>110.73908797151483</v>
      </c>
      <c r="AP9" s="407">
        <f t="shared" si="12"/>
        <v>175.54309817076413</v>
      </c>
      <c r="AQ9" s="407">
        <f t="shared" si="13"/>
        <v>306.32024601285127</v>
      </c>
      <c r="AR9" s="407"/>
      <c r="AS9" s="407">
        <f t="shared" si="14"/>
        <v>230.15572485098863</v>
      </c>
      <c r="AT9" s="407">
        <f t="shared" si="15"/>
        <v>163.01606340474231</v>
      </c>
      <c r="AU9" s="407">
        <f t="shared" si="16"/>
        <v>120.37881581453048</v>
      </c>
      <c r="AV9" s="407">
        <f t="shared" si="17"/>
        <v>112.04447005164052</v>
      </c>
      <c r="AW9" s="407">
        <f t="shared" si="18"/>
        <v>43.121700664606372</v>
      </c>
      <c r="AX9" s="407">
        <f t="shared" si="19"/>
        <v>12.659413716252459</v>
      </c>
      <c r="AY9" s="407">
        <f t="shared" si="20"/>
        <v>31.961252817943805</v>
      </c>
      <c r="AZ9" s="407">
        <f t="shared" si="21"/>
        <v>23.227788259416624</v>
      </c>
      <c r="BA9" s="407">
        <f t="shared" si="22"/>
        <v>23.777126118682819</v>
      </c>
      <c r="BB9" s="407">
        <f t="shared" si="23"/>
        <v>68.717873830895257</v>
      </c>
      <c r="BC9" s="407">
        <f t="shared" si="24"/>
        <v>138.22544028849848</v>
      </c>
      <c r="BD9" s="407">
        <f t="shared" si="25"/>
        <v>265.07264324188276</v>
      </c>
    </row>
    <row r="10" spans="1:56" ht="15">
      <c r="A10" s="55" t="str">
        <f>VLOOKUP(CONCATENATE($C10," - ",$B10),[2]ACHIEV!$B$12:$C$100,2,FALSE)</f>
        <v>LO5Med</v>
      </c>
      <c r="B10" s="55" t="str">
        <f>'SC-NR'!$C$7</f>
        <v>NR</v>
      </c>
      <c r="C10" s="55" t="str">
        <f>'SC-NR'!$C$8</f>
        <v>ASHP</v>
      </c>
      <c r="D10" s="55" t="s">
        <v>517</v>
      </c>
      <c r="E10" s="55" t="str">
        <f>'SC-NR'!$A$9</f>
        <v>HVAC</v>
      </c>
      <c r="F10" s="406">
        <f t="shared" si="1"/>
        <v>0.98227153967436376</v>
      </c>
      <c r="G10" s="57">
        <f>'SC-NR'!A62</f>
        <v>2664.0365823158331</v>
      </c>
      <c r="H10" s="57">
        <f>'SC-NR'!B62</f>
        <v>134.8540761670649</v>
      </c>
      <c r="I10" t="str">
        <f>'SC-NR'!C62</f>
        <v>Single Family</v>
      </c>
      <c r="J10" t="str">
        <f>'SC-NR'!D62</f>
        <v>Existing Single Family Home HVAC Conversion - Convert FAF w/o CAC to Heat Pump - House with "Good Insulation" + HZ1CZ1</v>
      </c>
      <c r="K10" s="41">
        <f>'SC-NR'!E62</f>
        <v>7.2305505048060756E-2</v>
      </c>
      <c r="L10" s="41">
        <f>'SC-NR'!F62</f>
        <v>0.16071934472117891</v>
      </c>
      <c r="M10" s="41">
        <f>'SC-NR'!G62</f>
        <v>0.26850183472578831</v>
      </c>
      <c r="N10" s="41">
        <f>'SC-NR'!H62</f>
        <v>0.39314919453601632</v>
      </c>
      <c r="O10" s="41">
        <f>'SC-NR'!I62</f>
        <v>0.53480355724199413</v>
      </c>
      <c r="P10" s="41">
        <f>'SC-NR'!J62</f>
        <v>0.69986541506479627</v>
      </c>
      <c r="Q10" s="41">
        <f>'SC-NR'!K62</f>
        <v>0.88026962692482524</v>
      </c>
      <c r="R10" s="41">
        <f>'SC-NR'!L62</f>
        <v>1.0637677132087584</v>
      </c>
      <c r="S10" s="41">
        <f>'SC-NR'!M62</f>
        <v>1.2357638248999034</v>
      </c>
      <c r="T10" s="41">
        <f>'SC-NR'!N62</f>
        <v>1.3825388617744081</v>
      </c>
      <c r="U10" s="41">
        <f>'SC-NR'!O62</f>
        <v>1.4948888076480786</v>
      </c>
      <c r="V10" s="41">
        <f>'SC-NR'!P62</f>
        <v>1.5705721090213134</v>
      </c>
      <c r="W10" s="41">
        <f>'SC-NR'!Q62</f>
        <v>1.6142190267320551</v>
      </c>
      <c r="X10" s="41">
        <f>'SC-NR'!R62</f>
        <v>1.6346728024050243</v>
      </c>
      <c r="Y10" s="41">
        <f>'SC-NR'!S62</f>
        <v>1.6412853274920214</v>
      </c>
      <c r="Z10" s="41">
        <f>'SC-NR'!T62</f>
        <v>2.0087813511144872</v>
      </c>
      <c r="AA10" s="41">
        <f>'SC-NR'!U62</f>
        <v>1.97592026047873</v>
      </c>
      <c r="AB10" s="41">
        <f>'SC-NR'!V62</f>
        <v>1.9381666534665212</v>
      </c>
      <c r="AC10" s="41">
        <f>'SC-NR'!W62</f>
        <v>1.9058845673432965</v>
      </c>
      <c r="AD10" s="41">
        <f>'SC-NR'!X62</f>
        <v>1.8739948141800431</v>
      </c>
      <c r="AE10" s="41">
        <f>'SC-NR'!Y62</f>
        <v>25.670073481174132</v>
      </c>
      <c r="AF10" s="407">
        <f t="shared" si="2"/>
        <v>240.44309768919737</v>
      </c>
      <c r="AG10" s="407">
        <f t="shared" si="3"/>
        <v>175.57856353845051</v>
      </c>
      <c r="AH10" s="407">
        <f t="shared" si="4"/>
        <v>142.23549442690035</v>
      </c>
      <c r="AI10" s="407">
        <f t="shared" si="5"/>
        <v>122.22496079068762</v>
      </c>
      <c r="AJ10" s="407">
        <f t="shared" si="6"/>
        <v>39.905707930182125</v>
      </c>
      <c r="AK10" s="407">
        <f t="shared" si="7"/>
        <v>23.209617560244467</v>
      </c>
      <c r="AL10" s="407">
        <f t="shared" si="8"/>
        <v>43.702008599026712</v>
      </c>
      <c r="AM10" s="407">
        <f t="shared" si="9"/>
        <v>43.325924197056416</v>
      </c>
      <c r="AN10" s="407">
        <f t="shared" si="10"/>
        <v>32.609878503965305</v>
      </c>
      <c r="AO10" s="407">
        <f t="shared" si="11"/>
        <v>109.08587679242567</v>
      </c>
      <c r="AP10" s="407">
        <f t="shared" si="12"/>
        <v>174.00652312712381</v>
      </c>
      <c r="AQ10" s="407">
        <f t="shared" si="13"/>
        <v>303.6389440973112</v>
      </c>
      <c r="AR10" s="407"/>
      <c r="AS10" s="407">
        <f t="shared" si="14"/>
        <v>228.14111108011312</v>
      </c>
      <c r="AT10" s="407">
        <f t="shared" si="15"/>
        <v>161.58914080083255</v>
      </c>
      <c r="AU10" s="407">
        <f t="shared" si="16"/>
        <v>119.32510828577509</v>
      </c>
      <c r="AV10" s="407">
        <f t="shared" si="17"/>
        <v>110.99455679909522</v>
      </c>
      <c r="AW10" s="407">
        <f t="shared" si="18"/>
        <v>42.370543601306274</v>
      </c>
      <c r="AX10" s="407">
        <f t="shared" si="19"/>
        <v>12.237669572983741</v>
      </c>
      <c r="AY10" s="407">
        <f t="shared" si="20"/>
        <v>28.645775615041035</v>
      </c>
      <c r="AZ10" s="407">
        <f t="shared" si="21"/>
        <v>20.953391014081873</v>
      </c>
      <c r="BA10" s="407">
        <f t="shared" si="22"/>
        <v>22.145881081478514</v>
      </c>
      <c r="BB10" s="407">
        <f t="shared" si="23"/>
        <v>67.898898190646165</v>
      </c>
      <c r="BC10" s="407">
        <f t="shared" si="24"/>
        <v>137.01551654807955</v>
      </c>
      <c r="BD10" s="407">
        <f t="shared" si="25"/>
        <v>262.75239247382899</v>
      </c>
    </row>
    <row r="11" spans="1:56" ht="15">
      <c r="A11" s="55" t="str">
        <f>VLOOKUP(CONCATENATE($C11," - ",$B11),[2]ACHIEV!$B$12:$C$100,2,FALSE)</f>
        <v>LO5Med</v>
      </c>
      <c r="B11" s="55" t="str">
        <f>'SC-NR'!$C$7</f>
        <v>NR</v>
      </c>
      <c r="C11" s="55" t="str">
        <f>'SC-NR'!$C$8</f>
        <v>ASHP</v>
      </c>
      <c r="D11" s="55" t="s">
        <v>517</v>
      </c>
      <c r="E11" s="55" t="str">
        <f>'SC-NR'!$A$9</f>
        <v>HVAC</v>
      </c>
      <c r="F11" s="406">
        <f t="shared" si="1"/>
        <v>0.93249217108520432</v>
      </c>
      <c r="G11" s="57">
        <f>'SC-NR'!A63</f>
        <v>2521.5432350451379</v>
      </c>
      <c r="H11" s="57">
        <f>'SC-NR'!B63</f>
        <v>151.48739454562457</v>
      </c>
      <c r="I11" t="str">
        <f>'SC-NR'!C63</f>
        <v>Single Family</v>
      </c>
      <c r="J11" t="str">
        <f>'SC-NR'!D63</f>
        <v>Existing Single Family Home HVAC Conversion - Convert FAF w/o CAC to Heat Pump - House with "Good Insulation" + HZ23CZ1</v>
      </c>
      <c r="K11" s="41">
        <f>'SC-NR'!E63</f>
        <v>9.6578093179769901E-3</v>
      </c>
      <c r="L11" s="41">
        <f>'SC-NR'!F63</f>
        <v>2.1467200650844336E-2</v>
      </c>
      <c r="M11" s="41">
        <f>'SC-NR'!G63</f>
        <v>3.5863652699542059E-2</v>
      </c>
      <c r="N11" s="41">
        <f>'SC-NR'!H63</f>
        <v>5.2512736780156437E-2</v>
      </c>
      <c r="O11" s="41">
        <f>'SC-NR'!I63</f>
        <v>7.1433437536821381E-2</v>
      </c>
      <c r="P11" s="41">
        <f>'SC-NR'!J63</f>
        <v>9.3480665441032076E-2</v>
      </c>
      <c r="Q11" s="41">
        <f>'SC-NR'!K63</f>
        <v>0.1175771637248901</v>
      </c>
      <c r="R11" s="41">
        <f>'SC-NR'!L63</f>
        <v>0.14208690923273154</v>
      </c>
      <c r="S11" s="41">
        <f>'SC-NR'!M63</f>
        <v>0.16506034187859209</v>
      </c>
      <c r="T11" s="41">
        <f>'SC-NR'!N63</f>
        <v>0.18466500846422471</v>
      </c>
      <c r="U11" s="41">
        <f>'SC-NR'!O63</f>
        <v>0.1996715332566554</v>
      </c>
      <c r="V11" s="41">
        <f>'SC-NR'!P63</f>
        <v>0.20978051310171481</v>
      </c>
      <c r="W11" s="41">
        <f>'SC-NR'!Q63</f>
        <v>0.21561040957069857</v>
      </c>
      <c r="X11" s="41">
        <f>'SC-NR'!R63</f>
        <v>0.21834240992324314</v>
      </c>
      <c r="Y11" s="41">
        <f>'SC-NR'!S63</f>
        <v>0.21922564151616408</v>
      </c>
      <c r="Z11" s="41">
        <f>'SC-NR'!T63</f>
        <v>0.26831189738148742</v>
      </c>
      <c r="AA11" s="41">
        <f>'SC-NR'!U63</f>
        <v>0.2639226583169107</v>
      </c>
      <c r="AB11" s="41">
        <f>'SC-NR'!V63</f>
        <v>0.25887992834292889</v>
      </c>
      <c r="AC11" s="41">
        <f>'SC-NR'!W63</f>
        <v>0.25456802661487393</v>
      </c>
      <c r="AD11" s="41">
        <f>'SC-NR'!X63</f>
        <v>0.25030852859956604</v>
      </c>
      <c r="AE11" s="41">
        <f>'SC-NR'!Y63</f>
        <v>3.4287385821432248</v>
      </c>
      <c r="AF11" s="407">
        <f t="shared" si="2"/>
        <v>228.25796852566918</v>
      </c>
      <c r="AG11" s="407">
        <f t="shared" si="3"/>
        <v>166.68062678907347</v>
      </c>
      <c r="AH11" s="407">
        <f t="shared" si="4"/>
        <v>135.02731133540482</v>
      </c>
      <c r="AI11" s="407">
        <f t="shared" si="5"/>
        <v>115.97562109629546</v>
      </c>
      <c r="AJ11" s="407">
        <f t="shared" si="6"/>
        <v>37.612623117495893</v>
      </c>
      <c r="AK11" s="407">
        <f t="shared" si="7"/>
        <v>21.727057649498658</v>
      </c>
      <c r="AL11" s="407">
        <f t="shared" si="8"/>
        <v>39.391489339278571</v>
      </c>
      <c r="AM11" s="407">
        <f t="shared" si="9"/>
        <v>39.026753943521236</v>
      </c>
      <c r="AN11" s="407">
        <f t="shared" si="10"/>
        <v>30.109812079722033</v>
      </c>
      <c r="AO11" s="407">
        <f t="shared" si="11"/>
        <v>103.4066896496533</v>
      </c>
      <c r="AP11" s="407">
        <f t="shared" si="12"/>
        <v>165.18825394003653</v>
      </c>
      <c r="AQ11" s="407">
        <f t="shared" si="13"/>
        <v>288.25118795683085</v>
      </c>
      <c r="AR11" s="407"/>
      <c r="AS11" s="407">
        <f t="shared" si="14"/>
        <v>216.57941963320198</v>
      </c>
      <c r="AT11" s="407">
        <f t="shared" si="15"/>
        <v>153.40015733237448</v>
      </c>
      <c r="AU11" s="407">
        <f t="shared" si="16"/>
        <v>113.2779733466236</v>
      </c>
      <c r="AV11" s="407">
        <f t="shared" si="17"/>
        <v>105.35433054635955</v>
      </c>
      <c r="AW11" s="407">
        <f t="shared" si="18"/>
        <v>40.140809888821451</v>
      </c>
      <c r="AX11" s="407">
        <f t="shared" si="19"/>
        <v>11.548858809080393</v>
      </c>
      <c r="AY11" s="407">
        <f t="shared" si="20"/>
        <v>26.523995240282602</v>
      </c>
      <c r="AZ11" s="407">
        <f t="shared" si="21"/>
        <v>19.434368227043592</v>
      </c>
      <c r="BA11" s="407">
        <f t="shared" si="22"/>
        <v>20.709450425381654</v>
      </c>
      <c r="BB11" s="407">
        <f t="shared" si="23"/>
        <v>64.409928529307223</v>
      </c>
      <c r="BC11" s="407">
        <f t="shared" si="24"/>
        <v>130.07187049381022</v>
      </c>
      <c r="BD11" s="407">
        <f t="shared" si="25"/>
        <v>249.43667715037139</v>
      </c>
    </row>
    <row r="12" spans="1:56" ht="15">
      <c r="A12" s="55" t="str">
        <f>VLOOKUP(CONCATENATE($C12," - ",$B12),[2]ACHIEV!$B$12:$C$100,2,FALSE)</f>
        <v>LO5Med</v>
      </c>
      <c r="B12" s="55" t="str">
        <f>'SC-NR (2)'!$C$7</f>
        <v>NR</v>
      </c>
      <c r="C12" s="55" t="str">
        <f>'SC-NR (2)'!$C$8</f>
        <v>ASHP</v>
      </c>
      <c r="D12" s="55" t="s">
        <v>517</v>
      </c>
      <c r="E12" s="55" t="str">
        <f>'SC-NR (2)'!$A$9</f>
        <v>HVAC</v>
      </c>
      <c r="F12" s="406">
        <f t="shared" si="1"/>
        <v>4.3346970370706665E-2</v>
      </c>
      <c r="G12" s="57">
        <f>'SC-NR (2)'!A58</f>
        <v>124.08062075865485</v>
      </c>
      <c r="H12" s="57">
        <f>'SC-NR (2)'!B58</f>
        <v>43.176739339049384</v>
      </c>
      <c r="I12" t="str">
        <f>'SC-NR (2)'!C58</f>
        <v>Single Family</v>
      </c>
      <c r="J12" t="str">
        <f>'SC-NR (2)'!D58</f>
        <v>Existing Single Family Home HVAC Upgrade + HZ1</v>
      </c>
      <c r="K12" s="41">
        <f>'SC-NR (2)'!E58</f>
        <v>1.4736942487670303E-2</v>
      </c>
      <c r="L12" s="41">
        <f>'SC-NR (2)'!F58</f>
        <v>3.2757004300540404E-2</v>
      </c>
      <c r="M12" s="41">
        <f>'SC-NR (2)'!G58</f>
        <v>5.4724686502885075E-2</v>
      </c>
      <c r="N12" s="41">
        <f>'SC-NR (2)'!H58</f>
        <v>8.0129681206155517E-2</v>
      </c>
      <c r="O12" s="41">
        <f>'SC-NR (2)'!I58</f>
        <v>0.10900095725820726</v>
      </c>
      <c r="P12" s="41">
        <f>'SC-NR (2)'!J58</f>
        <v>0.14264303062490022</v>
      </c>
      <c r="Q12" s="41">
        <f>'SC-NR (2)'!K58</f>
        <v>0.17941210502591004</v>
      </c>
      <c r="R12" s="41">
        <f>'SC-NR (2)'!L58</f>
        <v>0.21681175727045807</v>
      </c>
      <c r="S12" s="41">
        <f>'SC-NR (2)'!M58</f>
        <v>0.25186713520344584</v>
      </c>
      <c r="T12" s="41">
        <f>'SC-NR (2)'!N58</f>
        <v>0.28178208117619757</v>
      </c>
      <c r="U12" s="41">
        <f>'SC-NR (2)'!O58</f>
        <v>0.30468067914232244</v>
      </c>
      <c r="V12" s="41">
        <f>'SC-NR (2)'!P58</f>
        <v>0.32010606700003835</v>
      </c>
      <c r="W12" s="41">
        <f>'SC-NR (2)'!Q58</f>
        <v>0.32900196110436331</v>
      </c>
      <c r="X12" s="41">
        <f>'SC-NR (2)'!R58</f>
        <v>0.33317074625492549</v>
      </c>
      <c r="Y12" s="41">
        <f>'SC-NR (2)'!S58</f>
        <v>0.33451847768755405</v>
      </c>
      <c r="Z12" s="41">
        <f>'SC-NR (2)'!T58</f>
        <v>0.40941965929152724</v>
      </c>
      <c r="AA12" s="41">
        <f>'SC-NR (2)'!U58</f>
        <v>0.4027220779322741</v>
      </c>
      <c r="AB12" s="41">
        <f>'SC-NR (2)'!V58</f>
        <v>0.39502732862001622</v>
      </c>
      <c r="AC12" s="41">
        <f>'SC-NR (2)'!W58</f>
        <v>0.38844775703326406</v>
      </c>
      <c r="AD12" s="41">
        <f>'SC-NR (2)'!X58</f>
        <v>0.3819481487669158</v>
      </c>
      <c r="AE12" s="41">
        <f>'SC-NR (2)'!Y58</f>
        <v>5.2319445980618298</v>
      </c>
      <c r="AF12" s="407">
        <f t="shared" si="2"/>
        <v>10.610589241779071</v>
      </c>
      <c r="AG12" s="407">
        <f t="shared" si="3"/>
        <v>7.7481617699679397</v>
      </c>
      <c r="AH12" s="407">
        <f t="shared" si="4"/>
        <v>6.2767549639375693</v>
      </c>
      <c r="AI12" s="407">
        <f t="shared" si="5"/>
        <v>5.441811550458886</v>
      </c>
      <c r="AJ12" s="407">
        <f t="shared" si="6"/>
        <v>1.9967766602870736</v>
      </c>
      <c r="AK12" s="407">
        <f t="shared" si="7"/>
        <v>1.2909862967048349</v>
      </c>
      <c r="AL12" s="407">
        <f t="shared" si="8"/>
        <v>3.7535222094406371</v>
      </c>
      <c r="AM12" s="407">
        <f t="shared" si="9"/>
        <v>3.7436397019873975</v>
      </c>
      <c r="AN12" s="407">
        <f t="shared" si="10"/>
        <v>2.1770125722317299</v>
      </c>
      <c r="AO12" s="407">
        <f t="shared" si="11"/>
        <v>4.9453330739294623</v>
      </c>
      <c r="AP12" s="407">
        <f t="shared" si="12"/>
        <v>7.6787887031742885</v>
      </c>
      <c r="AQ12" s="407">
        <f t="shared" si="13"/>
        <v>13.399378666251623</v>
      </c>
      <c r="AR12" s="407"/>
      <c r="AS12" s="407">
        <f t="shared" si="14"/>
        <v>10.067710997315643</v>
      </c>
      <c r="AT12" s="407">
        <f t="shared" si="15"/>
        <v>7.1308181247353346</v>
      </c>
      <c r="AU12" s="407">
        <f t="shared" si="16"/>
        <v>5.2657353129253561</v>
      </c>
      <c r="AV12" s="407">
        <f t="shared" si="17"/>
        <v>4.9114066188347252</v>
      </c>
      <c r="AW12" s="407">
        <f t="shared" si="18"/>
        <v>1.9416116454835579</v>
      </c>
      <c r="AX12" s="407">
        <f t="shared" si="19"/>
        <v>0.59980391695016422</v>
      </c>
      <c r="AY12" s="407">
        <f t="shared" si="20"/>
        <v>1.8476079231232834</v>
      </c>
      <c r="AZ12" s="407">
        <f t="shared" si="21"/>
        <v>1.3227375289491934</v>
      </c>
      <c r="BA12" s="407">
        <f t="shared" si="22"/>
        <v>1.2508177803952734</v>
      </c>
      <c r="BB12" s="407">
        <f t="shared" si="23"/>
        <v>3.0381314420568901</v>
      </c>
      <c r="BC12" s="407">
        <f t="shared" si="24"/>
        <v>6.0464009148688147</v>
      </c>
      <c r="BD12" s="407">
        <f t="shared" si="25"/>
        <v>11.595083142866111</v>
      </c>
    </row>
    <row r="13" spans="1:56" ht="15">
      <c r="A13" s="55" t="str">
        <f>VLOOKUP(CONCATENATE($C13," - ",$B13),[2]ACHIEV!$B$12:$C$100,2,FALSE)</f>
        <v>LO5Med</v>
      </c>
      <c r="B13" s="55" t="str">
        <f>'SC-NR (2)'!$C$7</f>
        <v>NR</v>
      </c>
      <c r="C13" s="55" t="str">
        <f>'SC-NR (2)'!$C$8</f>
        <v>ASHP</v>
      </c>
      <c r="D13" s="55" t="s">
        <v>517</v>
      </c>
      <c r="E13" s="55" t="str">
        <f>'SC-NR (2)'!$A$9</f>
        <v>HVAC</v>
      </c>
      <c r="F13" s="406">
        <f t="shared" si="1"/>
        <v>3.0337996719571263E-2</v>
      </c>
      <c r="G13" s="57">
        <f>'SC-NR (2)'!A59</f>
        <v>86.842458591402192</v>
      </c>
      <c r="H13" s="57">
        <f>'SC-NR (2)'!B59</f>
        <v>78.606411348488919</v>
      </c>
      <c r="I13" t="str">
        <f>'SC-NR (2)'!C59</f>
        <v>Single Family</v>
      </c>
      <c r="J13" t="str">
        <f>'SC-NR (2)'!D59</f>
        <v>Existing Single Family Home HVAC Upgrade + HZ23</v>
      </c>
      <c r="K13" s="41">
        <f>'SC-NR (2)'!E59</f>
        <v>2.034053541413402E-3</v>
      </c>
      <c r="L13" s="41">
        <f>'SC-NR (2)'!F59</f>
        <v>4.5212567436803096E-3</v>
      </c>
      <c r="M13" s="41">
        <f>'SC-NR (2)'!G59</f>
        <v>7.5533267824762062E-3</v>
      </c>
      <c r="N13" s="41">
        <f>'SC-NR (2)'!H59</f>
        <v>1.1059828859756485E-2</v>
      </c>
      <c r="O13" s="41">
        <f>'SC-NR (2)'!I59</f>
        <v>1.5044761375299164E-2</v>
      </c>
      <c r="P13" s="41">
        <f>'SC-NR (2)'!J59</f>
        <v>1.9688178999359464E-2</v>
      </c>
      <c r="Q13" s="41">
        <f>'SC-NR (2)'!K59</f>
        <v>2.4763198194313933E-2</v>
      </c>
      <c r="R13" s="41">
        <f>'SC-NR (2)'!L59</f>
        <v>2.9925252342201069E-2</v>
      </c>
      <c r="S13" s="41">
        <f>'SC-NR (2)'!M59</f>
        <v>3.4763740087527896E-2</v>
      </c>
      <c r="T13" s="41">
        <f>'SC-NR (2)'!N59</f>
        <v>3.8892724227078908E-2</v>
      </c>
      <c r="U13" s="41">
        <f>'SC-NR (2)'!O59</f>
        <v>4.2053283096421493E-2</v>
      </c>
      <c r="V13" s="41">
        <f>'SC-NR (2)'!P59</f>
        <v>4.4182358705280887E-2</v>
      </c>
      <c r="W13" s="41">
        <f>'SC-NR (2)'!Q59</f>
        <v>4.5410206674564864E-2</v>
      </c>
      <c r="X13" s="41">
        <f>'SC-NR (2)'!R59</f>
        <v>4.5985599582964089E-2</v>
      </c>
      <c r="Y13" s="41">
        <f>'SC-NR (2)'!S59</f>
        <v>4.6171619030058064E-2</v>
      </c>
      <c r="Z13" s="41">
        <f>'SC-NR (2)'!T59</f>
        <v>5.6509788825120817E-2</v>
      </c>
      <c r="AA13" s="41">
        <f>'SC-NR (2)'!U59</f>
        <v>5.5585361041400348E-2</v>
      </c>
      <c r="AB13" s="41">
        <f>'SC-NR (2)'!V59</f>
        <v>5.4523300026913697E-2</v>
      </c>
      <c r="AC13" s="41">
        <f>'SC-NR (2)'!W59</f>
        <v>5.3615160438378738E-2</v>
      </c>
      <c r="AD13" s="41">
        <f>'SC-NR (2)'!X59</f>
        <v>5.2718057716899941E-2</v>
      </c>
      <c r="AE13" s="41">
        <f>'SC-NR (2)'!Y59</f>
        <v>0.72213455722379882</v>
      </c>
      <c r="AF13" s="407">
        <f t="shared" si="2"/>
        <v>7.4262173078501981</v>
      </c>
      <c r="AG13" s="407">
        <f t="shared" si="3"/>
        <v>5.4228404972645539</v>
      </c>
      <c r="AH13" s="407">
        <f t="shared" si="4"/>
        <v>4.3930214701735384</v>
      </c>
      <c r="AI13" s="407">
        <f t="shared" si="5"/>
        <v>3.8086551299283466</v>
      </c>
      <c r="AJ13" s="407">
        <f t="shared" si="6"/>
        <v>1.3975187598051817</v>
      </c>
      <c r="AK13" s="407">
        <f t="shared" si="7"/>
        <v>0.90354500603081045</v>
      </c>
      <c r="AL13" s="407">
        <f t="shared" si="8"/>
        <v>2.6270428453575256</v>
      </c>
      <c r="AM13" s="407">
        <f t="shared" si="9"/>
        <v>2.6201262036228599</v>
      </c>
      <c r="AN13" s="407">
        <f t="shared" si="10"/>
        <v>1.5236636214346388</v>
      </c>
      <c r="AO13" s="407">
        <f t="shared" si="11"/>
        <v>3.4611761230861458</v>
      </c>
      <c r="AP13" s="407">
        <f t="shared" si="12"/>
        <v>5.3742871645907053</v>
      </c>
      <c r="AQ13" s="407">
        <f t="shared" si="13"/>
        <v>9.3780557797817732</v>
      </c>
      <c r="AR13" s="407"/>
      <c r="AS13" s="407">
        <f t="shared" si="14"/>
        <v>7.0462636857445071</v>
      </c>
      <c r="AT13" s="407">
        <f t="shared" si="15"/>
        <v>4.9907694822952644</v>
      </c>
      <c r="AU13" s="407">
        <f t="shared" si="16"/>
        <v>3.6854215942532926</v>
      </c>
      <c r="AV13" s="407">
        <f t="shared" si="17"/>
        <v>3.4374314201163703</v>
      </c>
      <c r="AW13" s="407">
        <f t="shared" si="18"/>
        <v>1.3589094550608349</v>
      </c>
      <c r="AX13" s="407">
        <f t="shared" si="19"/>
        <v>0.41979518377011948</v>
      </c>
      <c r="AY13" s="407">
        <f t="shared" si="20"/>
        <v>1.2931174630988536</v>
      </c>
      <c r="AZ13" s="407">
        <f t="shared" si="21"/>
        <v>0.92576729866871887</v>
      </c>
      <c r="BA13" s="407">
        <f t="shared" si="22"/>
        <v>0.87543156947180745</v>
      </c>
      <c r="BB13" s="407">
        <f t="shared" si="23"/>
        <v>2.1263498007796389</v>
      </c>
      <c r="BC13" s="407">
        <f t="shared" si="24"/>
        <v>4.2317995825716652</v>
      </c>
      <c r="BD13" s="407">
        <f t="shared" si="25"/>
        <v>8.1152521466448526</v>
      </c>
    </row>
    <row r="14" spans="1:56" ht="15">
      <c r="A14" s="55" t="str">
        <f>VLOOKUP(CONCATENATE($C14," - ",$B14),[2]ACHIEV!$B$12:$C$100,2,FALSE)</f>
        <v>LO5Med</v>
      </c>
      <c r="B14" s="55" t="str">
        <f>'SC-NR (2)'!$C$7</f>
        <v>NR</v>
      </c>
      <c r="C14" s="55" t="str">
        <f>'SC-NR (2)'!$C$8</f>
        <v>ASHP</v>
      </c>
      <c r="D14" s="55" t="s">
        <v>517</v>
      </c>
      <c r="E14" s="55" t="str">
        <f>'SC-NR (2)'!$A$9</f>
        <v>HVAC</v>
      </c>
      <c r="F14" s="406">
        <f t="shared" si="1"/>
        <v>0.26492414811323056</v>
      </c>
      <c r="G14" s="57">
        <f>'SC-NR (2)'!A60</f>
        <v>826.55856987151878</v>
      </c>
      <c r="H14" s="57">
        <f>'SC-NR (2)'!B60</f>
        <v>659.71987190261939</v>
      </c>
      <c r="I14" t="str">
        <f>'SC-NR (2)'!C60</f>
        <v>Single Family</v>
      </c>
      <c r="J14" t="str">
        <f>'SC-NR (2)'!D60</f>
        <v>Existing Single Family Home HVAC Upgrade - Central Heat Pump Upgrade to Variable Capacity Central Heat Pump + HZ23CZ1</v>
      </c>
      <c r="K14" s="41">
        <f>'SC-NR (2)'!E60</f>
        <v>5.9420842161300863E-3</v>
      </c>
      <c r="L14" s="41">
        <f>'SC-NR (2)'!F60</f>
        <v>1.3207955339772585E-2</v>
      </c>
      <c r="M14" s="41">
        <f>'SC-NR (2)'!G60</f>
        <v>2.2065546918807761E-2</v>
      </c>
      <c r="N14" s="41">
        <f>'SC-NR (2)'!H60</f>
        <v>3.2309097652853953E-2</v>
      </c>
      <c r="O14" s="41">
        <f>'SC-NR (2)'!I60</f>
        <v>4.3950288074270302E-2</v>
      </c>
      <c r="P14" s="41">
        <f>'SC-NR (2)'!J60</f>
        <v>5.7515112210441477E-2</v>
      </c>
      <c r="Q14" s="41">
        <f>'SC-NR (2)'!K60</f>
        <v>7.2340774780730352E-2</v>
      </c>
      <c r="R14" s="41">
        <f>'SC-NR (2)'!L60</f>
        <v>8.7420692713301065E-2</v>
      </c>
      <c r="S14" s="41">
        <f>'SC-NR (2)'!M60</f>
        <v>0.10155537554051289</v>
      </c>
      <c r="T14" s="41">
        <f>'SC-NR (2)'!N60</f>
        <v>0.11361738422649323</v>
      </c>
      <c r="U14" s="41">
        <f>'SC-NR (2)'!O60</f>
        <v>0.12285033045396605</v>
      </c>
      <c r="V14" s="41">
        <f>'SC-NR (2)'!P60</f>
        <v>0.12907000280416389</v>
      </c>
      <c r="W14" s="41">
        <f>'SC-NR (2)'!Q60</f>
        <v>0.13265691725333811</v>
      </c>
      <c r="X14" s="41">
        <f>'SC-NR (2)'!R60</f>
        <v>0.13433781357659633</v>
      </c>
      <c r="Y14" s="41">
        <f>'SC-NR (2)'!S60</f>
        <v>0.13488123251713333</v>
      </c>
      <c r="Z14" s="41">
        <f>'SC-NR (2)'!T60</f>
        <v>0.16508214626507192</v>
      </c>
      <c r="AA14" s="41">
        <f>'SC-NR (2)'!U60</f>
        <v>0.16238161374183233</v>
      </c>
      <c r="AB14" s="41">
        <f>'SC-NR (2)'!V60</f>
        <v>0.15927901301758443</v>
      </c>
      <c r="AC14" s="41">
        <f>'SC-NR (2)'!W60</f>
        <v>0.15662606322781306</v>
      </c>
      <c r="AD14" s="41">
        <f>'SC-NR (2)'!X60</f>
        <v>0.15400535545733698</v>
      </c>
      <c r="AE14" s="41">
        <f>'SC-NR (2)'!Y60</f>
        <v>2.109572962086312</v>
      </c>
      <c r="AF14" s="407">
        <f t="shared" si="2"/>
        <v>64.848853145163943</v>
      </c>
      <c r="AG14" s="407">
        <f t="shared" si="3"/>
        <v>47.354524175452617</v>
      </c>
      <c r="AH14" s="407">
        <f t="shared" si="4"/>
        <v>38.361711268762491</v>
      </c>
      <c r="AI14" s="407">
        <f t="shared" si="5"/>
        <v>33.762207401615235</v>
      </c>
      <c r="AJ14" s="407">
        <f t="shared" si="6"/>
        <v>14.670912188671847</v>
      </c>
      <c r="AK14" s="407">
        <f t="shared" si="7"/>
        <v>10.681693765477398</v>
      </c>
      <c r="AL14" s="407">
        <f t="shared" si="8"/>
        <v>42.038179078232822</v>
      </c>
      <c r="AM14" s="407">
        <f t="shared" si="9"/>
        <v>42.048037788541343</v>
      </c>
      <c r="AN14" s="407">
        <f t="shared" si="10"/>
        <v>21.027747699427763</v>
      </c>
      <c r="AO14" s="407">
        <f t="shared" si="11"/>
        <v>31.59999858798388</v>
      </c>
      <c r="AP14" s="407">
        <f t="shared" si="12"/>
        <v>46.93053605205818</v>
      </c>
      <c r="AQ14" s="407">
        <f t="shared" si="13"/>
        <v>81.893127663709336</v>
      </c>
      <c r="AR14" s="407"/>
      <c r="AS14" s="407">
        <f t="shared" si="14"/>
        <v>61.530938300972842</v>
      </c>
      <c r="AT14" s="407">
        <f t="shared" si="15"/>
        <v>43.581498335176391</v>
      </c>
      <c r="AU14" s="407">
        <f t="shared" si="16"/>
        <v>32.182651521806072</v>
      </c>
      <c r="AV14" s="407">
        <f t="shared" si="17"/>
        <v>30.15620142120698</v>
      </c>
      <c r="AW14" s="407">
        <f t="shared" si="18"/>
        <v>12.61822717347115</v>
      </c>
      <c r="AX14" s="407">
        <f t="shared" si="19"/>
        <v>4.2912346272906285</v>
      </c>
      <c r="AY14" s="407">
        <f t="shared" si="20"/>
        <v>17.398037137545106</v>
      </c>
      <c r="AZ14" s="407">
        <f t="shared" si="21"/>
        <v>12.249929415538038</v>
      </c>
      <c r="BA14" s="407">
        <f t="shared" si="22"/>
        <v>10.507076905278243</v>
      </c>
      <c r="BB14" s="407">
        <f t="shared" si="23"/>
        <v>19.0055971058895</v>
      </c>
      <c r="BC14" s="407">
        <f t="shared" si="24"/>
        <v>36.953853933127014</v>
      </c>
      <c r="BD14" s="407">
        <f t="shared" si="25"/>
        <v>70.865795179120056</v>
      </c>
    </row>
    <row r="15" spans="1:56" ht="15">
      <c r="A15" s="55" t="str">
        <f>VLOOKUP(CONCATENATE($C15," - ",$B15),[2]ACHIEV!$B$12:$C$100,2,FALSE)</f>
        <v>LO5Med</v>
      </c>
      <c r="B15" s="55" t="str">
        <f>'SC-NR (2)'!$C$7</f>
        <v>NR</v>
      </c>
      <c r="C15" s="55" t="str">
        <f>'SC-NR (2)'!$C$8</f>
        <v>ASHP</v>
      </c>
      <c r="D15" s="55" t="s">
        <v>517</v>
      </c>
      <c r="E15" s="55" t="str">
        <f>'SC-NR (2)'!$A$9</f>
        <v>HVAC</v>
      </c>
      <c r="F15" s="406">
        <f t="shared" si="1"/>
        <v>0.23474106182134899</v>
      </c>
      <c r="G15" s="57">
        <f>'SC-NR (2)'!A61</f>
        <v>836.5766382149352</v>
      </c>
      <c r="H15" s="57">
        <f>'SC-NR (2)'!B61</f>
        <v>655.04492129634014</v>
      </c>
      <c r="I15" t="str">
        <f>'SC-NR (2)'!C61</f>
        <v>Single Family</v>
      </c>
      <c r="J15" t="str">
        <f>'SC-NR (2)'!D61</f>
        <v>Existing Single Family Home HVAC Upgrade - Central Heat Pump Upgrade to Variable Capacity Central Heat Pump + HZ23CZ23</v>
      </c>
      <c r="K15" s="41">
        <f>'SC-NR (2)'!E61</f>
        <v>2.2212223138289373E-2</v>
      </c>
      <c r="L15" s="41">
        <f>'SC-NR (2)'!F61</f>
        <v>4.9372920432732989E-2</v>
      </c>
      <c r="M15" s="41">
        <f>'SC-NR (2)'!G61</f>
        <v>8.2483659605241358E-2</v>
      </c>
      <c r="N15" s="41">
        <f>'SC-NR (2)'!H61</f>
        <v>0.12077528024827684</v>
      </c>
      <c r="O15" s="41">
        <f>'SC-NR (2)'!I61</f>
        <v>0.16429144559206266</v>
      </c>
      <c r="P15" s="41">
        <f>'SC-NR (2)'!J61</f>
        <v>0.21499838436724533</v>
      </c>
      <c r="Q15" s="41">
        <f>'SC-NR (2)'!K61</f>
        <v>0.27041848835875559</v>
      </c>
      <c r="R15" s="41">
        <f>'SC-NR (2)'!L61</f>
        <v>0.32678902937466553</v>
      </c>
      <c r="S15" s="41">
        <f>'SC-NR (2)'!M61</f>
        <v>0.37962616825174644</v>
      </c>
      <c r="T15" s="41">
        <f>'SC-NR (2)'!N61</f>
        <v>0.42471540271626096</v>
      </c>
      <c r="U15" s="41">
        <f>'SC-NR (2)'!O61</f>
        <v>0.45922926256222896</v>
      </c>
      <c r="V15" s="41">
        <f>'SC-NR (2)'!P61</f>
        <v>0.48247914342299181</v>
      </c>
      <c r="W15" s="41">
        <f>'SC-NR (2)'!Q61</f>
        <v>0.49588745963411746</v>
      </c>
      <c r="X15" s="41">
        <f>'SC-NR (2)'!R61</f>
        <v>0.50217085159668695</v>
      </c>
      <c r="Y15" s="41">
        <f>'SC-NR (2)'!S61</f>
        <v>0.50420221674159915</v>
      </c>
      <c r="Z15" s="41">
        <f>'SC-NR (2)'!T61</f>
        <v>0.61709685282374072</v>
      </c>
      <c r="AA15" s="41">
        <f>'SC-NR (2)'!U61</f>
        <v>0.6070019385114237</v>
      </c>
      <c r="AB15" s="41">
        <f>'SC-NR (2)'!V61</f>
        <v>0.59540404506371092</v>
      </c>
      <c r="AC15" s="41">
        <f>'SC-NR (2)'!W61</f>
        <v>0.58548700071332671</v>
      </c>
      <c r="AD15" s="41">
        <f>'SC-NR (2)'!X61</f>
        <v>0.57569048089624908</v>
      </c>
      <c r="AE15" s="41">
        <f>'SC-NR (2)'!Y61</f>
        <v>7.8858366283608037</v>
      </c>
      <c r="AF15" s="407">
        <f t="shared" si="2"/>
        <v>57.460555232912256</v>
      </c>
      <c r="AG15" s="407">
        <f t="shared" si="3"/>
        <v>41.959373526944042</v>
      </c>
      <c r="AH15" s="407">
        <f t="shared" si="4"/>
        <v>33.991121234688215</v>
      </c>
      <c r="AI15" s="407">
        <f t="shared" si="5"/>
        <v>30.684574624066375</v>
      </c>
      <c r="AJ15" s="407">
        <f t="shared" si="6"/>
        <v>16.767796159283208</v>
      </c>
      <c r="AK15" s="407">
        <f t="shared" si="7"/>
        <v>13.72850951712881</v>
      </c>
      <c r="AL15" s="407">
        <f t="shared" si="8"/>
        <v>66.418371374392351</v>
      </c>
      <c r="AM15" s="407">
        <f t="shared" si="9"/>
        <v>66.534417668964281</v>
      </c>
      <c r="AN15" s="407">
        <f t="shared" si="10"/>
        <v>30.427248957713843</v>
      </c>
      <c r="AO15" s="407">
        <f t="shared" si="11"/>
        <v>30.100780008885536</v>
      </c>
      <c r="AP15" s="407">
        <f t="shared" si="12"/>
        <v>41.583690815518608</v>
      </c>
      <c r="AQ15" s="407">
        <f t="shared" si="13"/>
        <v>72.562957663769012</v>
      </c>
      <c r="AR15" s="407"/>
      <c r="AS15" s="407">
        <f t="shared" si="14"/>
        <v>54.520653909815998</v>
      </c>
      <c r="AT15" s="407">
        <f t="shared" si="15"/>
        <v>38.616212481287754</v>
      </c>
      <c r="AU15" s="407">
        <f t="shared" si="16"/>
        <v>28.516048251012293</v>
      </c>
      <c r="AV15" s="407">
        <f t="shared" si="17"/>
        <v>26.932940095522007</v>
      </c>
      <c r="AW15" s="407">
        <f t="shared" si="18"/>
        <v>12.328692804438761</v>
      </c>
      <c r="AX15" s="407">
        <f t="shared" si="19"/>
        <v>4.7575679424593922</v>
      </c>
      <c r="AY15" s="407">
        <f t="shared" si="20"/>
        <v>24.742076605906828</v>
      </c>
      <c r="AZ15" s="407">
        <f t="shared" si="21"/>
        <v>17.216981901530115</v>
      </c>
      <c r="BA15" s="407">
        <f t="shared" si="22"/>
        <v>13.682050456380964</v>
      </c>
      <c r="BB15" s="407">
        <f t="shared" si="23"/>
        <v>17.508373674341886</v>
      </c>
      <c r="BC15" s="407">
        <f t="shared" si="24"/>
        <v>32.74366256316388</v>
      </c>
      <c r="BD15" s="407">
        <f t="shared" si="25"/>
        <v>62.79198074480891</v>
      </c>
    </row>
    <row r="16" spans="1:56" ht="15">
      <c r="A16" s="55" t="str">
        <f>VLOOKUP(CONCATENATE($C16," - ",$B16),[2]ACHIEV!$B$12:$C$100,2,FALSE)</f>
        <v>LO5Med</v>
      </c>
      <c r="B16" s="55" t="str">
        <f>'SC-NR (2)'!$C$7</f>
        <v>NR</v>
      </c>
      <c r="C16" s="55" t="str">
        <f>'SC-NR (2)'!$C$8</f>
        <v>ASHP</v>
      </c>
      <c r="D16" s="55" t="s">
        <v>517</v>
      </c>
      <c r="E16" s="55" t="str">
        <f>'SC-NR (2)'!$A$9</f>
        <v>HVAC</v>
      </c>
      <c r="F16" s="406">
        <f t="shared" si="1"/>
        <v>0.17301276658821213</v>
      </c>
      <c r="G16" s="57">
        <f>'SC-NR (2)'!A62</f>
        <v>701.41408178007782</v>
      </c>
      <c r="H16" s="57">
        <f>'SC-NR (2)'!B62</f>
        <v>787.61292404503399</v>
      </c>
      <c r="I16" t="str">
        <f>'SC-NR (2)'!C62</f>
        <v>Single Family</v>
      </c>
      <c r="J16" t="str">
        <f>'SC-NR (2)'!D62</f>
        <v>Existing Single Family Home HVAC Upgrade - Central Heat Pump Upgrade to Variable Capacity Central Heat Pump + HZ1CZ23</v>
      </c>
      <c r="K16" s="41">
        <f>'SC-NR (2)'!E62</f>
        <v>5.1256494575863981E-2</v>
      </c>
      <c r="L16" s="41">
        <f>'SC-NR (2)'!F62</f>
        <v>0.1139319919757405</v>
      </c>
      <c r="M16" s="41">
        <f>'SC-NR (2)'!G62</f>
        <v>0.1903376904162985</v>
      </c>
      <c r="N16" s="41">
        <f>'SC-NR (2)'!H62</f>
        <v>0.27869869028431715</v>
      </c>
      <c r="O16" s="41">
        <f>'SC-NR (2)'!I62</f>
        <v>0.37911574800157255</v>
      </c>
      <c r="P16" s="41">
        <f>'SC-NR (2)'!J62</f>
        <v>0.49612609478710273</v>
      </c>
      <c r="Q16" s="41">
        <f>'SC-NR (2)'!K62</f>
        <v>0.62401245005867267</v>
      </c>
      <c r="R16" s="41">
        <f>'SC-NR (2)'!L62</f>
        <v>0.75409201534270076</v>
      </c>
      <c r="S16" s="41">
        <f>'SC-NR (2)'!M62</f>
        <v>0.87601797049794128</v>
      </c>
      <c r="T16" s="41">
        <f>'SC-NR (2)'!N62</f>
        <v>0.98006501195667528</v>
      </c>
      <c r="U16" s="41">
        <f>'SC-NR (2)'!O62</f>
        <v>1.0597085244035449</v>
      </c>
      <c r="V16" s="41">
        <f>'SC-NR (2)'!P62</f>
        <v>1.1133594977802217</v>
      </c>
      <c r="W16" s="41">
        <f>'SC-NR (2)'!Q62</f>
        <v>1.1443002677728629</v>
      </c>
      <c r="X16" s="41">
        <f>'SC-NR (2)'!R62</f>
        <v>1.1587997009922373</v>
      </c>
      <c r="Y16" s="41">
        <f>'SC-NR (2)'!S62</f>
        <v>1.1634872397353682</v>
      </c>
      <c r="Z16" s="41">
        <f>'SC-NR (2)'!T62</f>
        <v>1.4240007086467048</v>
      </c>
      <c r="AA16" s="41">
        <f>'SC-NR (2)'!U62</f>
        <v>1.400705880503134</v>
      </c>
      <c r="AB16" s="41">
        <f>'SC-NR (2)'!V62</f>
        <v>1.3739428069065343</v>
      </c>
      <c r="AC16" s="41">
        <f>'SC-NR (2)'!W62</f>
        <v>1.3510584280314708</v>
      </c>
      <c r="AD16" s="41">
        <f>'SC-NR (2)'!X62</f>
        <v>1.3284521692279199</v>
      </c>
      <c r="AE16" s="41">
        <f>'SC-NR (2)'!Y62</f>
        <v>18.197203397932984</v>
      </c>
      <c r="AF16" s="407">
        <f t="shared" si="2"/>
        <v>42.350535323499919</v>
      </c>
      <c r="AG16" s="407">
        <f t="shared" si="3"/>
        <v>30.925596237311332</v>
      </c>
      <c r="AH16" s="407">
        <f t="shared" si="4"/>
        <v>25.052702235471795</v>
      </c>
      <c r="AI16" s="407">
        <f t="shared" si="5"/>
        <v>23.241689900054592</v>
      </c>
      <c r="AJ16" s="407">
        <f t="shared" si="6"/>
        <v>15.426529758952544</v>
      </c>
      <c r="AK16" s="407">
        <f t="shared" si="7"/>
        <v>13.589828799669277</v>
      </c>
      <c r="AL16" s="407">
        <f t="shared" si="8"/>
        <v>72.701566957546049</v>
      </c>
      <c r="AM16" s="407">
        <f t="shared" si="9"/>
        <v>72.874465612903663</v>
      </c>
      <c r="AN16" s="407">
        <f t="shared" si="10"/>
        <v>32.029203300072915</v>
      </c>
      <c r="AO16" s="407">
        <f t="shared" si="11"/>
        <v>23.895932723796474</v>
      </c>
      <c r="AP16" s="407">
        <f t="shared" si="12"/>
        <v>30.648704308993558</v>
      </c>
      <c r="AQ16" s="407">
        <f t="shared" si="13"/>
        <v>53.481559467369713</v>
      </c>
      <c r="AR16" s="407"/>
      <c r="AS16" s="407">
        <f t="shared" si="14"/>
        <v>40.183720291401563</v>
      </c>
      <c r="AT16" s="407">
        <f t="shared" si="15"/>
        <v>28.461564008901558</v>
      </c>
      <c r="AU16" s="407">
        <f t="shared" si="16"/>
        <v>21.017372767212578</v>
      </c>
      <c r="AV16" s="407">
        <f t="shared" si="17"/>
        <v>20.023545885839592</v>
      </c>
      <c r="AW16" s="407">
        <f t="shared" si="18"/>
        <v>10.021415328874129</v>
      </c>
      <c r="AX16" s="407">
        <f t="shared" si="19"/>
        <v>4.2842197743003441</v>
      </c>
      <c r="AY16" s="407">
        <f t="shared" si="20"/>
        <v>25.828860207148651</v>
      </c>
      <c r="AZ16" s="407">
        <f t="shared" si="21"/>
        <v>17.869809738690783</v>
      </c>
      <c r="BA16" s="407">
        <f t="shared" si="22"/>
        <v>13.64373071925016</v>
      </c>
      <c r="BB16" s="407">
        <f t="shared" si="23"/>
        <v>13.448257621779817</v>
      </c>
      <c r="BC16" s="407">
        <f t="shared" si="24"/>
        <v>24.13327947112758</v>
      </c>
      <c r="BD16" s="407">
        <f t="shared" si="25"/>
        <v>46.279991339909259</v>
      </c>
    </row>
    <row r="17" spans="1:56" ht="15">
      <c r="A17" s="55" t="str">
        <f>VLOOKUP(CONCATENATE($C17," - ",$B17),[2]ACHIEV!$B$12:$C$100,2,FALSE)</f>
        <v>LO5Med</v>
      </c>
      <c r="B17" s="55" t="str">
        <f>'SC-NR (2)'!$C$7</f>
        <v>NR</v>
      </c>
      <c r="C17" s="55" t="str">
        <f>'SC-NR (2)'!$C$8</f>
        <v>ASHP</v>
      </c>
      <c r="D17" s="55" t="s">
        <v>517</v>
      </c>
      <c r="E17" s="55" t="str">
        <f>'SC-NR (2)'!$A$9</f>
        <v>HVAC</v>
      </c>
      <c r="F17" s="406">
        <f t="shared" si="1"/>
        <v>0.17301276658821213</v>
      </c>
      <c r="G17" s="57">
        <f>'SC-NR (2)'!A63</f>
        <v>563.46241624481468</v>
      </c>
      <c r="H17" s="57">
        <f>'SC-NR (2)'!B63</f>
        <v>980.44302510700686</v>
      </c>
      <c r="I17" t="str">
        <f>'SC-NR (2)'!C63</f>
        <v>Single Family</v>
      </c>
      <c r="J17" t="str">
        <f>'SC-NR (2)'!D63</f>
        <v>Existing Single Family Home HVAC Upgrade - Central Heat Pump Upgrade to Variable Capacity Central Heat Pump + HZ1CZ1</v>
      </c>
      <c r="K17" s="41">
        <f>'SC-NR (2)'!E63</f>
        <v>4.547046150105695E-2</v>
      </c>
      <c r="L17" s="41">
        <f>'SC-NR (2)'!F63</f>
        <v>0.10107090423836919</v>
      </c>
      <c r="M17" s="41">
        <f>'SC-NR (2)'!G63</f>
        <v>0.16885162935722497</v>
      </c>
      <c r="N17" s="41">
        <f>'SC-NR (2)'!H63</f>
        <v>0.24723809483716394</v>
      </c>
      <c r="O17" s="41">
        <f>'SC-NR (2)'!I63</f>
        <v>0.33631968332199075</v>
      </c>
      <c r="P17" s="41">
        <f>'SC-NR (2)'!J63</f>
        <v>0.44012144566962769</v>
      </c>
      <c r="Q17" s="41">
        <f>'SC-NR (2)'!K63</f>
        <v>0.55357149023480268</v>
      </c>
      <c r="R17" s="41">
        <f>'SC-NR (2)'!L63</f>
        <v>0.6689671667098539</v>
      </c>
      <c r="S17" s="41">
        <f>'SC-NR (2)'!M63</f>
        <v>0.77712964437715382</v>
      </c>
      <c r="T17" s="41">
        <f>'SC-NR (2)'!N63</f>
        <v>0.86943144987705701</v>
      </c>
      <c r="U17" s="41">
        <f>'SC-NR (2)'!O63</f>
        <v>0.94008449192550037</v>
      </c>
      <c r="V17" s="41">
        <f>'SC-NR (2)'!P63</f>
        <v>0.98767913411874864</v>
      </c>
      <c r="W17" s="41">
        <f>'SC-NR (2)'!Q63</f>
        <v>1.0151271892853213</v>
      </c>
      <c r="X17" s="41">
        <f>'SC-NR (2)'!R63</f>
        <v>1.0279898699162198</v>
      </c>
      <c r="Y17" s="41">
        <f>'SC-NR (2)'!S63</f>
        <v>1.0321482609985198</v>
      </c>
      <c r="Z17" s="41">
        <f>'SC-NR (2)'!T63</f>
        <v>1.2632539531973328</v>
      </c>
      <c r="AA17" s="41">
        <f>'SC-NR (2)'!U63</f>
        <v>1.2425887361347763</v>
      </c>
      <c r="AB17" s="41">
        <f>'SC-NR (2)'!V63</f>
        <v>1.218846782696603</v>
      </c>
      <c r="AC17" s="41">
        <f>'SC-NR (2)'!W63</f>
        <v>1.1985456817878382</v>
      </c>
      <c r="AD17" s="41">
        <f>'SC-NR (2)'!X63</f>
        <v>1.1784913056718826</v>
      </c>
      <c r="AE17" s="41">
        <f>'SC-NR (2)'!Y63</f>
        <v>16.143032085581659</v>
      </c>
      <c r="AF17" s="407">
        <f t="shared" si="2"/>
        <v>42.350535323499919</v>
      </c>
      <c r="AG17" s="407">
        <f t="shared" si="3"/>
        <v>30.925596237311328</v>
      </c>
      <c r="AH17" s="407">
        <f t="shared" si="4"/>
        <v>25.052702235471791</v>
      </c>
      <c r="AI17" s="407">
        <f t="shared" si="5"/>
        <v>22.223582842688948</v>
      </c>
      <c r="AJ17" s="407">
        <f t="shared" si="6"/>
        <v>10.437017724732678</v>
      </c>
      <c r="AK17" s="407">
        <f t="shared" si="7"/>
        <v>7.9443322148543931</v>
      </c>
      <c r="AL17" s="407">
        <f t="shared" si="8"/>
        <v>34.079344093332494</v>
      </c>
      <c r="AM17" s="407">
        <f t="shared" si="9"/>
        <v>34.110157324952382</v>
      </c>
      <c r="AN17" s="407">
        <f t="shared" si="10"/>
        <v>16.411687563089423</v>
      </c>
      <c r="AO17" s="407">
        <f t="shared" si="11"/>
        <v>21.114089444793141</v>
      </c>
      <c r="AP17" s="407">
        <f t="shared" si="12"/>
        <v>30.648704308993551</v>
      </c>
      <c r="AQ17" s="407">
        <f t="shared" si="13"/>
        <v>53.481559467369706</v>
      </c>
      <c r="AR17" s="407"/>
      <c r="AS17" s="407">
        <f t="shared" si="14"/>
        <v>40.183720291401556</v>
      </c>
      <c r="AT17" s="407">
        <f t="shared" si="15"/>
        <v>28.461564008901554</v>
      </c>
      <c r="AU17" s="407">
        <f t="shared" si="16"/>
        <v>21.017372767212578</v>
      </c>
      <c r="AV17" s="407">
        <f t="shared" si="17"/>
        <v>19.742228691237344</v>
      </c>
      <c r="AW17" s="407">
        <f t="shared" si="18"/>
        <v>8.5013025969706444</v>
      </c>
      <c r="AX17" s="407">
        <f t="shared" si="19"/>
        <v>3.0194316552166294</v>
      </c>
      <c r="AY17" s="407">
        <f t="shared" si="20"/>
        <v>13.480434904655633</v>
      </c>
      <c r="AZ17" s="407">
        <f t="shared" si="21"/>
        <v>9.445243721813176</v>
      </c>
      <c r="BA17" s="407">
        <f t="shared" si="22"/>
        <v>7.8548872570651866</v>
      </c>
      <c r="BB17" s="407">
        <f t="shared" si="23"/>
        <v>12.563650758213813</v>
      </c>
      <c r="BC17" s="407">
        <f t="shared" si="24"/>
        <v>24.133279471127576</v>
      </c>
      <c r="BD17" s="407">
        <f t="shared" si="25"/>
        <v>46.279991339909252</v>
      </c>
    </row>
    <row r="18" spans="1:56" ht="15">
      <c r="A18" s="55" t="str">
        <f>VLOOKUP(CONCATENATE($C18," - ",$B18),[2]ACHIEV!$B$12:$C$100,2,FALSE)</f>
        <v>LO5Med</v>
      </c>
      <c r="B18" s="55" t="str">
        <f>'SC-NR (3)'!$C$7</f>
        <v>NR</v>
      </c>
      <c r="C18" s="55" t="str">
        <f>'SC-NR (3)'!$C$8</f>
        <v>DHP</v>
      </c>
      <c r="D18" s="55" t="s">
        <v>517</v>
      </c>
      <c r="E18" s="55" t="str">
        <f>'SC-NR (3)'!$A$9</f>
        <v>HVAC</v>
      </c>
      <c r="F18" s="406">
        <f t="shared" si="1"/>
        <v>0.90369566752319297</v>
      </c>
      <c r="G18" s="57">
        <f>'SC-NR (3)'!A58</f>
        <v>2646.6539113541521</v>
      </c>
      <c r="H18" s="57">
        <f>'SC-NR (3)'!B58</f>
        <v>109.5745313120063</v>
      </c>
      <c r="I18" t="str">
        <f>'SC-NR (3)'!C58</f>
        <v>Single Family</v>
      </c>
      <c r="J18" t="str">
        <f>'SC-NR (3)'!D58</f>
        <v>Zonal to DHP No Screen + HZ23CZ23</v>
      </c>
      <c r="K18" s="41">
        <f>'SC-NR (3)'!E58</f>
        <v>9.0187803965346203E-2</v>
      </c>
      <c r="L18" s="41">
        <f>'SC-NR (3)'!F58</f>
        <v>0.20046778935459961</v>
      </c>
      <c r="M18" s="41">
        <f>'SC-NR (3)'!G58</f>
        <v>0.3349065996909823</v>
      </c>
      <c r="N18" s="41">
        <f>'SC-NR (3)'!H58</f>
        <v>0.490381229788519</v>
      </c>
      <c r="O18" s="41">
        <f>'SC-NR (3)'!I58</f>
        <v>0.66706896450624242</v>
      </c>
      <c r="P18" s="41">
        <f>'SC-NR (3)'!J58</f>
        <v>0.87295323937001335</v>
      </c>
      <c r="Q18" s="41">
        <f>'SC-NR (3)'!K58</f>
        <v>1.0979742759140552</v>
      </c>
      <c r="R18" s="41">
        <f>'SC-NR (3)'!L58</f>
        <v>1.3268543511281266</v>
      </c>
      <c r="S18" s="41">
        <f>'SC-NR (3)'!M58</f>
        <v>1.5413878308914193</v>
      </c>
      <c r="T18" s="41">
        <f>'SC-NR (3)'!N58</f>
        <v>1.7244626637668077</v>
      </c>
      <c r="U18" s="41">
        <f>'SC-NR (3)'!O58</f>
        <v>1.8645985342961229</v>
      </c>
      <c r="V18" s="41">
        <f>'SC-NR (3)'!P58</f>
        <v>1.9589995172249131</v>
      </c>
      <c r="W18" s="41">
        <f>'SC-NR (3)'!Q58</f>
        <v>2.013441010380538</v>
      </c>
      <c r="X18" s="41">
        <f>'SC-NR (3)'!R58</f>
        <v>2.0389533293874904</v>
      </c>
      <c r="Y18" s="41">
        <f>'SC-NR (3)'!S58</f>
        <v>2.0472012368720671</v>
      </c>
      <c r="Z18" s="41">
        <f>'SC-NR (3)'!T58</f>
        <v>2.5040574913040006</v>
      </c>
      <c r="AA18" s="41">
        <f>'SC-NR (3)'!U58</f>
        <v>2.4613398174724046</v>
      </c>
      <c r="AB18" s="41">
        <f>'SC-NR (3)'!V58</f>
        <v>2.412336380945499</v>
      </c>
      <c r="AC18" s="41">
        <f>'SC-NR (3)'!W58</f>
        <v>2.3698999125986298</v>
      </c>
      <c r="AD18" s="41">
        <f>'SC-NR (3)'!X58</f>
        <v>2.3277248103671351</v>
      </c>
      <c r="AE18" s="41">
        <f>'SC-NR (3)'!Y58</f>
        <v>31.991940320213164</v>
      </c>
      <c r="AF18" s="407">
        <f t="shared" si="2"/>
        <v>263.11949312216274</v>
      </c>
      <c r="AG18" s="407">
        <f t="shared" si="3"/>
        <v>186.3078956552292</v>
      </c>
      <c r="AH18" s="407">
        <f t="shared" si="4"/>
        <v>167.00098048182826</v>
      </c>
      <c r="AI18" s="407">
        <f t="shared" si="5"/>
        <v>126.06058155740061</v>
      </c>
      <c r="AJ18" s="407">
        <f t="shared" si="6"/>
        <v>77.545150319254844</v>
      </c>
      <c r="AK18" s="407">
        <f t="shared" si="7"/>
        <v>36.361665213038052</v>
      </c>
      <c r="AL18" s="407">
        <f t="shared" si="8"/>
        <v>58.126185156926219</v>
      </c>
      <c r="AM18" s="407">
        <f t="shared" si="9"/>
        <v>52.376995539950727</v>
      </c>
      <c r="AN18" s="407">
        <f t="shared" si="10"/>
        <v>20.969823835596209</v>
      </c>
      <c r="AO18" s="407">
        <f t="shared" si="11"/>
        <v>84.061859741981593</v>
      </c>
      <c r="AP18" s="407">
        <f t="shared" si="12"/>
        <v>189.69572718762464</v>
      </c>
      <c r="AQ18" s="407">
        <f t="shared" si="13"/>
        <v>234.31785598323964</v>
      </c>
      <c r="AR18" s="407"/>
      <c r="AS18" s="407">
        <f t="shared" si="14"/>
        <v>206.2298681876747</v>
      </c>
      <c r="AT18" s="407">
        <f t="shared" si="15"/>
        <v>149.72291369531223</v>
      </c>
      <c r="AU18" s="407">
        <f t="shared" si="16"/>
        <v>127.31231588883824</v>
      </c>
      <c r="AV18" s="407">
        <f t="shared" si="17"/>
        <v>106.24013544215282</v>
      </c>
      <c r="AW18" s="407">
        <f t="shared" si="18"/>
        <v>74.67609294361047</v>
      </c>
      <c r="AX18" s="407">
        <f t="shared" si="19"/>
        <v>27.980546421847393</v>
      </c>
      <c r="AY18" s="407">
        <f t="shared" si="20"/>
        <v>30.014288910392306</v>
      </c>
      <c r="AZ18" s="407">
        <f t="shared" si="21"/>
        <v>20.063153684584105</v>
      </c>
      <c r="BA18" s="407">
        <f t="shared" si="22"/>
        <v>17.687714968758304</v>
      </c>
      <c r="BB18" s="407">
        <f t="shared" si="23"/>
        <v>63.350717394618442</v>
      </c>
      <c r="BC18" s="407">
        <f t="shared" si="24"/>
        <v>148.73439581465328</v>
      </c>
      <c r="BD18" s="407">
        <f t="shared" si="25"/>
        <v>178.69755420747742</v>
      </c>
    </row>
    <row r="19" spans="1:56" ht="15">
      <c r="A19" s="55" t="str">
        <f>VLOOKUP(CONCATENATE($C19," - ",$B19),[2]ACHIEV!$B$12:$C$100,2,FALSE)</f>
        <v>LO5Med</v>
      </c>
      <c r="B19" s="55" t="str">
        <f>'SC-NR (3)'!$C$7</f>
        <v>NR</v>
      </c>
      <c r="C19" s="55" t="str">
        <f>'SC-NR (3)'!$C$8</f>
        <v>DHP</v>
      </c>
      <c r="D19" s="55" t="s">
        <v>517</v>
      </c>
      <c r="E19" s="55" t="str">
        <f>'SC-NR (3)'!$A$9</f>
        <v>HVAC</v>
      </c>
      <c r="F19" s="406">
        <f t="shared" si="1"/>
        <v>0.88245981424829878</v>
      </c>
      <c r="G19" s="57">
        <f>'SC-NR (3)'!A59</f>
        <v>2719.2631585375898</v>
      </c>
      <c r="H19" s="57">
        <f>'SC-NR (3)'!B59</f>
        <v>112.06998870724475</v>
      </c>
      <c r="I19" t="str">
        <f>'SC-NR (3)'!C59</f>
        <v>Single Family</v>
      </c>
      <c r="J19" t="str">
        <f>'SC-NR (3)'!D59</f>
        <v>Zonal to DHP No Screen + HZ1CZ23</v>
      </c>
      <c r="K19" s="41">
        <f>'SC-NR (3)'!E59</f>
        <v>8.9031526603684644E-2</v>
      </c>
      <c r="L19" s="41">
        <f>'SC-NR (3)'!F59</f>
        <v>0.19789763733424298</v>
      </c>
      <c r="M19" s="41">
        <f>'SC-NR (3)'!G59</f>
        <v>0.33061283820142967</v>
      </c>
      <c r="N19" s="41">
        <f>'SC-NR (3)'!H59</f>
        <v>0.48409416335982436</v>
      </c>
      <c r="O19" s="41">
        <f>'SC-NR (3)'!I59</f>
        <v>0.65851662473952666</v>
      </c>
      <c r="P19" s="41">
        <f>'SC-NR (3)'!J59</f>
        <v>0.86176130405179097</v>
      </c>
      <c r="Q19" s="41">
        <f>'SC-NR (3)'!K59</f>
        <v>1.0838973969669419</v>
      </c>
      <c r="R19" s="41">
        <f>'SC-NR (3)'!L59</f>
        <v>1.3098430526933507</v>
      </c>
      <c r="S19" s="41">
        <f>'SC-NR (3)'!M59</f>
        <v>1.5216260474125223</v>
      </c>
      <c r="T19" s="41">
        <f>'SC-NR (3)'!N59</f>
        <v>1.7023537194143061</v>
      </c>
      <c r="U19" s="41">
        <f>'SC-NR (3)'!O59</f>
        <v>1.8406929397589467</v>
      </c>
      <c r="V19" s="41">
        <f>'SC-NR (3)'!P59</f>
        <v>1.933883629114993</v>
      </c>
      <c r="W19" s="41">
        <f>'SC-NR (3)'!Q59</f>
        <v>1.9876271402452972</v>
      </c>
      <c r="X19" s="41">
        <f>'SC-NR (3)'!R59</f>
        <v>2.0128123716016559</v>
      </c>
      <c r="Y19" s="41">
        <f>'SC-NR (3)'!S59</f>
        <v>2.0209545345366795</v>
      </c>
      <c r="Z19" s="41">
        <f>'SC-NR (3)'!T59</f>
        <v>2.4719535386386671</v>
      </c>
      <c r="AA19" s="41">
        <f>'SC-NR (3)'!U59</f>
        <v>2.4297835384061899</v>
      </c>
      <c r="AB19" s="41">
        <f>'SC-NR (3)'!V59</f>
        <v>2.381408363815027</v>
      </c>
      <c r="AC19" s="41">
        <f>'SC-NR (3)'!W59</f>
        <v>2.3395159637955918</v>
      </c>
      <c r="AD19" s="41">
        <f>'SC-NR (3)'!X59</f>
        <v>2.2978815789758968</v>
      </c>
      <c r="AE19" s="41">
        <f>'SC-NR (3)'!Y59</f>
        <v>31.581778915661125</v>
      </c>
      <c r="AF19" s="407">
        <f t="shared" si="2"/>
        <v>256.88013210406393</v>
      </c>
      <c r="AG19" s="407">
        <f t="shared" si="3"/>
        <v>181.95722733803711</v>
      </c>
      <c r="AH19" s="407">
        <f t="shared" si="4"/>
        <v>163.22054865109774</v>
      </c>
      <c r="AI19" s="407">
        <f t="shared" si="5"/>
        <v>123.5010936582695</v>
      </c>
      <c r="AJ19" s="407">
        <f t="shared" si="6"/>
        <v>77.238188903977999</v>
      </c>
      <c r="AK19" s="407">
        <f t="shared" si="7"/>
        <v>43.895617636191197</v>
      </c>
      <c r="AL19" s="407">
        <f t="shared" si="8"/>
        <v>97.108994883472576</v>
      </c>
      <c r="AM19" s="407">
        <f t="shared" si="9"/>
        <v>90.316613746307723</v>
      </c>
      <c r="AN19" s="407">
        <f t="shared" si="10"/>
        <v>27.735447686016705</v>
      </c>
      <c r="AO19" s="407">
        <f t="shared" si="11"/>
        <v>84.335916011802496</v>
      </c>
      <c r="AP19" s="407">
        <f t="shared" si="12"/>
        <v>185.23189112662328</v>
      </c>
      <c r="AQ19" s="407">
        <f t="shared" si="13"/>
        <v>228.76867492505812</v>
      </c>
      <c r="AR19" s="407"/>
      <c r="AS19" s="407">
        <f t="shared" si="14"/>
        <v>201.49412046240371</v>
      </c>
      <c r="AT19" s="407">
        <f t="shared" si="15"/>
        <v>146.25669864016137</v>
      </c>
      <c r="AU19" s="407">
        <f t="shared" si="16"/>
        <v>124.30668476742144</v>
      </c>
      <c r="AV19" s="407">
        <f t="shared" si="17"/>
        <v>103.80557277378671</v>
      </c>
      <c r="AW19" s="407">
        <f t="shared" si="18"/>
        <v>73.421748645969913</v>
      </c>
      <c r="AX19" s="407">
        <f t="shared" si="19"/>
        <v>29.332614934668179</v>
      </c>
      <c r="AY19" s="407">
        <f t="shared" si="20"/>
        <v>45.240770621811585</v>
      </c>
      <c r="AZ19" s="407">
        <f t="shared" si="21"/>
        <v>31.882658707643639</v>
      </c>
      <c r="BA19" s="407">
        <f t="shared" si="22"/>
        <v>20.680926205375531</v>
      </c>
      <c r="BB19" s="407">
        <f t="shared" si="23"/>
        <v>62.730911408012723</v>
      </c>
      <c r="BC19" s="407">
        <f t="shared" si="24"/>
        <v>145.29908876825141</v>
      </c>
      <c r="BD19" s="407">
        <f t="shared" si="25"/>
        <v>174.62101593116563</v>
      </c>
    </row>
    <row r="20" spans="1:56" ht="15">
      <c r="A20" s="55" t="str">
        <f>VLOOKUP(CONCATENATE($C20," - ",$B20),[2]ACHIEV!$B$12:$C$100,2,FALSE)</f>
        <v>LO5Med</v>
      </c>
      <c r="B20" s="55" t="str">
        <f>'SC-NR (3)'!$C$7</f>
        <v>NR</v>
      </c>
      <c r="C20" s="55" t="str">
        <f>'SC-NR (3)'!$C$8</f>
        <v>DHP</v>
      </c>
      <c r="D20" s="55" t="s">
        <v>517</v>
      </c>
      <c r="E20" s="55" t="str">
        <f>'SC-NR (3)'!$A$9</f>
        <v>HVAC</v>
      </c>
      <c r="F20" s="406">
        <f t="shared" si="1"/>
        <v>0.77721691916961022</v>
      </c>
      <c r="G20" s="57">
        <f>'SC-NR (3)'!A60</f>
        <v>2095.6932158169034</v>
      </c>
      <c r="H20" s="57">
        <f>'SC-NR (3)'!B60</f>
        <v>141.14456252150947</v>
      </c>
      <c r="I20" t="str">
        <f>'SC-NR (3)'!C60</f>
        <v>Single Family</v>
      </c>
      <c r="J20" t="str">
        <f>'SC-NR (3)'!D60</f>
        <v>Zonal to DHP No Screen + HZ23CZ1</v>
      </c>
      <c r="K20" s="41">
        <f>'SC-NR (3)'!E60</f>
        <v>1.9861120399172236E-2</v>
      </c>
      <c r="L20" s="41">
        <f>'SC-NR (3)'!F60</f>
        <v>4.4146932572584431E-2</v>
      </c>
      <c r="M20" s="41">
        <f>'SC-NR (3)'!G60</f>
        <v>7.3752991052934397E-2</v>
      </c>
      <c r="N20" s="41">
        <f>'SC-NR (3)'!H60</f>
        <v>0.10799154894675382</v>
      </c>
      <c r="O20" s="41">
        <f>'SC-NR (3)'!I60</f>
        <v>0.14690164785141382</v>
      </c>
      <c r="P20" s="41">
        <f>'SC-NR (3)'!J60</f>
        <v>0.19224139659323727</v>
      </c>
      <c r="Q20" s="41">
        <f>'SC-NR (3)'!K60</f>
        <v>0.24179543497369266</v>
      </c>
      <c r="R20" s="41">
        <f>'SC-NR (3)'!L60</f>
        <v>0.29219930923306542</v>
      </c>
      <c r="S20" s="41">
        <f>'SC-NR (3)'!M60</f>
        <v>0.33944378225371169</v>
      </c>
      <c r="T20" s="41">
        <f>'SC-NR (3)'!N60</f>
        <v>0.37976044523836033</v>
      </c>
      <c r="U20" s="41">
        <f>'SC-NR (3)'!O60</f>
        <v>0.41062110792724221</v>
      </c>
      <c r="V20" s="41">
        <f>'SC-NR (3)'!P60</f>
        <v>0.43141005283235734</v>
      </c>
      <c r="W20" s="41">
        <f>'SC-NR (3)'!Q60</f>
        <v>0.44339913564326644</v>
      </c>
      <c r="X20" s="41">
        <f>'SC-NR (3)'!R60</f>
        <v>0.44901744784492359</v>
      </c>
      <c r="Y20" s="41">
        <f>'SC-NR (3)'!S60</f>
        <v>0.45083379857517708</v>
      </c>
      <c r="Z20" s="41">
        <f>'SC-NR (3)'!T60</f>
        <v>0.55144249149638358</v>
      </c>
      <c r="AA20" s="41">
        <f>'SC-NR (3)'!U60</f>
        <v>0.54203522326455178</v>
      </c>
      <c r="AB20" s="41">
        <f>'SC-NR (3)'!V60</f>
        <v>0.53124370700578971</v>
      </c>
      <c r="AC20" s="41">
        <f>'SC-NR (3)'!W60</f>
        <v>0.52189836572797477</v>
      </c>
      <c r="AD20" s="41">
        <f>'SC-NR (3)'!X60</f>
        <v>0.5126105823865712</v>
      </c>
      <c r="AE20" s="41">
        <f>'SC-NR (3)'!Y60</f>
        <v>7.0452516922025419</v>
      </c>
      <c r="AF20" s="407">
        <f t="shared" si="2"/>
        <v>226.36947607155599</v>
      </c>
      <c r="AG20" s="407">
        <f t="shared" si="3"/>
        <v>160.19611112124539</v>
      </c>
      <c r="AH20" s="407">
        <f t="shared" si="4"/>
        <v>143.43524848250951</v>
      </c>
      <c r="AI20" s="407">
        <f t="shared" si="5"/>
        <v>107.87802171826637</v>
      </c>
      <c r="AJ20" s="407">
        <f t="shared" si="6"/>
        <v>64.662739922983292</v>
      </c>
      <c r="AK20" s="407">
        <f t="shared" si="7"/>
        <v>20.037920810330881</v>
      </c>
      <c r="AL20" s="407">
        <f t="shared" si="8"/>
        <v>-4.0483445216891889</v>
      </c>
      <c r="AM20" s="407">
        <f t="shared" si="9"/>
        <v>-7.4147987498581163</v>
      </c>
      <c r="AN20" s="407">
        <f t="shared" si="10"/>
        <v>8.3137236507868799</v>
      </c>
      <c r="AO20" s="407">
        <f t="shared" si="11"/>
        <v>69.284131511728503</v>
      </c>
      <c r="AP20" s="407">
        <f t="shared" si="12"/>
        <v>163.1547348504655</v>
      </c>
      <c r="AQ20" s="407">
        <f t="shared" si="13"/>
        <v>201.58092564853749</v>
      </c>
      <c r="AR20" s="407"/>
      <c r="AS20" s="407">
        <f t="shared" si="14"/>
        <v>177.21860979755775</v>
      </c>
      <c r="AT20" s="407">
        <f t="shared" si="15"/>
        <v>128.69831900192401</v>
      </c>
      <c r="AU20" s="407">
        <f t="shared" si="16"/>
        <v>109.51269502390745</v>
      </c>
      <c r="AV20" s="407">
        <f t="shared" si="17"/>
        <v>91.288071393601271</v>
      </c>
      <c r="AW20" s="407">
        <f t="shared" si="18"/>
        <v>63.554361039236248</v>
      </c>
      <c r="AX20" s="407">
        <f t="shared" si="19"/>
        <v>21.373019265633499</v>
      </c>
      <c r="AY20" s="407">
        <f t="shared" si="20"/>
        <v>4.4760064336597045</v>
      </c>
      <c r="AZ20" s="407">
        <f t="shared" si="21"/>
        <v>0.79378028877508922</v>
      </c>
      <c r="BA20" s="407">
        <f t="shared" si="22"/>
        <v>10.646687257452834</v>
      </c>
      <c r="BB20" s="407">
        <f t="shared" si="23"/>
        <v>53.320646742157784</v>
      </c>
      <c r="BC20" s="407">
        <f t="shared" si="24"/>
        <v>127.83786690441329</v>
      </c>
      <c r="BD20" s="407">
        <f t="shared" si="25"/>
        <v>153.52326215172215</v>
      </c>
    </row>
    <row r="21" spans="1:56" ht="15">
      <c r="A21" s="55" t="str">
        <f>VLOOKUP(CONCATENATE($C21," - ",$B21),[2]ACHIEV!$B$12:$C$100,2,FALSE)</f>
        <v>LO5Med</v>
      </c>
      <c r="B21" s="55" t="str">
        <f>'SC-NR (3)'!$C$7</f>
        <v>NR</v>
      </c>
      <c r="C21" s="55" t="str">
        <f>'SC-NR (3)'!$C$8</f>
        <v>DHP</v>
      </c>
      <c r="D21" s="55" t="s">
        <v>517</v>
      </c>
      <c r="E21" s="55" t="str">
        <f>'SC-NR (3)'!$A$9</f>
        <v>HVAC</v>
      </c>
      <c r="F21" s="406">
        <f t="shared" si="1"/>
        <v>0.88067350369815434</v>
      </c>
      <c r="G21" s="57">
        <f>'SC-NR (3)'!A61</f>
        <v>2379.1718416984891</v>
      </c>
      <c r="H21" s="57">
        <f>'SC-NR (3)'!B61</f>
        <v>140.89290532225266</v>
      </c>
      <c r="I21" t="str">
        <f>'SC-NR (3)'!C61</f>
        <v>Single Family</v>
      </c>
      <c r="J21" t="str">
        <f>'SC-NR (3)'!D61</f>
        <v>Zonal to DHP No Screen + HZ1CZ1</v>
      </c>
      <c r="K21" s="41">
        <f>'SC-NR (3)'!E61</f>
        <v>0.20408190708050011</v>
      </c>
      <c r="L21" s="41">
        <f>'SC-NR (3)'!F61</f>
        <v>0.45362950377878875</v>
      </c>
      <c r="M21" s="41">
        <f>'SC-NR (3)'!G61</f>
        <v>0.75784501400037985</v>
      </c>
      <c r="N21" s="41">
        <f>'SC-NR (3)'!H61</f>
        <v>1.1096615304013377</v>
      </c>
      <c r="O21" s="41">
        <f>'SC-NR (3)'!I61</f>
        <v>1.509480222879777</v>
      </c>
      <c r="P21" s="41">
        <f>'SC-NR (3)'!J61</f>
        <v>1.9753664470108021</v>
      </c>
      <c r="Q21" s="41">
        <f>'SC-NR (3)'!K61</f>
        <v>2.4845563845857801</v>
      </c>
      <c r="R21" s="41">
        <f>'SC-NR (3)'!L61</f>
        <v>3.0024787664231729</v>
      </c>
      <c r="S21" s="41">
        <f>'SC-NR (3)'!M61</f>
        <v>3.4879368855667723</v>
      </c>
      <c r="T21" s="41">
        <f>'SC-NR (3)'!N61</f>
        <v>3.9022086539092995</v>
      </c>
      <c r="U21" s="41">
        <f>'SC-NR (3)'!O61</f>
        <v>4.219315784259182</v>
      </c>
      <c r="V21" s="41">
        <f>'SC-NR (3)'!P61</f>
        <v>4.4329315036726831</v>
      </c>
      <c r="W21" s="41">
        <f>'SC-NR (3)'!Q61</f>
        <v>4.5561246989718951</v>
      </c>
      <c r="X21" s="41">
        <f>'SC-NR (3)'!R61</f>
        <v>4.6138553730548946</v>
      </c>
      <c r="Y21" s="41">
        <f>'SC-NR (3)'!S61</f>
        <v>4.6325191902770406</v>
      </c>
      <c r="Z21" s="41">
        <f>'SC-NR (3)'!T61</f>
        <v>5.6663185685382986</v>
      </c>
      <c r="AA21" s="41">
        <f>'SC-NR (3)'!U61</f>
        <v>5.5696546743276754</v>
      </c>
      <c r="AB21" s="41">
        <f>'SC-NR (3)'!V61</f>
        <v>5.4587670116925811</v>
      </c>
      <c r="AC21" s="41">
        <f>'SC-NR (3)'!W61</f>
        <v>5.3627394446690175</v>
      </c>
      <c r="AD21" s="41">
        <f>'SC-NR (3)'!X61</f>
        <v>5.2673033112199121</v>
      </c>
      <c r="AE21" s="41">
        <f>'SC-NR (3)'!Y61</f>
        <v>72.39311641586643</v>
      </c>
      <c r="AF21" s="407">
        <f t="shared" si="2"/>
        <v>256.49999013718872</v>
      </c>
      <c r="AG21" s="407">
        <f t="shared" si="3"/>
        <v>181.52098811065741</v>
      </c>
      <c r="AH21" s="407">
        <f t="shared" si="4"/>
        <v>162.53296600261771</v>
      </c>
      <c r="AI21" s="407">
        <f t="shared" si="5"/>
        <v>122.25133603906411</v>
      </c>
      <c r="AJ21" s="407">
        <f t="shared" si="6"/>
        <v>73.320880522138609</v>
      </c>
      <c r="AK21" s="407">
        <f t="shared" si="7"/>
        <v>22.986315935479531</v>
      </c>
      <c r="AL21" s="407">
        <f t="shared" si="8"/>
        <v>-3.2350454017071018</v>
      </c>
      <c r="AM21" s="407">
        <f t="shared" si="9"/>
        <v>-7.0891010475701979</v>
      </c>
      <c r="AN21" s="407">
        <f t="shared" si="10"/>
        <v>9.6636225415412369</v>
      </c>
      <c r="AO21" s="407">
        <f t="shared" si="11"/>
        <v>78.58203613005108</v>
      </c>
      <c r="AP21" s="407">
        <f t="shared" si="12"/>
        <v>184.87231437744148</v>
      </c>
      <c r="AQ21" s="407">
        <f t="shared" si="13"/>
        <v>228.41224437290325</v>
      </c>
      <c r="AR21" s="407"/>
      <c r="AS21" s="407">
        <f t="shared" si="14"/>
        <v>200.81216245826445</v>
      </c>
      <c r="AT21" s="407">
        <f t="shared" si="15"/>
        <v>145.83130392519809</v>
      </c>
      <c r="AU21" s="407">
        <f t="shared" si="16"/>
        <v>124.08963774833541</v>
      </c>
      <c r="AV21" s="407">
        <f t="shared" si="17"/>
        <v>103.44164881529086</v>
      </c>
      <c r="AW21" s="407">
        <f t="shared" si="18"/>
        <v>72.030955122357724</v>
      </c>
      <c r="AX21" s="407">
        <f t="shared" si="19"/>
        <v>24.285361767075209</v>
      </c>
      <c r="AY21" s="407">
        <f t="shared" si="20"/>
        <v>5.6057265643923673</v>
      </c>
      <c r="AZ21" s="407">
        <f t="shared" si="21"/>
        <v>1.3113410198207021</v>
      </c>
      <c r="BA21" s="407">
        <f t="shared" si="22"/>
        <v>12.178123517199731</v>
      </c>
      <c r="BB21" s="407">
        <f t="shared" si="23"/>
        <v>60.447360886872993</v>
      </c>
      <c r="BC21" s="407">
        <f t="shared" si="24"/>
        <v>144.85657301472563</v>
      </c>
      <c r="BD21" s="407">
        <f t="shared" si="25"/>
        <v>173.96309913915042</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G120"/>
  <sheetViews>
    <sheetView topLeftCell="A16" workbookViewId="0">
      <selection activeCell="J36" sqref="J36"/>
    </sheetView>
  </sheetViews>
  <sheetFormatPr defaultColWidth="8.140625" defaultRowHeight="12"/>
  <cols>
    <col min="1" max="3" width="8.140625" style="410"/>
    <col min="4" max="4" width="8.28515625" style="410" bestFit="1" customWidth="1"/>
    <col min="5" max="5" width="8.140625" style="410"/>
    <col min="6" max="6" width="8.85546875" style="410" bestFit="1" customWidth="1"/>
    <col min="7" max="16384" width="8.140625" style="410"/>
  </cols>
  <sheetData>
    <row r="1" spans="1:7" ht="15.75">
      <c r="A1" s="409" t="s">
        <v>828</v>
      </c>
    </row>
    <row r="2" spans="1:7" ht="12.75">
      <c r="A2" s="411"/>
    </row>
    <row r="3" spans="1:7" ht="12.75">
      <c r="A3" s="411" t="s">
        <v>829</v>
      </c>
      <c r="D3" s="410">
        <v>1.0169999999999999</v>
      </c>
      <c r="F3" s="410" t="s">
        <v>830</v>
      </c>
    </row>
    <row r="4" spans="1:7" ht="12.75">
      <c r="A4" s="411" t="s">
        <v>831</v>
      </c>
      <c r="D4" s="410">
        <v>1.038</v>
      </c>
    </row>
    <row r="6" spans="1:7" ht="12.75">
      <c r="A6" s="411" t="s">
        <v>832</v>
      </c>
    </row>
    <row r="7" spans="1:7">
      <c r="A7" s="410" t="s">
        <v>833</v>
      </c>
      <c r="B7" s="410" t="s">
        <v>834</v>
      </c>
    </row>
    <row r="8" spans="1:7">
      <c r="B8" s="410" t="s">
        <v>835</v>
      </c>
    </row>
    <row r="9" spans="1:7">
      <c r="B9" s="410" t="s">
        <v>836</v>
      </c>
    </row>
    <row r="10" spans="1:7">
      <c r="C10" s="410" t="s">
        <v>837</v>
      </c>
      <c r="D10" s="412" t="s">
        <v>838</v>
      </c>
      <c r="F10" s="413"/>
    </row>
    <row r="11" spans="1:7">
      <c r="C11" s="410" t="s">
        <v>839</v>
      </c>
    </row>
    <row r="12" spans="1:7" ht="15">
      <c r="C12" s="414" t="s">
        <v>840</v>
      </c>
    </row>
    <row r="13" spans="1:7" ht="15">
      <c r="B13" s="414"/>
    </row>
    <row r="14" spans="1:7" ht="48">
      <c r="A14" s="415" t="s">
        <v>841</v>
      </c>
      <c r="B14" s="415" t="s">
        <v>842</v>
      </c>
      <c r="C14" s="416" t="s">
        <v>843</v>
      </c>
      <c r="D14" s="417"/>
      <c r="E14" s="418"/>
      <c r="F14" s="418"/>
      <c r="G14" s="419"/>
    </row>
    <row r="15" spans="1:7" ht="12.75">
      <c r="A15" s="420" t="s">
        <v>481</v>
      </c>
      <c r="B15" s="140">
        <v>3878</v>
      </c>
      <c r="C15" s="421">
        <f>$D$4*B15</f>
        <v>4025.364</v>
      </c>
      <c r="D15" s="422"/>
      <c r="E15" s="423"/>
      <c r="F15" s="423"/>
    </row>
    <row r="16" spans="1:7" ht="12.75">
      <c r="A16" s="420" t="s">
        <v>844</v>
      </c>
      <c r="B16" s="140">
        <v>3684</v>
      </c>
      <c r="C16" s="421">
        <f>$D$4*B16</f>
        <v>3823.9920000000002</v>
      </c>
      <c r="D16" s="422"/>
      <c r="E16" s="423"/>
      <c r="F16" s="423"/>
    </row>
    <row r="17" spans="1:6" ht="12.75">
      <c r="A17" s="420" t="s">
        <v>845</v>
      </c>
      <c r="B17" s="140">
        <v>3471</v>
      </c>
      <c r="C17" s="421">
        <f>$D$4*B17</f>
        <v>3602.8980000000001</v>
      </c>
      <c r="D17" s="422"/>
      <c r="E17" s="423"/>
      <c r="F17" s="423"/>
    </row>
    <row r="18" spans="1:6" ht="12.75">
      <c r="A18" s="420" t="s">
        <v>846</v>
      </c>
      <c r="B18" s="140">
        <v>3841</v>
      </c>
      <c r="C18" s="421">
        <f>$D$4*B18</f>
        <v>3986.9580000000001</v>
      </c>
      <c r="D18" s="424"/>
      <c r="E18" s="423"/>
      <c r="F18" s="423"/>
    </row>
    <row r="21" spans="1:6" ht="12.75">
      <c r="A21" s="411" t="s">
        <v>847</v>
      </c>
    </row>
    <row r="22" spans="1:6">
      <c r="A22" s="410" t="s">
        <v>848</v>
      </c>
    </row>
    <row r="23" spans="1:6">
      <c r="A23" s="410" t="s">
        <v>849</v>
      </c>
      <c r="B23" s="410" t="s">
        <v>850</v>
      </c>
    </row>
    <row r="24" spans="1:6">
      <c r="B24" s="410" t="s">
        <v>835</v>
      </c>
    </row>
    <row r="25" spans="1:6">
      <c r="D25" s="410" t="s">
        <v>851</v>
      </c>
    </row>
    <row r="26" spans="1:6" ht="48">
      <c r="A26" s="420" t="s">
        <v>841</v>
      </c>
      <c r="B26" s="415" t="s">
        <v>852</v>
      </c>
      <c r="C26" s="415" t="s">
        <v>853</v>
      </c>
      <c r="D26" s="425" t="s">
        <v>854</v>
      </c>
      <c r="F26" s="426"/>
    </row>
    <row r="27" spans="1:6" ht="12.75">
      <c r="A27" s="420" t="s">
        <v>855</v>
      </c>
      <c r="B27" s="140">
        <v>447</v>
      </c>
      <c r="C27" s="427">
        <f>$D$4*B27</f>
        <v>463.98599999999999</v>
      </c>
      <c r="D27" s="427">
        <f>0.107330831159569*C27</f>
        <v>49.800003026403779</v>
      </c>
      <c r="F27" s="426"/>
    </row>
    <row r="28" spans="1:6" ht="12.75">
      <c r="A28" s="420" t="s">
        <v>856</v>
      </c>
      <c r="B28" s="140">
        <f t="shared" ref="B28:C30" si="0">B27</f>
        <v>447</v>
      </c>
      <c r="C28" s="427">
        <f t="shared" si="0"/>
        <v>463.98599999999999</v>
      </c>
      <c r="D28" s="427">
        <f>0.326747941243854*C28</f>
        <v>151.60647026597084</v>
      </c>
    </row>
    <row r="29" spans="1:6" ht="12.75">
      <c r="A29" s="420" t="s">
        <v>857</v>
      </c>
      <c r="B29" s="140">
        <f t="shared" si="0"/>
        <v>447</v>
      </c>
      <c r="C29" s="427">
        <f t="shared" si="0"/>
        <v>463.98599999999999</v>
      </c>
      <c r="D29" s="427">
        <f>0.175428330898285*C29</f>
        <v>81.396289540171665</v>
      </c>
    </row>
    <row r="30" spans="1:6" ht="12.75">
      <c r="A30" s="420" t="s">
        <v>846</v>
      </c>
      <c r="B30" s="140">
        <f t="shared" si="0"/>
        <v>447</v>
      </c>
      <c r="C30" s="427">
        <f t="shared" si="0"/>
        <v>463.98599999999999</v>
      </c>
      <c r="D30" s="427">
        <f>0.201726643136606*C30</f>
        <v>93.59833824238126</v>
      </c>
    </row>
    <row r="33" spans="1:6">
      <c r="A33" s="428" t="s">
        <v>858</v>
      </c>
    </row>
    <row r="34" spans="1:6">
      <c r="A34" s="429" t="s">
        <v>859</v>
      </c>
    </row>
    <row r="35" spans="1:6">
      <c r="A35" s="429" t="s">
        <v>860</v>
      </c>
    </row>
    <row r="36" spans="1:6" ht="60">
      <c r="A36" s="430"/>
      <c r="B36" s="431" t="s">
        <v>861</v>
      </c>
      <c r="C36" s="430" t="s">
        <v>862</v>
      </c>
      <c r="D36" s="431" t="s">
        <v>863</v>
      </c>
      <c r="E36" s="431" t="s">
        <v>864</v>
      </c>
      <c r="F36" s="432" t="s">
        <v>865</v>
      </c>
    </row>
    <row r="37" spans="1:6">
      <c r="A37" s="430" t="s">
        <v>866</v>
      </c>
      <c r="B37" s="430">
        <v>8389866</v>
      </c>
      <c r="C37" s="433">
        <f>B37/$B$41</f>
        <v>0.12524309341229914</v>
      </c>
      <c r="D37" s="430">
        <v>7.87</v>
      </c>
      <c r="E37" s="433">
        <f>D37/100</f>
        <v>7.8700000000000006E-2</v>
      </c>
      <c r="F37" s="434">
        <f>E37*$D$3</f>
        <v>8.0037899999999995E-2</v>
      </c>
    </row>
    <row r="38" spans="1:6">
      <c r="A38" s="430" t="s">
        <v>867</v>
      </c>
      <c r="B38" s="430">
        <v>2793468</v>
      </c>
      <c r="C38" s="433">
        <f>B38/$B$41</f>
        <v>4.1700615202706272E-2</v>
      </c>
      <c r="D38" s="430">
        <v>9.75</v>
      </c>
      <c r="E38" s="433">
        <f>D38/100</f>
        <v>9.7500000000000003E-2</v>
      </c>
      <c r="F38" s="435">
        <f>E38*$D$3</f>
        <v>9.9157499999999996E-2</v>
      </c>
    </row>
    <row r="39" spans="1:6">
      <c r="A39" s="430" t="s">
        <v>868</v>
      </c>
      <c r="B39" s="430">
        <v>19429175</v>
      </c>
      <c r="C39" s="433">
        <f>B39/$B$41</f>
        <v>0.29003681101091572</v>
      </c>
      <c r="D39" s="430">
        <v>8.2799999999999994</v>
      </c>
      <c r="E39" s="433">
        <f>D39/100</f>
        <v>8.2799999999999999E-2</v>
      </c>
      <c r="F39" s="434">
        <f>E39*$D$3</f>
        <v>8.4207599999999994E-2</v>
      </c>
    </row>
    <row r="40" spans="1:6">
      <c r="A40" s="430" t="s">
        <v>869</v>
      </c>
      <c r="B40" s="430">
        <v>36376143</v>
      </c>
      <c r="C40" s="433">
        <f>B40/$B$41</f>
        <v>0.54301948037407888</v>
      </c>
      <c r="D40" s="430">
        <v>9.5399999999999991</v>
      </c>
      <c r="E40" s="433">
        <f>D40/100</f>
        <v>9.5399999999999985E-2</v>
      </c>
      <c r="F40" s="434">
        <f>E40*$D$3</f>
        <v>9.7021799999999978E-2</v>
      </c>
    </row>
    <row r="41" spans="1:6">
      <c r="A41" s="430" t="s">
        <v>846</v>
      </c>
      <c r="B41" s="430">
        <v>66988652</v>
      </c>
      <c r="C41" s="433">
        <f>B41/$B$41</f>
        <v>1</v>
      </c>
      <c r="D41" s="436">
        <v>8.9741547813202747</v>
      </c>
      <c r="E41" s="433">
        <f>D41/100</f>
        <v>8.9741547813202746E-2</v>
      </c>
      <c r="F41" s="437">
        <f>E41*$D$3</f>
        <v>9.1267154126027178E-2</v>
      </c>
    </row>
    <row r="42" spans="1:6">
      <c r="F42" s="438"/>
    </row>
    <row r="111" spans="1:2">
      <c r="A111" s="410" t="s">
        <v>870</v>
      </c>
    </row>
    <row r="112" spans="1:2">
      <c r="A112" s="410" t="s">
        <v>472</v>
      </c>
      <c r="B112" s="410" t="s">
        <v>871</v>
      </c>
    </row>
    <row r="113" spans="1:2">
      <c r="A113" s="410" t="s">
        <v>475</v>
      </c>
      <c r="B113" s="410" t="s">
        <v>872</v>
      </c>
    </row>
    <row r="114" spans="1:2">
      <c r="A114" s="410" t="s">
        <v>478</v>
      </c>
      <c r="B114" s="410" t="s">
        <v>873</v>
      </c>
    </row>
    <row r="115" spans="1:2">
      <c r="A115" s="410" t="s">
        <v>473</v>
      </c>
      <c r="B115" s="410" t="s">
        <v>874</v>
      </c>
    </row>
    <row r="116" spans="1:2">
      <c r="A116" s="410" t="s">
        <v>476</v>
      </c>
      <c r="B116" s="410" t="s">
        <v>875</v>
      </c>
    </row>
    <row r="117" spans="1:2">
      <c r="A117" s="410" t="s">
        <v>479</v>
      </c>
      <c r="B117" s="410" t="s">
        <v>876</v>
      </c>
    </row>
    <row r="118" spans="1:2">
      <c r="A118" s="410" t="s">
        <v>474</v>
      </c>
      <c r="B118" s="410" t="s">
        <v>877</v>
      </c>
    </row>
    <row r="119" spans="1:2">
      <c r="A119" s="410" t="s">
        <v>477</v>
      </c>
      <c r="B119" s="410" t="s">
        <v>878</v>
      </c>
    </row>
    <row r="120" spans="1:2">
      <c r="A120" s="410" t="s">
        <v>480</v>
      </c>
      <c r="B120" s="410" t="s">
        <v>879</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dimension ref="A1:CB135"/>
  <sheetViews>
    <sheetView workbookViewId="0">
      <selection activeCell="A13" sqref="A13"/>
    </sheetView>
  </sheetViews>
  <sheetFormatPr defaultRowHeight="12.75"/>
  <cols>
    <col min="1" max="1" width="35" style="7" customWidth="1"/>
    <col min="2" max="2" width="29.28515625" style="7" customWidth="1"/>
    <col min="3" max="3" width="19.85546875" style="7" customWidth="1"/>
    <col min="4" max="4" width="57.7109375" style="7" customWidth="1"/>
    <col min="5" max="5" width="10.7109375" style="7" customWidth="1"/>
    <col min="6" max="25" width="9.5703125" style="7" bestFit="1" customWidth="1"/>
    <col min="26" max="28" width="9.140625" style="7"/>
    <col min="29" max="29" width="21.7109375" style="7" customWidth="1"/>
    <col min="30" max="30" width="35.85546875" style="7" customWidth="1"/>
    <col min="31" max="31" width="35.28515625" style="7" customWidth="1"/>
    <col min="32" max="32" width="15" style="7" customWidth="1"/>
    <col min="33" max="33" width="17.7109375" style="7" customWidth="1"/>
    <col min="34" max="34" width="15.140625" style="7" customWidth="1"/>
    <col min="35" max="35" width="15.7109375" style="7" customWidth="1"/>
    <col min="36" max="36" width="21.28515625" style="7" customWidth="1"/>
    <col min="37" max="37" width="17.7109375" style="7" bestFit="1" customWidth="1"/>
    <col min="38" max="38" width="15.42578125" style="7" bestFit="1" customWidth="1"/>
    <col min="39" max="39" width="14.28515625" style="7" bestFit="1" customWidth="1"/>
    <col min="40" max="40" width="14.28515625" style="7" customWidth="1"/>
    <col min="41" max="41" width="12.5703125" style="7" customWidth="1"/>
    <col min="42" max="42" width="14" style="7" bestFit="1" customWidth="1"/>
    <col min="43" max="44" width="10.85546875" style="7" bestFit="1" customWidth="1"/>
    <col min="45" max="45" width="13.42578125" style="7" customWidth="1"/>
    <col min="46" max="46" width="11.85546875" style="7" bestFit="1" customWidth="1"/>
    <col min="47" max="47" width="11" style="7" bestFit="1" customWidth="1"/>
    <col min="48" max="48" width="14.28515625" style="7" bestFit="1" customWidth="1"/>
    <col min="49" max="49" width="10.7109375" style="7" customWidth="1"/>
    <col min="50" max="50" width="13.85546875" style="7" bestFit="1" customWidth="1"/>
    <col min="51" max="51" width="11.7109375" style="7" bestFit="1" customWidth="1"/>
    <col min="52" max="52" width="15.28515625" style="7" bestFit="1" customWidth="1"/>
    <col min="53" max="55" width="12.28515625" style="7" bestFit="1" customWidth="1"/>
    <col min="56" max="56" width="12.5703125" style="7" bestFit="1" customWidth="1"/>
    <col min="57" max="59" width="14.28515625" style="7" bestFit="1" customWidth="1"/>
    <col min="60" max="60" width="13.7109375" style="7" bestFit="1" customWidth="1"/>
    <col min="61" max="61" width="14" style="7" bestFit="1" customWidth="1"/>
    <col min="62" max="62" width="12.85546875" style="7" bestFit="1" customWidth="1"/>
    <col min="63" max="63" width="15.28515625" style="7" bestFit="1" customWidth="1"/>
    <col min="64" max="64" width="12.28515625" style="7" bestFit="1" customWidth="1"/>
    <col min="65" max="65" width="10.85546875" style="7" bestFit="1" customWidth="1"/>
    <col min="66" max="66" width="12.28515625" style="7" bestFit="1" customWidth="1"/>
    <col min="67" max="67" width="12.5703125" style="7" bestFit="1" customWidth="1"/>
    <col min="68" max="16384" width="9.140625" style="7"/>
  </cols>
  <sheetData>
    <row r="1" spans="1:69">
      <c r="A1" s="45" t="s">
        <v>54</v>
      </c>
      <c r="B1" s="444" t="s">
        <v>913</v>
      </c>
      <c r="C1" s="444"/>
      <c r="D1" s="444"/>
      <c r="E1" s="444"/>
      <c r="F1" s="444"/>
      <c r="G1" s="444"/>
      <c r="H1" s="444"/>
      <c r="I1" s="444"/>
      <c r="J1" s="444"/>
      <c r="K1" s="444"/>
      <c r="L1" s="444"/>
      <c r="M1" s="444"/>
      <c r="N1" s="444"/>
      <c r="O1" s="444"/>
      <c r="P1" s="444"/>
      <c r="Q1" s="444"/>
      <c r="R1" s="444"/>
      <c r="S1" s="444"/>
      <c r="T1" s="444"/>
    </row>
    <row r="2" spans="1:69">
      <c r="A2" s="46" t="s">
        <v>137</v>
      </c>
      <c r="B2" s="444"/>
      <c r="C2" s="444"/>
      <c r="D2" s="444"/>
      <c r="E2" s="444"/>
      <c r="F2" s="444"/>
      <c r="G2" s="444"/>
      <c r="H2" s="444"/>
      <c r="I2" s="444"/>
      <c r="J2" s="444"/>
      <c r="K2" s="444"/>
      <c r="L2" s="444"/>
      <c r="M2" s="444"/>
      <c r="N2" s="444"/>
      <c r="O2" s="444"/>
      <c r="P2" s="444"/>
      <c r="Q2" s="444"/>
      <c r="R2" s="444"/>
      <c r="S2" s="444"/>
      <c r="T2" s="444"/>
    </row>
    <row r="3" spans="1:69">
      <c r="B3" s="444"/>
      <c r="C3" s="444"/>
      <c r="D3" s="444"/>
      <c r="E3" s="444"/>
      <c r="F3" s="444"/>
      <c r="G3" s="444"/>
      <c r="H3" s="444"/>
      <c r="I3" s="444"/>
      <c r="J3" s="444"/>
      <c r="K3" s="444"/>
      <c r="L3" s="444"/>
      <c r="M3" s="444"/>
      <c r="N3" s="444"/>
      <c r="O3" s="444"/>
      <c r="P3" s="444"/>
      <c r="Q3" s="444"/>
      <c r="R3" s="444"/>
      <c r="S3" s="444"/>
      <c r="T3" s="444"/>
    </row>
    <row r="4" spans="1:69">
      <c r="B4" s="444"/>
      <c r="C4" s="444"/>
      <c r="D4" s="444"/>
      <c r="E4" s="444"/>
      <c r="F4" s="444"/>
      <c r="G4" s="444"/>
      <c r="H4" s="444"/>
      <c r="I4" s="444"/>
      <c r="J4" s="444"/>
      <c r="K4" s="444"/>
      <c r="L4" s="444"/>
      <c r="M4" s="444"/>
      <c r="N4" s="444"/>
      <c r="O4" s="444"/>
      <c r="P4" s="444"/>
      <c r="Q4" s="444"/>
      <c r="R4" s="444"/>
      <c r="S4" s="444"/>
      <c r="T4" s="444"/>
    </row>
    <row r="5" spans="1:69">
      <c r="B5" s="444"/>
      <c r="C5" s="444"/>
      <c r="D5" s="444"/>
      <c r="E5" s="444"/>
      <c r="F5" s="444"/>
      <c r="G5" s="444"/>
      <c r="H5" s="444"/>
      <c r="I5" s="444"/>
      <c r="J5" s="444"/>
      <c r="K5" s="444"/>
      <c r="L5" s="444"/>
      <c r="M5" s="444"/>
      <c r="N5" s="444"/>
      <c r="O5" s="444"/>
      <c r="P5" s="444"/>
      <c r="Q5" s="444"/>
      <c r="R5" s="444"/>
      <c r="S5" s="444"/>
      <c r="T5" s="444"/>
    </row>
    <row r="6" spans="1:69">
      <c r="B6" s="444"/>
      <c r="C6" s="444"/>
      <c r="D6" s="444"/>
      <c r="E6" s="444"/>
      <c r="F6" s="444"/>
      <c r="G6" s="444"/>
      <c r="H6" s="444"/>
      <c r="I6" s="444"/>
      <c r="J6" s="444"/>
      <c r="K6" s="444"/>
      <c r="L6" s="444"/>
      <c r="M6" s="444"/>
      <c r="N6" s="444"/>
      <c r="O6" s="444"/>
      <c r="P6" s="444"/>
      <c r="Q6" s="444"/>
      <c r="R6" s="444"/>
      <c r="S6" s="444"/>
      <c r="T6" s="444"/>
    </row>
    <row r="7" spans="1:69">
      <c r="A7" s="440"/>
      <c r="B7" s="440" t="s">
        <v>48</v>
      </c>
      <c r="C7" s="51" t="s">
        <v>806</v>
      </c>
      <c r="D7" s="51" t="s">
        <v>806</v>
      </c>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row>
    <row r="8" spans="1:69">
      <c r="A8" s="440" t="s">
        <v>912</v>
      </c>
      <c r="B8" s="440" t="s">
        <v>55</v>
      </c>
      <c r="C8" s="51" t="str">
        <f>[2]MLIST!$B$45</f>
        <v>ASHP</v>
      </c>
      <c r="D8" s="51" t="str">
        <f>[1]!switch_ForecastState</f>
        <v>Region</v>
      </c>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row>
    <row r="9" spans="1:69">
      <c r="A9" s="440" t="str">
        <f>INDEX([2]ACHIEV!$A$19:$B$100,MATCH(CONCATENATE($C$8," - ",$C$7),[2]ACHIEV!$B$19:$B$100,0),1)</f>
        <v>HVAC</v>
      </c>
      <c r="B9" s="441" t="s">
        <v>56</v>
      </c>
      <c r="C9" s="51">
        <f>[2]FILES!$H$4</f>
        <v>2035</v>
      </c>
      <c r="D9" s="51" t="str">
        <f>[1]!switch_ForecastScenario</f>
        <v>Base</v>
      </c>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row>
    <row r="10" spans="1:69">
      <c r="A10" s="440"/>
      <c r="B10" s="440" t="s">
        <v>914</v>
      </c>
      <c r="C10" s="443" t="e">
        <f>MIN(SUM(E45:X45),Y45)</f>
        <v>#N/A</v>
      </c>
      <c r="D10" s="54"/>
      <c r="E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row>
    <row r="11" spans="1:69" ht="15">
      <c r="A11" s="55" t="str">
        <f>CONCATENATE("# HOMES AVAILABLE FOR MEASURE -",$C$8)</f>
        <v># HOMES AVAILABLE FOR MEASURE -ASHP</v>
      </c>
      <c r="C11" s="7" t="s">
        <v>807</v>
      </c>
      <c r="E11" s="58">
        <v>2016</v>
      </c>
      <c r="F11" s="59">
        <v>2017</v>
      </c>
      <c r="G11" s="59">
        <v>2018</v>
      </c>
      <c r="H11" s="59">
        <v>2019</v>
      </c>
      <c r="I11" s="59">
        <v>2020</v>
      </c>
      <c r="J11" s="59">
        <v>2021</v>
      </c>
      <c r="K11" s="59">
        <v>2022</v>
      </c>
      <c r="L11" s="59">
        <v>2023</v>
      </c>
      <c r="M11" s="59">
        <v>2024</v>
      </c>
      <c r="N11" s="59">
        <v>2025</v>
      </c>
      <c r="O11" s="59">
        <v>2026</v>
      </c>
      <c r="P11" s="59">
        <v>2027</v>
      </c>
      <c r="Q11" s="59">
        <v>2028</v>
      </c>
      <c r="R11" s="59">
        <v>2029</v>
      </c>
      <c r="S11" s="59">
        <v>2030</v>
      </c>
      <c r="T11" s="59">
        <v>2031</v>
      </c>
      <c r="U11" s="59">
        <v>2032</v>
      </c>
      <c r="V11" s="59">
        <v>2033</v>
      </c>
      <c r="W11" s="59">
        <v>2034</v>
      </c>
      <c r="X11" s="59">
        <v>2035</v>
      </c>
      <c r="Y11" s="60"/>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row>
    <row r="12" spans="1:69" ht="15">
      <c r="E12" s="61" t="str">
        <f>CONCATENATE("Homes_",E11)</f>
        <v>Homes_2016</v>
      </c>
      <c r="F12" s="62" t="str">
        <f t="shared" ref="F12:X12" si="0">CONCATENATE("Homes_",F11)</f>
        <v>Homes_2017</v>
      </c>
      <c r="G12" s="62" t="str">
        <f t="shared" si="0"/>
        <v>Homes_2018</v>
      </c>
      <c r="H12" s="62" t="str">
        <f t="shared" si="0"/>
        <v>Homes_2019</v>
      </c>
      <c r="I12" s="62" t="str">
        <f t="shared" si="0"/>
        <v>Homes_2020</v>
      </c>
      <c r="J12" s="62" t="str">
        <f t="shared" si="0"/>
        <v>Homes_2021</v>
      </c>
      <c r="K12" s="62" t="str">
        <f t="shared" si="0"/>
        <v>Homes_2022</v>
      </c>
      <c r="L12" s="62" t="str">
        <f t="shared" si="0"/>
        <v>Homes_2023</v>
      </c>
      <c r="M12" s="62" t="str">
        <f t="shared" si="0"/>
        <v>Homes_2024</v>
      </c>
      <c r="N12" s="62" t="str">
        <f t="shared" si="0"/>
        <v>Homes_2025</v>
      </c>
      <c r="O12" s="62" t="str">
        <f t="shared" si="0"/>
        <v>Homes_2026</v>
      </c>
      <c r="P12" s="62" t="str">
        <f t="shared" si="0"/>
        <v>Homes_2027</v>
      </c>
      <c r="Q12" s="62" t="str">
        <f t="shared" si="0"/>
        <v>Homes_2028</v>
      </c>
      <c r="R12" s="62" t="str">
        <f t="shared" si="0"/>
        <v>Homes_2029</v>
      </c>
      <c r="S12" s="62" t="str">
        <f t="shared" si="0"/>
        <v>Homes_2030</v>
      </c>
      <c r="T12" s="62" t="str">
        <f t="shared" si="0"/>
        <v>Homes_2031</v>
      </c>
      <c r="U12" s="62" t="str">
        <f t="shared" si="0"/>
        <v>Homes_2032</v>
      </c>
      <c r="V12" s="62" t="str">
        <f t="shared" si="0"/>
        <v>Homes_2033</v>
      </c>
      <c r="W12" s="62" t="str">
        <f t="shared" si="0"/>
        <v>Homes_2034</v>
      </c>
      <c r="X12" s="62" t="str">
        <f t="shared" si="0"/>
        <v>Homes_2035</v>
      </c>
      <c r="Y12" s="63"/>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row>
    <row r="13" spans="1:69">
      <c r="B13" s="7" t="s">
        <v>806</v>
      </c>
      <c r="C13" s="7" t="s">
        <v>49</v>
      </c>
      <c r="E13" s="35">
        <f>INDEX([1]!tbl_Forecast,MATCH($D$8&amp;$C13&amp;$D$7,[1]!rng_ForecastRowLookup,0),MATCH(E$11,[1]!rng_ForecastColumnLookup,0))</f>
        <v>62685.758999999998</v>
      </c>
      <c r="F13" s="35">
        <f>INDEX([1]!tbl_Forecast,MATCH($D$8&amp;$C13&amp;$D$7,[1]!rng_ForecastRowLookup,0),MATCH(F$11,[1]!rng_ForecastColumnLookup,0))</f>
        <v>59961.781000000003</v>
      </c>
      <c r="G13" s="35">
        <f>INDEX([1]!tbl_Forecast,MATCH($D$8&amp;$C13&amp;$D$7,[1]!rng_ForecastRowLookup,0),MATCH(G$11,[1]!rng_ForecastColumnLookup,0))</f>
        <v>56834.012000000002</v>
      </c>
      <c r="H13" s="35">
        <f>INDEX([1]!tbl_Forecast,MATCH($D$8&amp;$C13&amp;$D$7,[1]!rng_ForecastRowLookup,0),MATCH(H$11,[1]!rng_ForecastColumnLookup,0))</f>
        <v>54985.192999999999</v>
      </c>
      <c r="I13" s="35">
        <f>INDEX([1]!tbl_Forecast,MATCH($D$8&amp;$C13&amp;$D$7,[1]!rng_ForecastRowLookup,0),MATCH(I$11,[1]!rng_ForecastColumnLookup,0))</f>
        <v>53507.474000000002</v>
      </c>
      <c r="J13" s="35">
        <f>INDEX([1]!tbl_Forecast,MATCH($D$8&amp;$C13&amp;$D$7,[1]!rng_ForecastRowLookup,0),MATCH(J$11,[1]!rng_ForecastColumnLookup,0))</f>
        <v>50982.05</v>
      </c>
      <c r="K13" s="35">
        <f>INDEX([1]!tbl_Forecast,MATCH($D$8&amp;$C13&amp;$D$7,[1]!rng_ForecastRowLookup,0),MATCH(K$11,[1]!rng_ForecastColumnLookup,0))</f>
        <v>49561.669000000002</v>
      </c>
      <c r="L13" s="35">
        <f>INDEX([1]!tbl_Forecast,MATCH($D$8&amp;$C13&amp;$D$7,[1]!rng_ForecastRowLookup,0),MATCH(L$11,[1]!rng_ForecastColumnLookup,0))</f>
        <v>49324.517999999996</v>
      </c>
      <c r="M13" s="35">
        <f>INDEX([1]!tbl_Forecast,MATCH($D$8&amp;$C13&amp;$D$7,[1]!rng_ForecastRowLookup,0),MATCH(M$11,[1]!rng_ForecastColumnLookup,0))</f>
        <v>48815.77</v>
      </c>
      <c r="N13" s="35">
        <f>INDEX([1]!tbl_Forecast,MATCH($D$8&amp;$C13&amp;$D$7,[1]!rng_ForecastRowLookup,0),MATCH(N$11,[1]!rng_ForecastColumnLookup,0))</f>
        <v>49683.252</v>
      </c>
      <c r="O13" s="35">
        <f>INDEX([1]!tbl_Forecast,MATCH($D$8&amp;$C13&amp;$D$7,[1]!rng_ForecastRowLookup,0),MATCH(O$11,[1]!rng_ForecastColumnLookup,0))</f>
        <v>50030.137000000002</v>
      </c>
      <c r="P13" s="35">
        <f>INDEX([1]!tbl_Forecast,MATCH($D$8&amp;$C13&amp;$D$7,[1]!rng_ForecastRowLookup,0),MATCH(P$11,[1]!rng_ForecastColumnLookup,0))</f>
        <v>49387.762999999999</v>
      </c>
      <c r="Q13" s="35">
        <f>INDEX([1]!tbl_Forecast,MATCH($D$8&amp;$C13&amp;$D$7,[1]!rng_ForecastRowLookup,0),MATCH(Q$11,[1]!rng_ForecastColumnLookup,0))</f>
        <v>48079.345999999998</v>
      </c>
      <c r="R13" s="35">
        <f>INDEX([1]!tbl_Forecast,MATCH($D$8&amp;$C13&amp;$D$7,[1]!rng_ForecastRowLookup,0),MATCH(R$11,[1]!rng_ForecastColumnLookup,0))</f>
        <v>48129.050999999999</v>
      </c>
      <c r="S13" s="35">
        <f>INDEX([1]!tbl_Forecast,MATCH($D$8&amp;$C13&amp;$D$7,[1]!rng_ForecastRowLookup,0),MATCH(S$11,[1]!rng_ForecastColumnLookup,0))</f>
        <v>48690.569000000003</v>
      </c>
      <c r="T13" s="35">
        <f>INDEX([1]!tbl_Forecast,MATCH($D$8&amp;$C13&amp;$D$7,[1]!rng_ForecastRowLookup,0),MATCH(T$11,[1]!rng_ForecastColumnLookup,0))</f>
        <v>48482.864000000001</v>
      </c>
      <c r="U13" s="35">
        <f>INDEX([1]!tbl_Forecast,MATCH($D$8&amp;$C13&amp;$D$7,[1]!rng_ForecastRowLookup,0),MATCH(U$11,[1]!rng_ForecastColumnLookup,0))</f>
        <v>46879.000999999997</v>
      </c>
      <c r="V13" s="35">
        <f>INDEX([1]!tbl_Forecast,MATCH($D$8&amp;$C13&amp;$D$7,[1]!rng_ForecastRowLookup,0),MATCH(V$11,[1]!rng_ForecastColumnLookup,0))</f>
        <v>46798.777999999998</v>
      </c>
      <c r="W13" s="35">
        <f>INDEX([1]!tbl_Forecast,MATCH($D$8&amp;$C13&amp;$D$7,[1]!rng_ForecastRowLookup,0),MATCH(W$11,[1]!rng_ForecastColumnLookup,0))</f>
        <v>46917.627</v>
      </c>
      <c r="X13" s="35">
        <f>INDEX([1]!tbl_Forecast,MATCH($D$8&amp;$C13&amp;$D$7,[1]!rng_ForecastRowLookup,0),MATCH(X$11,[1]!rng_ForecastColumnLookup,0))</f>
        <v>47236.144999999997</v>
      </c>
      <c r="Y13" s="35"/>
      <c r="AA13" s="35">
        <f>SUM(E13:Y13)</f>
        <v>1016972.7590000002</v>
      </c>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row>
    <row r="14" spans="1:69">
      <c r="E14" s="35"/>
      <c r="F14" s="35"/>
      <c r="G14" s="35"/>
      <c r="H14" s="35"/>
      <c r="I14" s="35"/>
      <c r="J14" s="35"/>
      <c r="K14" s="35"/>
      <c r="L14" s="35"/>
      <c r="M14" s="35"/>
      <c r="N14" s="35"/>
      <c r="O14" s="35"/>
      <c r="P14" s="35"/>
      <c r="Q14" s="35"/>
      <c r="R14" s="35"/>
      <c r="S14" s="35"/>
      <c r="T14" s="35"/>
      <c r="U14" s="35"/>
      <c r="V14" s="35"/>
      <c r="W14" s="35"/>
      <c r="X14" s="35"/>
      <c r="Y14" s="35"/>
      <c r="AA14" s="35"/>
    </row>
    <row r="15" spans="1:69">
      <c r="E15" s="35"/>
      <c r="F15" s="35"/>
      <c r="G15" s="35"/>
      <c r="H15" s="35"/>
      <c r="I15" s="35"/>
      <c r="J15" s="35"/>
      <c r="K15" s="35"/>
      <c r="L15" s="35"/>
      <c r="M15" s="35"/>
      <c r="N15" s="35"/>
      <c r="O15" s="35"/>
      <c r="P15" s="35"/>
      <c r="Q15" s="35"/>
      <c r="R15" s="35"/>
      <c r="S15" s="35"/>
      <c r="T15" s="35"/>
      <c r="U15" s="35"/>
      <c r="V15" s="35"/>
      <c r="W15" s="35"/>
      <c r="X15" s="35"/>
      <c r="Y15" s="35"/>
    </row>
    <row r="16" spans="1:69">
      <c r="B16" s="7" t="s">
        <v>808</v>
      </c>
      <c r="C16" s="7" t="s">
        <v>58</v>
      </c>
      <c r="E16" s="35">
        <f t="shared" ref="E16:X16" si="1">SUM(E13:E14)</f>
        <v>62685.758999999998</v>
      </c>
      <c r="F16" s="35">
        <f t="shared" si="1"/>
        <v>59961.781000000003</v>
      </c>
      <c r="G16" s="35">
        <f t="shared" si="1"/>
        <v>56834.012000000002</v>
      </c>
      <c r="H16" s="35">
        <f t="shared" si="1"/>
        <v>54985.192999999999</v>
      </c>
      <c r="I16" s="35">
        <f t="shared" si="1"/>
        <v>53507.474000000002</v>
      </c>
      <c r="J16" s="35">
        <f t="shared" si="1"/>
        <v>50982.05</v>
      </c>
      <c r="K16" s="35">
        <f t="shared" si="1"/>
        <v>49561.669000000002</v>
      </c>
      <c r="L16" s="35">
        <f t="shared" si="1"/>
        <v>49324.517999999996</v>
      </c>
      <c r="M16" s="35">
        <f t="shared" si="1"/>
        <v>48815.77</v>
      </c>
      <c r="N16" s="35">
        <f t="shared" si="1"/>
        <v>49683.252</v>
      </c>
      <c r="O16" s="35">
        <f t="shared" si="1"/>
        <v>50030.137000000002</v>
      </c>
      <c r="P16" s="35">
        <f t="shared" si="1"/>
        <v>49387.762999999999</v>
      </c>
      <c r="Q16" s="35">
        <f t="shared" si="1"/>
        <v>48079.345999999998</v>
      </c>
      <c r="R16" s="35">
        <f t="shared" si="1"/>
        <v>48129.050999999999</v>
      </c>
      <c r="S16" s="35">
        <f t="shared" si="1"/>
        <v>48690.569000000003</v>
      </c>
      <c r="T16" s="35">
        <f t="shared" si="1"/>
        <v>48482.864000000001</v>
      </c>
      <c r="U16" s="35">
        <f t="shared" si="1"/>
        <v>46879.000999999997</v>
      </c>
      <c r="V16" s="35">
        <f t="shared" si="1"/>
        <v>46798.777999999998</v>
      </c>
      <c r="W16" s="35">
        <f t="shared" si="1"/>
        <v>46917.627</v>
      </c>
      <c r="X16" s="35">
        <f t="shared" si="1"/>
        <v>47236.144999999997</v>
      </c>
      <c r="Y16" s="35"/>
      <c r="AA16" s="35">
        <f>SUM(E16:Y16)</f>
        <v>1016972.7590000002</v>
      </c>
    </row>
    <row r="17" spans="1:27">
      <c r="E17" s="35"/>
      <c r="F17" s="35"/>
      <c r="G17" s="35"/>
      <c r="H17" s="35"/>
      <c r="I17" s="35"/>
      <c r="J17" s="35"/>
      <c r="K17" s="35"/>
      <c r="L17" s="35"/>
      <c r="M17" s="35"/>
      <c r="N17" s="35"/>
      <c r="O17" s="35"/>
      <c r="P17" s="35"/>
      <c r="Q17" s="35"/>
      <c r="R17" s="35"/>
      <c r="S17" s="35"/>
      <c r="T17" s="35"/>
      <c r="U17" s="35"/>
      <c r="V17" s="35"/>
      <c r="W17" s="35"/>
      <c r="X17" s="35"/>
      <c r="Y17" s="35"/>
    </row>
    <row r="18" spans="1:27">
      <c r="E18" s="35"/>
      <c r="F18" s="35"/>
      <c r="G18" s="35"/>
      <c r="H18" s="35"/>
      <c r="I18" s="35"/>
      <c r="J18" s="35"/>
      <c r="K18" s="35"/>
      <c r="L18" s="35"/>
      <c r="M18" s="35"/>
      <c r="N18" s="35"/>
      <c r="O18" s="35"/>
      <c r="P18" s="35"/>
      <c r="Q18" s="35"/>
      <c r="R18" s="35"/>
      <c r="S18" s="35"/>
      <c r="T18" s="35"/>
      <c r="U18" s="35"/>
      <c r="V18" s="35"/>
      <c r="W18" s="35"/>
      <c r="X18" s="35"/>
      <c r="Y18" s="35"/>
    </row>
    <row r="19" spans="1:27" ht="15">
      <c r="A19" s="55" t="str">
        <f>CONCATENATE("# HOMES APPLICABLE BY YEAR FOR MEASURE - ",C20)</f>
        <v># HOMES APPLICABLE BY YEAR FOR MEASURE - ASHP - New</v>
      </c>
      <c r="E19" s="35"/>
      <c r="F19" s="35"/>
      <c r="G19" s="35"/>
      <c r="H19" s="35"/>
      <c r="I19" s="35"/>
      <c r="J19" s="35"/>
      <c r="K19" s="35"/>
      <c r="L19" s="35"/>
      <c r="M19" s="35"/>
      <c r="N19" s="35"/>
      <c r="O19" s="35"/>
      <c r="P19" s="35"/>
      <c r="Q19" s="35"/>
      <c r="R19" s="35"/>
      <c r="S19" s="35"/>
      <c r="T19" s="35"/>
      <c r="U19" s="35"/>
      <c r="V19" s="35"/>
      <c r="W19" s="35"/>
      <c r="X19" s="35"/>
      <c r="Y19" s="35"/>
    </row>
    <row r="20" spans="1:27" ht="15">
      <c r="A20" s="64" t="s">
        <v>59</v>
      </c>
      <c r="B20" s="64" t="s">
        <v>809</v>
      </c>
      <c r="C20" s="64" t="str">
        <f>CONCATENATE(C8," - ",C7)</f>
        <v>ASHP - New</v>
      </c>
      <c r="D20" s="64"/>
    </row>
    <row r="21" spans="1:27">
      <c r="A21" s="56">
        <f>INDEX([2]!ResApplic,MATCH($C$20,[2]APPLIC!$B$9:$B$120,0)+1,MATCH($C21,[2]APPLIC!$C$8:$F$8,0)+1)</f>
        <v>0.88200000000000001</v>
      </c>
      <c r="B21" s="56">
        <f>'HVAC weighting'!B40</f>
        <v>2.1766292465668989E-2</v>
      </c>
      <c r="C21" s="7" t="str">
        <f>C13</f>
        <v>Single Family</v>
      </c>
      <c r="E21" s="35">
        <f>E13*$A21*$B21</f>
        <v>1203.4330492949218</v>
      </c>
      <c r="F21" s="35">
        <f t="shared" ref="F21:X21" si="2">F13*$A21*$B21</f>
        <v>1151.1384738914035</v>
      </c>
      <c r="G21" s="35">
        <f t="shared" si="2"/>
        <v>1091.0919713809988</v>
      </c>
      <c r="H21" s="35">
        <f t="shared" si="2"/>
        <v>1055.5985846491831</v>
      </c>
      <c r="I21" s="35">
        <f t="shared" si="2"/>
        <v>1027.2295274575642</v>
      </c>
      <c r="J21" s="35">
        <f t="shared" si="2"/>
        <v>978.74676592503533</v>
      </c>
      <c r="K21" s="35">
        <f t="shared" si="2"/>
        <v>951.4784762008801</v>
      </c>
      <c r="L21" s="35">
        <f t="shared" si="2"/>
        <v>946.9256821432482</v>
      </c>
      <c r="M21" s="35">
        <f t="shared" si="2"/>
        <v>937.15880419952418</v>
      </c>
      <c r="N21" s="35">
        <f t="shared" si="2"/>
        <v>953.81261082358469</v>
      </c>
      <c r="O21" s="35">
        <f t="shared" si="2"/>
        <v>960.47206394282784</v>
      </c>
      <c r="P21" s="35">
        <f t="shared" si="2"/>
        <v>948.13985142853448</v>
      </c>
      <c r="Q21" s="35">
        <f t="shared" si="2"/>
        <v>923.02103201598959</v>
      </c>
      <c r="R21" s="35">
        <f t="shared" si="2"/>
        <v>923.97526214208881</v>
      </c>
      <c r="S21" s="35">
        <f t="shared" si="2"/>
        <v>934.75521168332352</v>
      </c>
      <c r="T21" s="35">
        <f t="shared" si="2"/>
        <v>930.76771810437822</v>
      </c>
      <c r="U21" s="35">
        <f t="shared" si="2"/>
        <v>899.97696480519107</v>
      </c>
      <c r="V21" s="35">
        <f t="shared" si="2"/>
        <v>898.4368540838135</v>
      </c>
      <c r="W21" s="35">
        <f t="shared" si="2"/>
        <v>900.71850173006214</v>
      </c>
      <c r="X21" s="35">
        <f t="shared" si="2"/>
        <v>906.83336887229962</v>
      </c>
      <c r="Y21" s="35"/>
      <c r="AA21" s="35">
        <f t="shared" ref="AA21" si="3">SUM(E21:Y21)</f>
        <v>19523.710774774849</v>
      </c>
    </row>
    <row r="22" spans="1:27">
      <c r="A22" s="56"/>
      <c r="B22" s="56"/>
      <c r="C22"/>
      <c r="D22"/>
      <c r="E22" s="35"/>
      <c r="F22" s="35"/>
      <c r="G22" s="35"/>
      <c r="H22" s="35"/>
      <c r="I22" s="35"/>
      <c r="J22" s="35"/>
      <c r="K22" s="35"/>
      <c r="L22" s="35"/>
      <c r="M22" s="35"/>
      <c r="N22" s="35"/>
      <c r="O22" s="35"/>
      <c r="P22" s="35"/>
      <c r="Q22" s="35"/>
      <c r="R22" s="35"/>
      <c r="S22" s="35"/>
      <c r="T22" s="35"/>
      <c r="U22" s="35"/>
      <c r="V22" s="35"/>
      <c r="W22" s="35"/>
      <c r="X22" s="35"/>
      <c r="Y22" s="35"/>
      <c r="AA22" s="35"/>
    </row>
    <row r="23" spans="1:27">
      <c r="E23" s="35"/>
      <c r="F23" s="35"/>
      <c r="G23" s="35"/>
      <c r="H23" s="35"/>
      <c r="I23" s="35"/>
      <c r="J23" s="35"/>
      <c r="K23" s="35"/>
      <c r="L23" s="35"/>
      <c r="M23" s="35"/>
      <c r="N23" s="35"/>
      <c r="O23" s="35"/>
      <c r="P23" s="35"/>
      <c r="Q23" s="35"/>
      <c r="R23" s="35"/>
      <c r="S23" s="35"/>
      <c r="T23" s="35"/>
      <c r="U23" s="35"/>
      <c r="V23" s="35"/>
      <c r="W23" s="35"/>
      <c r="X23" s="35"/>
      <c r="Y23" s="35"/>
    </row>
    <row r="24" spans="1:27">
      <c r="E24" s="35">
        <f t="shared" ref="E24:X24" si="4">SUM(E21:E22)</f>
        <v>1203.4330492949218</v>
      </c>
      <c r="F24" s="35">
        <f t="shared" si="4"/>
        <v>1151.1384738914035</v>
      </c>
      <c r="G24" s="35">
        <f t="shared" si="4"/>
        <v>1091.0919713809988</v>
      </c>
      <c r="H24" s="35">
        <f t="shared" si="4"/>
        <v>1055.5985846491831</v>
      </c>
      <c r="I24" s="35">
        <f t="shared" si="4"/>
        <v>1027.2295274575642</v>
      </c>
      <c r="J24" s="35">
        <f t="shared" si="4"/>
        <v>978.74676592503533</v>
      </c>
      <c r="K24" s="35">
        <f t="shared" si="4"/>
        <v>951.4784762008801</v>
      </c>
      <c r="L24" s="35">
        <f t="shared" si="4"/>
        <v>946.9256821432482</v>
      </c>
      <c r="M24" s="35">
        <f t="shared" si="4"/>
        <v>937.15880419952418</v>
      </c>
      <c r="N24" s="35">
        <f t="shared" si="4"/>
        <v>953.81261082358469</v>
      </c>
      <c r="O24" s="35">
        <f t="shared" si="4"/>
        <v>960.47206394282784</v>
      </c>
      <c r="P24" s="35">
        <f t="shared" si="4"/>
        <v>948.13985142853448</v>
      </c>
      <c r="Q24" s="35">
        <f t="shared" si="4"/>
        <v>923.02103201598959</v>
      </c>
      <c r="R24" s="35">
        <f t="shared" si="4"/>
        <v>923.97526214208881</v>
      </c>
      <c r="S24" s="35">
        <f t="shared" si="4"/>
        <v>934.75521168332352</v>
      </c>
      <c r="T24" s="35">
        <f t="shared" si="4"/>
        <v>930.76771810437822</v>
      </c>
      <c r="U24" s="35">
        <f t="shared" si="4"/>
        <v>899.97696480519107</v>
      </c>
      <c r="V24" s="35">
        <f t="shared" si="4"/>
        <v>898.4368540838135</v>
      </c>
      <c r="W24" s="35">
        <f t="shared" si="4"/>
        <v>900.71850173006214</v>
      </c>
      <c r="X24" s="35">
        <f t="shared" si="4"/>
        <v>906.83336887229962</v>
      </c>
      <c r="Y24" s="35"/>
      <c r="AA24" s="35">
        <f>SUM(E24:Y24)</f>
        <v>19523.710774774849</v>
      </c>
    </row>
    <row r="25" spans="1:27">
      <c r="E25" s="35"/>
      <c r="F25" s="35"/>
      <c r="G25" s="35"/>
      <c r="H25" s="35"/>
      <c r="I25" s="35"/>
      <c r="J25" s="35"/>
      <c r="K25" s="35"/>
      <c r="L25" s="35"/>
      <c r="M25" s="35"/>
      <c r="N25" s="35"/>
      <c r="O25" s="35"/>
      <c r="P25" s="35"/>
      <c r="Q25" s="35"/>
      <c r="R25" s="35"/>
      <c r="S25" s="35"/>
      <c r="T25" s="35"/>
      <c r="U25" s="35"/>
      <c r="V25" s="35"/>
      <c r="W25" s="35"/>
      <c r="X25" s="35"/>
      <c r="Y25" s="35"/>
    </row>
    <row r="27" spans="1:27" ht="15.75" thickBot="1">
      <c r="A27" s="55" t="str">
        <f>CONCATENATE("# UNITS ACHIEVABLE BY YEAR FOR MEASURE - ",D28)</f>
        <v># UNITS ACHIEVABLE BY YEAR FOR MEASURE - ASHP - New</v>
      </c>
      <c r="D27" s="64" t="s">
        <v>61</v>
      </c>
      <c r="E27" s="7">
        <v>2</v>
      </c>
      <c r="F27" s="7">
        <v>3</v>
      </c>
      <c r="G27" s="7">
        <v>4</v>
      </c>
      <c r="H27" s="7">
        <v>5</v>
      </c>
      <c r="I27" s="7">
        <v>6</v>
      </c>
      <c r="J27" s="7">
        <v>7</v>
      </c>
      <c r="K27" s="7">
        <v>8</v>
      </c>
      <c r="L27" s="7">
        <v>9</v>
      </c>
      <c r="M27" s="7">
        <v>10</v>
      </c>
      <c r="N27" s="7">
        <v>11</v>
      </c>
      <c r="O27" s="7">
        <v>12</v>
      </c>
      <c r="P27" s="7">
        <v>13</v>
      </c>
      <c r="Q27" s="7">
        <v>14</v>
      </c>
      <c r="R27" s="7">
        <v>15</v>
      </c>
      <c r="S27" s="7">
        <v>16</v>
      </c>
      <c r="T27" s="7">
        <v>17</v>
      </c>
      <c r="U27" s="7">
        <v>18</v>
      </c>
      <c r="V27" s="7">
        <v>19</v>
      </c>
      <c r="W27" s="7">
        <v>20</v>
      </c>
      <c r="X27" s="7">
        <v>21</v>
      </c>
    </row>
    <row r="28" spans="1:27" ht="15.75" thickBot="1">
      <c r="D28" s="64" t="str">
        <f>CONCATENATE(C8," - ",C7)</f>
        <v>ASHP - New</v>
      </c>
      <c r="E28" s="68">
        <f>VLOOKUP($D$28,[2]ACHIEV!$B$10:$X$100,MATCH(E$11,$E$11:$Y$11,0)+2,FALSE)</f>
        <v>4.2999999999999997E-2</v>
      </c>
      <c r="F28" s="68">
        <f>VLOOKUP($D$28,[2]ACHIEV!$B$10:$X$100,MATCH(F$11,$E$11:$Y$11,0)+2,FALSE)</f>
        <v>9.5797142280278316E-2</v>
      </c>
      <c r="G28" s="68">
        <f>VLOOKUP($D$28,[2]ACHIEV!$B$10:$X$100,MATCH(G$11,$E$11:$Y$11,0)+2,FALSE)</f>
        <v>0.16040539374775648</v>
      </c>
      <c r="H28" s="68">
        <f>VLOOKUP($D$28,[2]ACHIEV!$B$10:$X$100,MATCH(H$11,$E$11:$Y$11,0)+2,FALSE)</f>
        <v>0.23540539374775649</v>
      </c>
      <c r="I28" s="68">
        <f>VLOOKUP($D$28,[2]ACHIEV!$B$10:$X$100,MATCH(I$11,$E$11:$Y$11,0)+2,FALSE)</f>
        <v>0.32095239121809005</v>
      </c>
      <c r="J28" s="68">
        <f>VLOOKUP($D$28,[2]ACHIEV!$B$10:$X$100,MATCH(J$11,$E$11:$Y$11,0)+2,FALSE)</f>
        <v>0.42096711425629652</v>
      </c>
      <c r="K28" s="68">
        <f>VLOOKUP($D$28,[2]ACHIEV!$B$10:$X$100,MATCH(K$11,$E$11:$Y$11,0)+2,FALSE)</f>
        <v>0.53068481860864725</v>
      </c>
      <c r="L28" s="68">
        <f>VLOOKUP($D$28,[2]ACHIEV!$B$10:$X$100,MATCH(L$11,$E$11:$Y$11,0)+2,FALSE)</f>
        <v>0.642769203728351</v>
      </c>
      <c r="M28" s="68">
        <f>VLOOKUP($D$28,[2]ACHIEV!$B$10:$X$100,MATCH(M$11,$E$11:$Y$11,0)+2,FALSE)</f>
        <v>0.74839528535557953</v>
      </c>
      <c r="N28" s="68">
        <f>VLOOKUP($D$28,[2]ACHIEV!$B$10:$X$100,MATCH(N$11,$E$11:$Y$11,0)+2,FALSE)</f>
        <v>0.83918984935345187</v>
      </c>
      <c r="O28" s="68">
        <f>VLOOKUP($D$28,[2]ACHIEV!$B$10:$X$100,MATCH(O$11,$E$11:$Y$11,0)+2,FALSE)</f>
        <v>0.90945051634530116</v>
      </c>
      <c r="P28" s="68">
        <f>VLOOKUP($D$28,[2]ACHIEV!$B$10:$X$100,MATCH(P$11,$E$11:$Y$11,0)+2,FALSE)</f>
        <v>0.9576688767502457</v>
      </c>
      <c r="Q28" s="68">
        <f>VLOOKUP($D$28,[2]ACHIEV!$B$10:$X$100,MATCH(Q$11,$E$11:$Y$11,0)+2,FALSE)</f>
        <v>0.9865231113648858</v>
      </c>
      <c r="R28" s="68">
        <f>VLOOKUP($D$28,[2]ACHIEV!$B$10:$X$100,MATCH(R$11,$E$11:$Y$11,0)+2,FALSE)</f>
        <v>1.0012970762896924</v>
      </c>
      <c r="S28" s="68">
        <f>VLOOKUP($D$28,[2]ACHIEV!$B$10:$X$100,MATCH(S$11,$E$11:$Y$11,0)+2,FALSE)</f>
        <v>1.0076356106578106</v>
      </c>
      <c r="T28" s="68">
        <f>VLOOKUP($D$28,[2]ACHIEV!$B$10:$X$100,MATCH(T$11,$E$11:$Y$11,0)+2,FALSE)</f>
        <v>1.0098624683774413</v>
      </c>
      <c r="U28" s="68">
        <f>VLOOKUP($D$28,[2]ACHIEV!$B$10:$X$100,MATCH(U$11,$E$11:$Y$11,0)+2,FALSE)</f>
        <v>1.0104871783970797</v>
      </c>
      <c r="V28" s="68">
        <f>VLOOKUP($D$28,[2]ACHIEV!$B$10:$X$100,MATCH(V$11,$E$11:$Y$11,0)+2,FALSE)</f>
        <v>1.010623336815976</v>
      </c>
      <c r="W28" s="68">
        <f>VLOOKUP($D$28,[2]ACHIEV!$B$10:$X$100,MATCH(W$11,$E$11:$Y$11,0)+2,FALSE)</f>
        <v>1.0106457174525985</v>
      </c>
      <c r="X28" s="68">
        <f>VLOOKUP($D$28,[2]ACHIEV!$B$10:$X$100,MATCH(X$11,$E$11:$Y$11,0)+2,FALSE)</f>
        <v>1.0106484038909742</v>
      </c>
      <c r="Y28" s="68"/>
      <c r="AA28" s="404">
        <v>0.85</v>
      </c>
    </row>
    <row r="29" spans="1:27">
      <c r="D29" s="7" t="str">
        <f>C21</f>
        <v>Single Family</v>
      </c>
      <c r="E29" s="35">
        <f>E21*E$28*$AA$28</f>
        <v>43.985477951729386</v>
      </c>
      <c r="F29" s="35">
        <f t="shared" ref="F29:X29" si="5">F21*F$28*$AA$28</f>
        <v>93.734409742525642</v>
      </c>
      <c r="G29" s="35">
        <f t="shared" si="5"/>
        <v>148.76448169172718</v>
      </c>
      <c r="H29" s="35">
        <f t="shared" si="5"/>
        <v>211.2195603900781</v>
      </c>
      <c r="I29" s="35">
        <f t="shared" si="5"/>
        <v>280.23800719223379</v>
      </c>
      <c r="J29" s="35">
        <f t="shared" si="5"/>
        <v>350.2171713932733</v>
      </c>
      <c r="K29" s="35">
        <f t="shared" si="5"/>
        <v>429.1949051697917</v>
      </c>
      <c r="L29" s="35">
        <f t="shared" si="5"/>
        <v>517.35646669596997</v>
      </c>
      <c r="M29" s="35">
        <f t="shared" si="5"/>
        <v>596.16044608853713</v>
      </c>
      <c r="N29" s="35">
        <f t="shared" si="5"/>
        <v>680.36538201019664</v>
      </c>
      <c r="O29" s="35">
        <f t="shared" si="5"/>
        <v>742.47654231483557</v>
      </c>
      <c r="P29" s="35">
        <f t="shared" si="5"/>
        <v>771.80342254175298</v>
      </c>
      <c r="Q29" s="35">
        <f t="shared" si="5"/>
        <v>773.99434330569557</v>
      </c>
      <c r="R29" s="35">
        <f t="shared" si="5"/>
        <v>786.39766926484424</v>
      </c>
      <c r="S29" s="35">
        <f t="shared" si="5"/>
        <v>800.60874275908225</v>
      </c>
      <c r="T29" s="35">
        <f t="shared" si="5"/>
        <v>798.95527749728694</v>
      </c>
      <c r="U29" s="35">
        <f t="shared" si="5"/>
        <v>773.00290622011062</v>
      </c>
      <c r="V29" s="35">
        <f t="shared" si="5"/>
        <v>771.78406368373692</v>
      </c>
      <c r="W29" s="35">
        <f t="shared" si="5"/>
        <v>773.76120194323698</v>
      </c>
      <c r="X29" s="35">
        <f t="shared" si="5"/>
        <v>779.01624231898495</v>
      </c>
      <c r="Y29" s="35"/>
      <c r="AA29" s="35">
        <f t="shared" ref="AA29" si="6">SUM(E29:Y29)</f>
        <v>11123.036720175629</v>
      </c>
    </row>
    <row r="30" spans="1:27">
      <c r="E30" s="35"/>
      <c r="F30" s="35"/>
      <c r="G30" s="35"/>
      <c r="H30" s="35"/>
      <c r="I30" s="35"/>
      <c r="J30" s="35"/>
      <c r="K30" s="35"/>
      <c r="L30" s="35"/>
      <c r="M30" s="35"/>
      <c r="N30" s="35"/>
      <c r="O30" s="35"/>
      <c r="P30" s="35"/>
      <c r="Q30" s="35"/>
      <c r="R30" s="35"/>
      <c r="S30" s="35"/>
      <c r="T30" s="35"/>
      <c r="U30" s="35"/>
      <c r="V30" s="35"/>
      <c r="W30" s="35"/>
      <c r="X30" s="35"/>
      <c r="Y30" s="35"/>
      <c r="AA30" s="35"/>
    </row>
    <row r="31" spans="1:27">
      <c r="E31" s="35"/>
      <c r="F31" s="35"/>
      <c r="G31" s="35"/>
      <c r="H31" s="35"/>
      <c r="I31" s="35"/>
      <c r="J31" s="35"/>
      <c r="K31" s="35"/>
      <c r="L31" s="35"/>
      <c r="M31" s="35"/>
      <c r="N31" s="35"/>
      <c r="O31" s="35"/>
      <c r="P31" s="35"/>
      <c r="Q31" s="35"/>
      <c r="R31" s="35"/>
      <c r="S31" s="35"/>
      <c r="T31" s="35"/>
      <c r="U31" s="35"/>
      <c r="V31" s="35"/>
      <c r="W31" s="35"/>
      <c r="X31" s="35"/>
      <c r="Y31" s="35"/>
    </row>
    <row r="32" spans="1:27">
      <c r="E32" s="35">
        <f t="shared" ref="E32:X32" si="7">SUM(E29:E30)</f>
        <v>43.985477951729386</v>
      </c>
      <c r="F32" s="35">
        <f t="shared" si="7"/>
        <v>93.734409742525642</v>
      </c>
      <c r="G32" s="35">
        <f t="shared" si="7"/>
        <v>148.76448169172718</v>
      </c>
      <c r="H32" s="35">
        <f t="shared" si="7"/>
        <v>211.2195603900781</v>
      </c>
      <c r="I32" s="35">
        <f t="shared" si="7"/>
        <v>280.23800719223379</v>
      </c>
      <c r="J32" s="35">
        <f t="shared" si="7"/>
        <v>350.2171713932733</v>
      </c>
      <c r="K32" s="35">
        <f t="shared" si="7"/>
        <v>429.1949051697917</v>
      </c>
      <c r="L32" s="35">
        <f t="shared" si="7"/>
        <v>517.35646669596997</v>
      </c>
      <c r="M32" s="35">
        <f t="shared" si="7"/>
        <v>596.16044608853713</v>
      </c>
      <c r="N32" s="35">
        <f t="shared" si="7"/>
        <v>680.36538201019664</v>
      </c>
      <c r="O32" s="35">
        <f t="shared" si="7"/>
        <v>742.47654231483557</v>
      </c>
      <c r="P32" s="35">
        <f t="shared" si="7"/>
        <v>771.80342254175298</v>
      </c>
      <c r="Q32" s="35">
        <f t="shared" si="7"/>
        <v>773.99434330569557</v>
      </c>
      <c r="R32" s="35">
        <f t="shared" si="7"/>
        <v>786.39766926484424</v>
      </c>
      <c r="S32" s="35">
        <f t="shared" si="7"/>
        <v>800.60874275908225</v>
      </c>
      <c r="T32" s="35">
        <f t="shared" si="7"/>
        <v>798.95527749728694</v>
      </c>
      <c r="U32" s="35">
        <f t="shared" si="7"/>
        <v>773.00290622011062</v>
      </c>
      <c r="V32" s="35">
        <f t="shared" si="7"/>
        <v>771.78406368373692</v>
      </c>
      <c r="W32" s="35">
        <f t="shared" si="7"/>
        <v>773.76120194323698</v>
      </c>
      <c r="X32" s="35">
        <f t="shared" si="7"/>
        <v>779.01624231898495</v>
      </c>
      <c r="Y32" s="35"/>
      <c r="AA32" s="35">
        <f>SUM(E32:Y32)</f>
        <v>11123.036720175629</v>
      </c>
    </row>
    <row r="34" spans="1:80">
      <c r="AA34"/>
      <c r="AB34"/>
      <c r="AC34"/>
      <c r="AD34"/>
    </row>
    <row r="35" spans="1:80" ht="15">
      <c r="A35" s="55" t="s">
        <v>62</v>
      </c>
      <c r="C35" s="64" t="str">
        <f>C8</f>
        <v>ASHP</v>
      </c>
      <c r="D35" s="64"/>
      <c r="E35" s="7" t="s">
        <v>157</v>
      </c>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row>
    <row r="36" spans="1:80" ht="15">
      <c r="A36" s="64" t="s">
        <v>63</v>
      </c>
      <c r="B36" s="64" t="s">
        <v>810</v>
      </c>
      <c r="C36" s="64">
        <v>1</v>
      </c>
      <c r="D36" s="64"/>
      <c r="E36" s="58">
        <f t="shared" ref="E36:X36" si="8">E11</f>
        <v>2016</v>
      </c>
      <c r="F36" s="59">
        <f t="shared" si="8"/>
        <v>2017</v>
      </c>
      <c r="G36" s="59">
        <f t="shared" si="8"/>
        <v>2018</v>
      </c>
      <c r="H36" s="59">
        <f t="shared" si="8"/>
        <v>2019</v>
      </c>
      <c r="I36" s="59">
        <f t="shared" si="8"/>
        <v>2020</v>
      </c>
      <c r="J36" s="59">
        <f t="shared" si="8"/>
        <v>2021</v>
      </c>
      <c r="K36" s="59">
        <f t="shared" si="8"/>
        <v>2022</v>
      </c>
      <c r="L36" s="59">
        <f t="shared" si="8"/>
        <v>2023</v>
      </c>
      <c r="M36" s="59">
        <f t="shared" si="8"/>
        <v>2024</v>
      </c>
      <c r="N36" s="59">
        <f t="shared" si="8"/>
        <v>2025</v>
      </c>
      <c r="O36" s="59">
        <f t="shared" si="8"/>
        <v>2026</v>
      </c>
      <c r="P36" s="59">
        <f t="shared" si="8"/>
        <v>2027</v>
      </c>
      <c r="Q36" s="59">
        <f t="shared" si="8"/>
        <v>2028</v>
      </c>
      <c r="R36" s="59">
        <f t="shared" si="8"/>
        <v>2029</v>
      </c>
      <c r="S36" s="59">
        <f t="shared" si="8"/>
        <v>2030</v>
      </c>
      <c r="T36" s="59">
        <f t="shared" si="8"/>
        <v>2031</v>
      </c>
      <c r="U36" s="59">
        <f t="shared" si="8"/>
        <v>2032</v>
      </c>
      <c r="V36" s="59">
        <f t="shared" si="8"/>
        <v>2033</v>
      </c>
      <c r="W36" s="59">
        <f t="shared" si="8"/>
        <v>2034</v>
      </c>
      <c r="X36" s="59">
        <f t="shared" si="8"/>
        <v>2035</v>
      </c>
      <c r="Y36" s="60" t="s">
        <v>60</v>
      </c>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row>
    <row r="37" spans="1:80" ht="15">
      <c r="A37" s="64" t="s">
        <v>46</v>
      </c>
      <c r="B37" s="64" t="s">
        <v>64</v>
      </c>
      <c r="C37" s="64" t="s">
        <v>65</v>
      </c>
      <c r="D37" s="64" t="s">
        <v>66</v>
      </c>
      <c r="E37" s="61" t="str">
        <f>CONCATENATE("aMW_",E$11)</f>
        <v>aMW_2016</v>
      </c>
      <c r="F37" s="62" t="str">
        <f t="shared" ref="F37:X37" si="9">CONCATENATE("aMW_",F$11)</f>
        <v>aMW_2017</v>
      </c>
      <c r="G37" s="62" t="str">
        <f t="shared" si="9"/>
        <v>aMW_2018</v>
      </c>
      <c r="H37" s="62" t="str">
        <f t="shared" si="9"/>
        <v>aMW_2019</v>
      </c>
      <c r="I37" s="62" t="str">
        <f t="shared" si="9"/>
        <v>aMW_2020</v>
      </c>
      <c r="J37" s="62" t="str">
        <f t="shared" si="9"/>
        <v>aMW_2021</v>
      </c>
      <c r="K37" s="62" t="str">
        <f t="shared" si="9"/>
        <v>aMW_2022</v>
      </c>
      <c r="L37" s="62" t="str">
        <f t="shared" si="9"/>
        <v>aMW_2023</v>
      </c>
      <c r="M37" s="62" t="str">
        <f t="shared" si="9"/>
        <v>aMW_2024</v>
      </c>
      <c r="N37" s="62" t="str">
        <f t="shared" si="9"/>
        <v>aMW_2025</v>
      </c>
      <c r="O37" s="62" t="str">
        <f t="shared" si="9"/>
        <v>aMW_2026</v>
      </c>
      <c r="P37" s="62" t="str">
        <f t="shared" si="9"/>
        <v>aMW_2027</v>
      </c>
      <c r="Q37" s="62" t="str">
        <f t="shared" si="9"/>
        <v>aMW_2028</v>
      </c>
      <c r="R37" s="62" t="str">
        <f t="shared" si="9"/>
        <v>aMW_2029</v>
      </c>
      <c r="S37" s="62" t="str">
        <f t="shared" si="9"/>
        <v>aMW_2030</v>
      </c>
      <c r="T37" s="62" t="str">
        <f t="shared" si="9"/>
        <v>aMW_2031</v>
      </c>
      <c r="U37" s="62" t="str">
        <f t="shared" si="9"/>
        <v>aMW_2032</v>
      </c>
      <c r="V37" s="62" t="str">
        <f t="shared" si="9"/>
        <v>aMW_2033</v>
      </c>
      <c r="W37" s="62" t="str">
        <f t="shared" si="9"/>
        <v>aMW_2034</v>
      </c>
      <c r="X37" s="62" t="str">
        <f t="shared" si="9"/>
        <v>aMW_2035</v>
      </c>
      <c r="Y37" s="63" t="s">
        <v>60</v>
      </c>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row>
    <row r="38" spans="1:80">
      <c r="A38" s="57" t="e">
        <f t="shared" ref="A38" si="10">VLOOKUP($D38,MeasureOutput,3,FALSE)</f>
        <v>#N/A</v>
      </c>
      <c r="B38" s="57" t="e">
        <f t="shared" ref="B38" si="11">VLOOKUP($D38,MeasureOutput,11,FALSE)</f>
        <v>#N/A</v>
      </c>
      <c r="C38" s="7" t="s">
        <v>49</v>
      </c>
      <c r="D38" s="7" t="s">
        <v>817</v>
      </c>
      <c r="E38" s="29" t="e">
        <f>VLOOKUP($C38,$D$29:$Z$29,E$27,FALSE)*$C$36*$A38/8760/1000*VLOOKUP(RIGHT($D38,LEN($D38)-FIND(" + ",$D38)-2),'HVAC weighting'!#REF!,MATCH('SC-New'!$C38,'HVAC weighting'!#REF!,0)+1,0)</f>
        <v>#N/A</v>
      </c>
      <c r="F38" s="29" t="e">
        <f>VLOOKUP($C38,$D$29:$Z$29,F$27,FALSE)*$C$36*$A38/8760/1000*VLOOKUP(RIGHT($D38,LEN($D38)-FIND(" + ",$D38)-2),'HVAC weighting'!#REF!,MATCH('SC-New'!$C38,'HVAC weighting'!#REF!,0)+1,0)</f>
        <v>#N/A</v>
      </c>
      <c r="G38" s="29" t="e">
        <f>VLOOKUP($C38,$D$29:$Z$29,G$27,FALSE)*$C$36*$A38/8760/1000*VLOOKUP(RIGHT($D38,LEN($D38)-FIND(" + ",$D38)-2),'HVAC weighting'!#REF!,MATCH('SC-New'!$C38,'HVAC weighting'!#REF!,0)+1,0)</f>
        <v>#N/A</v>
      </c>
      <c r="H38" s="29" t="e">
        <f>VLOOKUP($C38,$D$29:$Z$29,H$27,FALSE)*$C$36*$A38/8760/1000*VLOOKUP(RIGHT($D38,LEN($D38)-FIND(" + ",$D38)-2),'HVAC weighting'!#REF!,MATCH('SC-New'!$C38,'HVAC weighting'!#REF!,0)+1,0)</f>
        <v>#N/A</v>
      </c>
      <c r="I38" s="29" t="e">
        <f>VLOOKUP($C38,$D$29:$Z$29,I$27,FALSE)*$C$36*$A38/8760/1000*VLOOKUP(RIGHT($D38,LEN($D38)-FIND(" + ",$D38)-2),'HVAC weighting'!#REF!,MATCH('SC-New'!$C38,'HVAC weighting'!#REF!,0)+1,0)</f>
        <v>#N/A</v>
      </c>
      <c r="J38" s="29" t="e">
        <f>VLOOKUP($C38,$D$29:$Z$29,J$27,FALSE)*$C$36*$A38/8760/1000*VLOOKUP(RIGHT($D38,LEN($D38)-FIND(" + ",$D38)-2),'HVAC weighting'!#REF!,MATCH('SC-New'!$C38,'HVAC weighting'!#REF!,0)+1,0)</f>
        <v>#N/A</v>
      </c>
      <c r="K38" s="29" t="e">
        <f>VLOOKUP($C38,$D$29:$Z$29,K$27,FALSE)*$C$36*$A38/8760/1000*VLOOKUP(RIGHT($D38,LEN($D38)-FIND(" + ",$D38)-2),'HVAC weighting'!#REF!,MATCH('SC-New'!$C38,'HVAC weighting'!#REF!,0)+1,0)</f>
        <v>#N/A</v>
      </c>
      <c r="L38" s="29" t="e">
        <f>VLOOKUP($C38,$D$29:$Z$29,L$27,FALSE)*$C$36*$A38/8760/1000*VLOOKUP(RIGHT($D38,LEN($D38)-FIND(" + ",$D38)-2),'HVAC weighting'!#REF!,MATCH('SC-New'!$C38,'HVAC weighting'!#REF!,0)+1,0)</f>
        <v>#N/A</v>
      </c>
      <c r="M38" s="29" t="e">
        <f>VLOOKUP($C38,$D$29:$Z$29,M$27,FALSE)*$C$36*$A38/8760/1000*VLOOKUP(RIGHT($D38,LEN($D38)-FIND(" + ",$D38)-2),'HVAC weighting'!#REF!,MATCH('SC-New'!$C38,'HVAC weighting'!#REF!,0)+1,0)</f>
        <v>#N/A</v>
      </c>
      <c r="N38" s="29" t="e">
        <f>VLOOKUP($C38,$D$29:$Z$29,N$27,FALSE)*$C$36*$A38/8760/1000*VLOOKUP(RIGHT($D38,LEN($D38)-FIND(" + ",$D38)-2),'HVAC weighting'!#REF!,MATCH('SC-New'!$C38,'HVAC weighting'!#REF!,0)+1,0)</f>
        <v>#N/A</v>
      </c>
      <c r="O38" s="29" t="e">
        <f>VLOOKUP($C38,$D$29:$Z$29,O$27,FALSE)*$C$36*$A38/8760/1000*VLOOKUP(RIGHT($D38,LEN($D38)-FIND(" + ",$D38)-2),'HVAC weighting'!#REF!,MATCH('SC-New'!$C38,'HVAC weighting'!#REF!,0)+1,0)</f>
        <v>#N/A</v>
      </c>
      <c r="P38" s="29" t="e">
        <f>VLOOKUP($C38,$D$29:$Z$29,P$27,FALSE)*$C$36*$A38/8760/1000*VLOOKUP(RIGHT($D38,LEN($D38)-FIND(" + ",$D38)-2),'HVAC weighting'!#REF!,MATCH('SC-New'!$C38,'HVAC weighting'!#REF!,0)+1,0)</f>
        <v>#N/A</v>
      </c>
      <c r="Q38" s="29" t="e">
        <f>VLOOKUP($C38,$D$29:$Z$29,Q$27,FALSE)*$C$36*$A38/8760/1000*VLOOKUP(RIGHT($D38,LEN($D38)-FIND(" + ",$D38)-2),'HVAC weighting'!#REF!,MATCH('SC-New'!$C38,'HVAC weighting'!#REF!,0)+1,0)</f>
        <v>#N/A</v>
      </c>
      <c r="R38" s="29" t="e">
        <f>VLOOKUP($C38,$D$29:$Z$29,R$27,FALSE)*$C$36*$A38/8760/1000*VLOOKUP(RIGHT($D38,LEN($D38)-FIND(" + ",$D38)-2),'HVAC weighting'!#REF!,MATCH('SC-New'!$C38,'HVAC weighting'!#REF!,0)+1,0)</f>
        <v>#N/A</v>
      </c>
      <c r="S38" s="29" t="e">
        <f>VLOOKUP($C38,$D$29:$Z$29,S$27,FALSE)*$C$36*$A38/8760/1000*VLOOKUP(RIGHT($D38,LEN($D38)-FIND(" + ",$D38)-2),'HVAC weighting'!#REF!,MATCH('SC-New'!$C38,'HVAC weighting'!#REF!,0)+1,0)</f>
        <v>#N/A</v>
      </c>
      <c r="T38" s="29" t="e">
        <f>VLOOKUP($C38,$D$29:$Z$29,T$27,FALSE)*$C$36*$A38/8760/1000*VLOOKUP(RIGHT($D38,LEN($D38)-FIND(" + ",$D38)-2),'HVAC weighting'!#REF!,MATCH('SC-New'!$C38,'HVAC weighting'!#REF!,0)+1,0)</f>
        <v>#N/A</v>
      </c>
      <c r="U38" s="29" t="e">
        <f>VLOOKUP($C38,$D$29:$Z$29,U$27,FALSE)*$C$36*$A38/8760/1000*VLOOKUP(RIGHT($D38,LEN($D38)-FIND(" + ",$D38)-2),'HVAC weighting'!#REF!,MATCH('SC-New'!$C38,'HVAC weighting'!#REF!,0)+1,0)</f>
        <v>#N/A</v>
      </c>
      <c r="V38" s="29" t="e">
        <f>VLOOKUP($C38,$D$29:$Z$29,V$27,FALSE)*$C$36*$A38/8760/1000*VLOOKUP(RIGHT($D38,LEN($D38)-FIND(" + ",$D38)-2),'HVAC weighting'!#REF!,MATCH('SC-New'!$C38,'HVAC weighting'!#REF!,0)+1,0)</f>
        <v>#N/A</v>
      </c>
      <c r="W38" s="29" t="e">
        <f>VLOOKUP($C38,$D$29:$Z$29,W$27,FALSE)*$C$36*$A38/8760/1000*VLOOKUP(RIGHT($D38,LEN($D38)-FIND(" + ",$D38)-2),'HVAC weighting'!#REF!,MATCH('SC-New'!$C38,'HVAC weighting'!#REF!,0)+1,0)</f>
        <v>#N/A</v>
      </c>
      <c r="X38" s="29" t="e">
        <f>VLOOKUP($C38,$D$29:$Z$29,X$27,FALSE)*$C$36*$A38/8760/1000*VLOOKUP(RIGHT($D38,LEN($D38)-FIND(" + ",$D38)-2),'HVAC weighting'!#REF!,MATCH('SC-New'!$C38,'HVAC weighting'!#REF!,0)+1,0)</f>
        <v>#N/A</v>
      </c>
      <c r="Y38" s="29" t="e">
        <f>SUM(E38:X38)</f>
        <v>#N/A</v>
      </c>
      <c r="AA38" s="35" t="e">
        <f>SUM(E38:X38)</f>
        <v>#N/A</v>
      </c>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row>
    <row r="39" spans="1:80">
      <c r="A39" s="57"/>
      <c r="B39" s="57"/>
      <c r="E39" s="29"/>
      <c r="F39" s="29"/>
      <c r="G39" s="29"/>
      <c r="H39" s="29"/>
      <c r="I39" s="29"/>
      <c r="J39" s="29"/>
      <c r="K39" s="29"/>
      <c r="L39" s="29"/>
      <c r="M39" s="29"/>
      <c r="N39" s="29"/>
      <c r="O39" s="29"/>
      <c r="P39" s="29"/>
      <c r="Q39" s="29"/>
      <c r="R39" s="29"/>
      <c r="S39" s="29"/>
      <c r="T39" s="29"/>
      <c r="U39" s="29"/>
      <c r="V39" s="29"/>
      <c r="W39" s="29"/>
      <c r="X39" s="29"/>
      <c r="Y39" s="29"/>
      <c r="AA39" s="35"/>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row>
    <row r="40" spans="1:80">
      <c r="A40" s="57"/>
      <c r="B40" s="57"/>
      <c r="E40" s="29"/>
      <c r="F40" s="29"/>
      <c r="G40" s="29"/>
      <c r="H40" s="29"/>
      <c r="I40" s="29"/>
      <c r="J40" s="29"/>
      <c r="K40" s="29"/>
      <c r="L40" s="29"/>
      <c r="M40" s="29"/>
      <c r="N40" s="29"/>
      <c r="O40" s="29"/>
      <c r="P40" s="29"/>
      <c r="Q40" s="29"/>
      <c r="R40" s="29"/>
      <c r="S40" s="29"/>
      <c r="T40" s="29"/>
      <c r="U40" s="29"/>
      <c r="V40" s="29"/>
      <c r="W40" s="29"/>
      <c r="X40" s="29"/>
      <c r="Y40" s="29"/>
      <c r="AA40" s="35"/>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row>
    <row r="41" spans="1:80">
      <c r="A41" s="57"/>
      <c r="B41" s="57"/>
      <c r="E41" s="29"/>
      <c r="F41" s="29"/>
      <c r="G41" s="29"/>
      <c r="H41" s="29"/>
      <c r="I41" s="29"/>
      <c r="J41" s="29"/>
      <c r="K41" s="29"/>
      <c r="L41" s="29"/>
      <c r="M41" s="29"/>
      <c r="N41" s="29"/>
      <c r="O41" s="29"/>
      <c r="P41" s="29"/>
      <c r="Q41" s="29"/>
      <c r="R41" s="29"/>
      <c r="S41" s="29"/>
      <c r="T41" s="29"/>
      <c r="U41" s="29"/>
      <c r="V41" s="29"/>
      <c r="W41" s="29"/>
      <c r="X41" s="29"/>
      <c r="Y41" s="29"/>
      <c r="AA41" s="35"/>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row>
    <row r="42" spans="1:80">
      <c r="A42" s="57"/>
      <c r="B42" s="57"/>
      <c r="E42" s="29"/>
      <c r="F42" s="29"/>
      <c r="G42" s="29"/>
      <c r="H42" s="29"/>
      <c r="I42" s="29"/>
      <c r="J42" s="29"/>
      <c r="K42" s="29"/>
      <c r="L42" s="29"/>
      <c r="M42" s="29"/>
      <c r="N42" s="29"/>
      <c r="O42" s="29"/>
      <c r="P42" s="29"/>
      <c r="Q42" s="29"/>
      <c r="R42" s="29"/>
      <c r="S42" s="29"/>
      <c r="T42" s="29"/>
      <c r="U42" s="29"/>
      <c r="V42" s="29"/>
      <c r="W42" s="29"/>
      <c r="X42" s="29"/>
      <c r="Y42" s="29"/>
      <c r="AA42" s="35"/>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row>
    <row r="43" spans="1:80">
      <c r="A43" s="57"/>
      <c r="B43" s="57"/>
      <c r="E43" s="29"/>
      <c r="F43" s="29"/>
      <c r="G43" s="29"/>
      <c r="H43" s="29"/>
      <c r="I43" s="29"/>
      <c r="J43" s="29"/>
      <c r="K43" s="29"/>
      <c r="L43" s="29"/>
      <c r="M43" s="29"/>
      <c r="N43" s="29"/>
      <c r="O43" s="29"/>
      <c r="P43" s="29"/>
      <c r="Q43" s="29"/>
      <c r="R43" s="29"/>
      <c r="S43" s="29"/>
      <c r="T43" s="29"/>
      <c r="U43" s="29"/>
      <c r="V43" s="29"/>
      <c r="W43" s="29"/>
      <c r="X43" s="29"/>
      <c r="Y43" s="29"/>
      <c r="AA43" s="35"/>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row>
    <row r="44" spans="1:80">
      <c r="AA44" s="35"/>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row>
    <row r="45" spans="1:80">
      <c r="B45" s="67" t="e">
        <f>SUMPRODUCT(B38:B43,AA38:AA43)/SUM(AA38:AA43)</f>
        <v>#N/A</v>
      </c>
      <c r="E45" s="29" t="e">
        <f t="shared" ref="E45:X45" si="12">SUM(E38:E43)</f>
        <v>#N/A</v>
      </c>
      <c r="F45" s="29" t="e">
        <f t="shared" si="12"/>
        <v>#N/A</v>
      </c>
      <c r="G45" s="29" t="e">
        <f t="shared" si="12"/>
        <v>#N/A</v>
      </c>
      <c r="H45" s="29" t="e">
        <f t="shared" si="12"/>
        <v>#N/A</v>
      </c>
      <c r="I45" s="29" t="e">
        <f t="shared" si="12"/>
        <v>#N/A</v>
      </c>
      <c r="J45" s="29" t="e">
        <f t="shared" si="12"/>
        <v>#N/A</v>
      </c>
      <c r="K45" s="29" t="e">
        <f t="shared" si="12"/>
        <v>#N/A</v>
      </c>
      <c r="L45" s="29" t="e">
        <f t="shared" si="12"/>
        <v>#N/A</v>
      </c>
      <c r="M45" s="29" t="e">
        <f t="shared" si="12"/>
        <v>#N/A</v>
      </c>
      <c r="N45" s="29" t="e">
        <f t="shared" si="12"/>
        <v>#N/A</v>
      </c>
      <c r="O45" s="29" t="e">
        <f t="shared" si="12"/>
        <v>#N/A</v>
      </c>
      <c r="P45" s="29" t="e">
        <f t="shared" si="12"/>
        <v>#N/A</v>
      </c>
      <c r="Q45" s="29" t="e">
        <f t="shared" si="12"/>
        <v>#N/A</v>
      </c>
      <c r="R45" s="29" t="e">
        <f t="shared" si="12"/>
        <v>#N/A</v>
      </c>
      <c r="S45" s="29" t="e">
        <f t="shared" si="12"/>
        <v>#N/A</v>
      </c>
      <c r="T45" s="29" t="e">
        <f t="shared" si="12"/>
        <v>#N/A</v>
      </c>
      <c r="U45" s="29" t="e">
        <f t="shared" si="12"/>
        <v>#N/A</v>
      </c>
      <c r="V45" s="29" t="e">
        <f t="shared" si="12"/>
        <v>#N/A</v>
      </c>
      <c r="W45" s="29" t="e">
        <f t="shared" si="12"/>
        <v>#N/A</v>
      </c>
      <c r="X45" s="29" t="e">
        <f t="shared" si="12"/>
        <v>#N/A</v>
      </c>
      <c r="Y45" s="29"/>
      <c r="AA45" s="35" t="e">
        <f t="shared" ref="AA45" si="13">SUM(E45:Y45)</f>
        <v>#N/A</v>
      </c>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row>
    <row r="46" spans="1:80">
      <c r="E46" s="29" t="e">
        <f>E45</f>
        <v>#N/A</v>
      </c>
      <c r="F46" s="29" t="e">
        <f>F45+E46</f>
        <v>#N/A</v>
      </c>
      <c r="G46" s="29" t="e">
        <f t="shared" ref="G46:X46" si="14">G45+F46</f>
        <v>#N/A</v>
      </c>
      <c r="H46" s="29" t="e">
        <f t="shared" si="14"/>
        <v>#N/A</v>
      </c>
      <c r="I46" s="29" t="e">
        <f t="shared" si="14"/>
        <v>#N/A</v>
      </c>
      <c r="J46" s="29" t="e">
        <f t="shared" si="14"/>
        <v>#N/A</v>
      </c>
      <c r="K46" s="29" t="e">
        <f t="shared" si="14"/>
        <v>#N/A</v>
      </c>
      <c r="L46" s="29" t="e">
        <f t="shared" si="14"/>
        <v>#N/A</v>
      </c>
      <c r="M46" s="29" t="e">
        <f t="shared" si="14"/>
        <v>#N/A</v>
      </c>
      <c r="N46" s="29" t="e">
        <f t="shared" si="14"/>
        <v>#N/A</v>
      </c>
      <c r="O46" s="29" t="e">
        <f t="shared" si="14"/>
        <v>#N/A</v>
      </c>
      <c r="P46" s="29" t="e">
        <f t="shared" si="14"/>
        <v>#N/A</v>
      </c>
      <c r="Q46" s="29" t="e">
        <f t="shared" si="14"/>
        <v>#N/A</v>
      </c>
      <c r="R46" s="29" t="e">
        <f t="shared" si="14"/>
        <v>#N/A</v>
      </c>
      <c r="S46" s="29" t="e">
        <f t="shared" si="14"/>
        <v>#N/A</v>
      </c>
      <c r="T46" s="29" t="e">
        <f t="shared" si="14"/>
        <v>#N/A</v>
      </c>
      <c r="U46" s="29" t="e">
        <f t="shared" si="14"/>
        <v>#N/A</v>
      </c>
      <c r="V46" s="29" t="e">
        <f t="shared" si="14"/>
        <v>#N/A</v>
      </c>
      <c r="W46" s="29" t="e">
        <f t="shared" si="14"/>
        <v>#N/A</v>
      </c>
      <c r="X46" s="29" t="e">
        <f t="shared" si="14"/>
        <v>#N/A</v>
      </c>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row>
    <row r="47" spans="1:80">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row>
    <row r="48" spans="1:80" ht="15">
      <c r="A48" s="55" t="s">
        <v>67</v>
      </c>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row>
    <row r="49" spans="2:80" ht="15">
      <c r="E49" s="58">
        <f t="shared" ref="E49:X49" si="15">E11</f>
        <v>2016</v>
      </c>
      <c r="F49" s="59">
        <f t="shared" si="15"/>
        <v>2017</v>
      </c>
      <c r="G49" s="59">
        <f t="shared" si="15"/>
        <v>2018</v>
      </c>
      <c r="H49" s="59">
        <f t="shared" si="15"/>
        <v>2019</v>
      </c>
      <c r="I49" s="59">
        <f t="shared" si="15"/>
        <v>2020</v>
      </c>
      <c r="J49" s="59">
        <f t="shared" si="15"/>
        <v>2021</v>
      </c>
      <c r="K49" s="59">
        <f t="shared" si="15"/>
        <v>2022</v>
      </c>
      <c r="L49" s="59">
        <f t="shared" si="15"/>
        <v>2023</v>
      </c>
      <c r="M49" s="59">
        <f t="shared" si="15"/>
        <v>2024</v>
      </c>
      <c r="N49" s="59">
        <f t="shared" si="15"/>
        <v>2025</v>
      </c>
      <c r="O49" s="59">
        <f t="shared" si="15"/>
        <v>2026</v>
      </c>
      <c r="P49" s="59">
        <f t="shared" si="15"/>
        <v>2027</v>
      </c>
      <c r="Q49" s="59">
        <f t="shared" si="15"/>
        <v>2028</v>
      </c>
      <c r="R49" s="59">
        <f t="shared" si="15"/>
        <v>2029</v>
      </c>
      <c r="S49" s="59">
        <f t="shared" si="15"/>
        <v>2030</v>
      </c>
      <c r="T49" s="59">
        <f t="shared" si="15"/>
        <v>2031</v>
      </c>
      <c r="U49" s="59">
        <f t="shared" si="15"/>
        <v>2032</v>
      </c>
      <c r="V49" s="59">
        <f t="shared" si="15"/>
        <v>2033</v>
      </c>
      <c r="W49" s="59">
        <f t="shared" si="15"/>
        <v>2034</v>
      </c>
      <c r="X49" s="59">
        <f t="shared" si="15"/>
        <v>2035</v>
      </c>
      <c r="Y49" s="60" t="s">
        <v>60</v>
      </c>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row>
    <row r="50" spans="2:80" ht="15">
      <c r="C50" s="49" t="s">
        <v>64</v>
      </c>
      <c r="D50" s="49" t="s">
        <v>64</v>
      </c>
      <c r="E50" s="61" t="str">
        <f>CONCATENATE("aMW_",E$11)</f>
        <v>aMW_2016</v>
      </c>
      <c r="F50" s="62" t="str">
        <f t="shared" ref="F50:X50" si="16">CONCATENATE("aMW_",F$11)</f>
        <v>aMW_2017</v>
      </c>
      <c r="G50" s="62" t="str">
        <f t="shared" si="16"/>
        <v>aMW_2018</v>
      </c>
      <c r="H50" s="62" t="str">
        <f t="shared" si="16"/>
        <v>aMW_2019</v>
      </c>
      <c r="I50" s="62" t="str">
        <f t="shared" si="16"/>
        <v>aMW_2020</v>
      </c>
      <c r="J50" s="62" t="str">
        <f t="shared" si="16"/>
        <v>aMW_2021</v>
      </c>
      <c r="K50" s="62" t="str">
        <f t="shared" si="16"/>
        <v>aMW_2022</v>
      </c>
      <c r="L50" s="62" t="str">
        <f t="shared" si="16"/>
        <v>aMW_2023</v>
      </c>
      <c r="M50" s="62" t="str">
        <f t="shared" si="16"/>
        <v>aMW_2024</v>
      </c>
      <c r="N50" s="62" t="str">
        <f t="shared" si="16"/>
        <v>aMW_2025</v>
      </c>
      <c r="O50" s="62" t="str">
        <f t="shared" si="16"/>
        <v>aMW_2026</v>
      </c>
      <c r="P50" s="62" t="str">
        <f t="shared" si="16"/>
        <v>aMW_2027</v>
      </c>
      <c r="Q50" s="62" t="str">
        <f t="shared" si="16"/>
        <v>aMW_2028</v>
      </c>
      <c r="R50" s="62" t="str">
        <f t="shared" si="16"/>
        <v>aMW_2029</v>
      </c>
      <c r="S50" s="62" t="str">
        <f t="shared" si="16"/>
        <v>aMW_2030</v>
      </c>
      <c r="T50" s="62" t="str">
        <f t="shared" si="16"/>
        <v>aMW_2031</v>
      </c>
      <c r="U50" s="62" t="str">
        <f t="shared" si="16"/>
        <v>aMW_2032</v>
      </c>
      <c r="V50" s="62" t="str">
        <f t="shared" si="16"/>
        <v>aMW_2033</v>
      </c>
      <c r="W50" s="62" t="str">
        <f t="shared" si="16"/>
        <v>aMW_2034</v>
      </c>
      <c r="X50" s="62" t="str">
        <f t="shared" si="16"/>
        <v>aMW_2035</v>
      </c>
      <c r="Y50" s="63" t="s">
        <v>60</v>
      </c>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row>
    <row r="51" spans="2:80">
      <c r="B51" s="7" t="s">
        <v>68</v>
      </c>
      <c r="C51" s="50" t="s">
        <v>69</v>
      </c>
      <c r="D51" s="50" t="s">
        <v>70</v>
      </c>
      <c r="E51" s="29">
        <f>DSUM($B$37:$X$43,E$37,$C$50:$D51)</f>
        <v>0</v>
      </c>
      <c r="F51" s="29">
        <f>DSUM($B$37:$X$43,F$37,$C$50:$D51)</f>
        <v>0</v>
      </c>
      <c r="G51" s="29">
        <f>DSUM($B$37:$X$43,G$37,$C$50:$D51)</f>
        <v>0</v>
      </c>
      <c r="H51" s="29">
        <f>DSUM($B$37:$X$43,H$37,$C$50:$D51)</f>
        <v>0</v>
      </c>
      <c r="I51" s="29">
        <f>DSUM($B$37:$X$43,I$37,$C$50:$D51)</f>
        <v>0</v>
      </c>
      <c r="J51" s="29">
        <f>DSUM($B$37:$X$43,J$37,$C$50:$D51)</f>
        <v>0</v>
      </c>
      <c r="K51" s="29">
        <f>DSUM($B$37:$X$43,K$37,$C$50:$D51)</f>
        <v>0</v>
      </c>
      <c r="L51" s="29">
        <f>DSUM($B$37:$X$43,L$37,$C$50:$D51)</f>
        <v>0</v>
      </c>
      <c r="M51" s="29">
        <f>DSUM($B$37:$X$43,M$37,$C$50:$D51)</f>
        <v>0</v>
      </c>
      <c r="N51" s="29">
        <f>DSUM($B$37:$X$43,N$37,$C$50:$D51)</f>
        <v>0</v>
      </c>
      <c r="O51" s="29">
        <f>DSUM($B$37:$X$43,O$37,$C$50:$D51)</f>
        <v>0</v>
      </c>
      <c r="P51" s="29">
        <f>DSUM($B$37:$X$43,P$37,$C$50:$D51)</f>
        <v>0</v>
      </c>
      <c r="Q51" s="29">
        <f>DSUM($B$37:$X$43,Q$37,$C$50:$D51)</f>
        <v>0</v>
      </c>
      <c r="R51" s="29">
        <f>DSUM($B$37:$X$43,R$37,$C$50:$D51)</f>
        <v>0</v>
      </c>
      <c r="S51" s="29">
        <f>DSUM($B$37:$X$43,S$37,$C$50:$D51)</f>
        <v>0</v>
      </c>
      <c r="T51" s="29">
        <f>DSUM($B$37:$X$43,T$37,$C$50:$D51)</f>
        <v>0</v>
      </c>
      <c r="U51" s="29">
        <f>DSUM($B$37:$X$43,U$37,$C$50:$D51)</f>
        <v>0</v>
      </c>
      <c r="V51" s="29">
        <f>DSUM($B$37:$X$43,V$37,$C$50:$D51)</f>
        <v>0</v>
      </c>
      <c r="W51" s="29">
        <f>DSUM($B$37:$X$43,W$37,$C$50:$D51)</f>
        <v>0</v>
      </c>
      <c r="X51" s="29">
        <f>DSUM($B$37:$Y$43,X$37,$C$50:$D51)</f>
        <v>0</v>
      </c>
      <c r="Y51" s="29">
        <f>DSUM($B$37:$Y$43,Y$37,$C$50:$D51)</f>
        <v>0</v>
      </c>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row>
    <row r="52" spans="2:80">
      <c r="B52" s="7" t="s">
        <v>544</v>
      </c>
      <c r="C52" s="50" t="s">
        <v>72</v>
      </c>
      <c r="D52" s="50" t="s">
        <v>73</v>
      </c>
      <c r="E52" s="29">
        <f>DSUM($B$37:$X$43,E$37,$C$50:$D52)</f>
        <v>0</v>
      </c>
      <c r="F52" s="29">
        <f>DSUM($B$37:$X$43,F$37,$C$50:$D52)</f>
        <v>0</v>
      </c>
      <c r="G52" s="29">
        <f>DSUM($B$37:$X$43,G$37,$C$50:$D52)</f>
        <v>0</v>
      </c>
      <c r="H52" s="29">
        <f>DSUM($B$37:$X$43,H$37,$C$50:$D52)</f>
        <v>0</v>
      </c>
      <c r="I52" s="29">
        <f>DSUM($B$37:$X$43,I$37,$C$50:$D52)</f>
        <v>0</v>
      </c>
      <c r="J52" s="29">
        <f>DSUM($B$37:$X$43,J$37,$C$50:$D52)</f>
        <v>0</v>
      </c>
      <c r="K52" s="29">
        <f>DSUM($B$37:$X$43,K$37,$C$50:$D52)</f>
        <v>0</v>
      </c>
      <c r="L52" s="29">
        <f>DSUM($B$37:$X$43,L$37,$C$50:$D52)</f>
        <v>0</v>
      </c>
      <c r="M52" s="29">
        <f>DSUM($B$37:$X$43,M$37,$C$50:$D52)</f>
        <v>0</v>
      </c>
      <c r="N52" s="29">
        <f>DSUM($B$37:$X$43,N$37,$C$50:$D52)</f>
        <v>0</v>
      </c>
      <c r="O52" s="29">
        <f>DSUM($B$37:$X$43,O$37,$C$50:$D52)</f>
        <v>0</v>
      </c>
      <c r="P52" s="29">
        <f>DSUM($B$37:$X$43,P$37,$C$50:$D52)</f>
        <v>0</v>
      </c>
      <c r="Q52" s="29">
        <f>DSUM($B$37:$X$43,Q$37,$C$50:$D52)</f>
        <v>0</v>
      </c>
      <c r="R52" s="29">
        <f>DSUM($B$37:$X$43,R$37,$C$50:$D52)</f>
        <v>0</v>
      </c>
      <c r="S52" s="29">
        <f>DSUM($B$37:$X$43,S$37,$C$50:$D52)</f>
        <v>0</v>
      </c>
      <c r="T52" s="29">
        <f>DSUM($B$37:$X$43,T$37,$C$50:$D52)</f>
        <v>0</v>
      </c>
      <c r="U52" s="29">
        <f>DSUM($B$37:$X$43,U$37,$C$50:$D52)</f>
        <v>0</v>
      </c>
      <c r="V52" s="29">
        <f>DSUM($B$37:$X$43,V$37,$C$50:$D52)</f>
        <v>0</v>
      </c>
      <c r="W52" s="29">
        <f>DSUM($B$37:$X$43,W$37,$C$50:$D52)</f>
        <v>0</v>
      </c>
      <c r="X52" s="29">
        <f>DSUM($B$37:$Y$43,X$37,$C$50:$D52)</f>
        <v>0</v>
      </c>
      <c r="Y52" s="29">
        <f>DSUM($B$37:$Y$43,Y$37,$C$50:$D52)</f>
        <v>0</v>
      </c>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row>
    <row r="53" spans="2:80">
      <c r="B53" s="7" t="s">
        <v>74</v>
      </c>
      <c r="C53" s="50" t="s">
        <v>75</v>
      </c>
      <c r="D53" s="50" t="s">
        <v>76</v>
      </c>
      <c r="E53" s="29">
        <f>DSUM($B$37:$X$43,E$37,$C$50:$D53)</f>
        <v>0</v>
      </c>
      <c r="F53" s="29">
        <f>DSUM($B$37:$X$43,F$37,$C$50:$D53)</f>
        <v>0</v>
      </c>
      <c r="G53" s="29">
        <f>DSUM($B$37:$X$43,G$37,$C$50:$D53)</f>
        <v>0</v>
      </c>
      <c r="H53" s="29">
        <f>DSUM($B$37:$X$43,H$37,$C$50:$D53)</f>
        <v>0</v>
      </c>
      <c r="I53" s="29">
        <f>DSUM($B$37:$X$43,I$37,$C$50:$D53)</f>
        <v>0</v>
      </c>
      <c r="J53" s="29">
        <f>DSUM($B$37:$X$43,J$37,$C$50:$D53)</f>
        <v>0</v>
      </c>
      <c r="K53" s="29">
        <f>DSUM($B$37:$X$43,K$37,$C$50:$D53)</f>
        <v>0</v>
      </c>
      <c r="L53" s="29">
        <f>DSUM($B$37:$X$43,L$37,$C$50:$D53)</f>
        <v>0</v>
      </c>
      <c r="M53" s="29">
        <f>DSUM($B$37:$X$43,M$37,$C$50:$D53)</f>
        <v>0</v>
      </c>
      <c r="N53" s="29">
        <f>DSUM($B$37:$X$43,N$37,$C$50:$D53)</f>
        <v>0</v>
      </c>
      <c r="O53" s="29">
        <f>DSUM($B$37:$X$43,O$37,$C$50:$D53)</f>
        <v>0</v>
      </c>
      <c r="P53" s="29">
        <f>DSUM($B$37:$X$43,P$37,$C$50:$D53)</f>
        <v>0</v>
      </c>
      <c r="Q53" s="29">
        <f>DSUM($B$37:$X$43,Q$37,$C$50:$D53)</f>
        <v>0</v>
      </c>
      <c r="R53" s="29">
        <f>DSUM($B$37:$X$43,R$37,$C$50:$D53)</f>
        <v>0</v>
      </c>
      <c r="S53" s="29">
        <f>DSUM($B$37:$X$43,S$37,$C$50:$D53)</f>
        <v>0</v>
      </c>
      <c r="T53" s="29">
        <f>DSUM($B$37:$X$43,T$37,$C$50:$D53)</f>
        <v>0</v>
      </c>
      <c r="U53" s="29">
        <f>DSUM($B$37:$X$43,U$37,$C$50:$D53)</f>
        <v>0</v>
      </c>
      <c r="V53" s="29">
        <f>DSUM($B$37:$X$43,V$37,$C$50:$D53)</f>
        <v>0</v>
      </c>
      <c r="W53" s="29">
        <f>DSUM($B$37:$X$43,W$37,$C$50:$D53)</f>
        <v>0</v>
      </c>
      <c r="X53" s="29">
        <f>DSUM($B$37:$Y$43,X$37,$C$50:$D53)</f>
        <v>0</v>
      </c>
      <c r="Y53" s="29">
        <f>DSUM($B$37:$Y$43,Y$37,$C$50:$D53)</f>
        <v>0</v>
      </c>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row>
    <row r="54" spans="2:80">
      <c r="B54" s="7" t="s">
        <v>77</v>
      </c>
      <c r="C54" s="50" t="s">
        <v>78</v>
      </c>
      <c r="D54" s="50" t="s">
        <v>79</v>
      </c>
      <c r="E54" s="29">
        <f>DSUM($B$37:$X$43,E$37,$C$50:$D54)</f>
        <v>0</v>
      </c>
      <c r="F54" s="29">
        <f>DSUM($B$37:$X$43,F$37,$C$50:$D54)</f>
        <v>0</v>
      </c>
      <c r="G54" s="29">
        <f>DSUM($B$37:$X$43,G$37,$C$50:$D54)</f>
        <v>0</v>
      </c>
      <c r="H54" s="29">
        <f>DSUM($B$37:$X$43,H$37,$C$50:$D54)</f>
        <v>0</v>
      </c>
      <c r="I54" s="29">
        <f>DSUM($B$37:$X$43,I$37,$C$50:$D54)</f>
        <v>0</v>
      </c>
      <c r="J54" s="29">
        <f>DSUM($B$37:$X$43,J$37,$C$50:$D54)</f>
        <v>0</v>
      </c>
      <c r="K54" s="29">
        <f>DSUM($B$37:$X$43,K$37,$C$50:$D54)</f>
        <v>0</v>
      </c>
      <c r="L54" s="29">
        <f>DSUM($B$37:$X$43,L$37,$C$50:$D54)</f>
        <v>0</v>
      </c>
      <c r="M54" s="29">
        <f>DSUM($B$37:$X$43,M$37,$C$50:$D54)</f>
        <v>0</v>
      </c>
      <c r="N54" s="29">
        <f>DSUM($B$37:$X$43,N$37,$C$50:$D54)</f>
        <v>0</v>
      </c>
      <c r="O54" s="29">
        <f>DSUM($B$37:$X$43,O$37,$C$50:$D54)</f>
        <v>0</v>
      </c>
      <c r="P54" s="29">
        <f>DSUM($B$37:$X$43,P$37,$C$50:$D54)</f>
        <v>0</v>
      </c>
      <c r="Q54" s="29">
        <f>DSUM($B$37:$X$43,Q$37,$C$50:$D54)</f>
        <v>0</v>
      </c>
      <c r="R54" s="29">
        <f>DSUM($B$37:$X$43,R$37,$C$50:$D54)</f>
        <v>0</v>
      </c>
      <c r="S54" s="29">
        <f>DSUM($B$37:$X$43,S$37,$C$50:$D54)</f>
        <v>0</v>
      </c>
      <c r="T54" s="29">
        <f>DSUM($B$37:$X$43,T$37,$C$50:$D54)</f>
        <v>0</v>
      </c>
      <c r="U54" s="29">
        <f>DSUM($B$37:$X$43,U$37,$C$50:$D54)</f>
        <v>0</v>
      </c>
      <c r="V54" s="29">
        <f>DSUM($B$37:$X$43,V$37,$C$50:$D54)</f>
        <v>0</v>
      </c>
      <c r="W54" s="29">
        <f>DSUM($B$37:$X$43,W$37,$C$50:$D54)</f>
        <v>0</v>
      </c>
      <c r="X54" s="29">
        <f>DSUM($B$37:$Y$43,X$37,$C$50:$D54)</f>
        <v>0</v>
      </c>
      <c r="Y54" s="29">
        <f>DSUM($B$37:$Y$43,Y$37,$C$50:$D54)</f>
        <v>0</v>
      </c>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row>
    <row r="55" spans="2:80">
      <c r="B55" s="7" t="s">
        <v>80</v>
      </c>
      <c r="C55" s="50" t="s">
        <v>81</v>
      </c>
      <c r="D55" s="50" t="s">
        <v>82</v>
      </c>
      <c r="E55" s="29">
        <f>DSUM($B$37:$X$43,E$37,$C$50:$D55)</f>
        <v>0</v>
      </c>
      <c r="F55" s="29">
        <f>DSUM($B$37:$X$43,F$37,$C$50:$D55)</f>
        <v>0</v>
      </c>
      <c r="G55" s="29">
        <f>DSUM($B$37:$X$43,G$37,$C$50:$D55)</f>
        <v>0</v>
      </c>
      <c r="H55" s="29">
        <f>DSUM($B$37:$X$43,H$37,$C$50:$D55)</f>
        <v>0</v>
      </c>
      <c r="I55" s="29">
        <f>DSUM($B$37:$X$43,I$37,$C$50:$D55)</f>
        <v>0</v>
      </c>
      <c r="J55" s="29">
        <f>DSUM($B$37:$X$43,J$37,$C$50:$D55)</f>
        <v>0</v>
      </c>
      <c r="K55" s="29">
        <f>DSUM($B$37:$X$43,K$37,$C$50:$D55)</f>
        <v>0</v>
      </c>
      <c r="L55" s="29">
        <f>DSUM($B$37:$X$43,L$37,$C$50:$D55)</f>
        <v>0</v>
      </c>
      <c r="M55" s="29">
        <f>DSUM($B$37:$X$43,M$37,$C$50:$D55)</f>
        <v>0</v>
      </c>
      <c r="N55" s="29">
        <f>DSUM($B$37:$X$43,N$37,$C$50:$D55)</f>
        <v>0</v>
      </c>
      <c r="O55" s="29">
        <f>DSUM($B$37:$X$43,O$37,$C$50:$D55)</f>
        <v>0</v>
      </c>
      <c r="P55" s="29">
        <f>DSUM($B$37:$X$43,P$37,$C$50:$D55)</f>
        <v>0</v>
      </c>
      <c r="Q55" s="29">
        <f>DSUM($B$37:$X$43,Q$37,$C$50:$D55)</f>
        <v>0</v>
      </c>
      <c r="R55" s="29">
        <f>DSUM($B$37:$X$43,R$37,$C$50:$D55)</f>
        <v>0</v>
      </c>
      <c r="S55" s="29">
        <f>DSUM($B$37:$X$43,S$37,$C$50:$D55)</f>
        <v>0</v>
      </c>
      <c r="T55" s="29">
        <f>DSUM($B$37:$X$43,T$37,$C$50:$D55)</f>
        <v>0</v>
      </c>
      <c r="U55" s="29">
        <f>DSUM($B$37:$X$43,U$37,$C$50:$D55)</f>
        <v>0</v>
      </c>
      <c r="V55" s="29">
        <f>DSUM($B$37:$X$43,V$37,$C$50:$D55)</f>
        <v>0</v>
      </c>
      <c r="W55" s="29">
        <f>DSUM($B$37:$X$43,W$37,$C$50:$D55)</f>
        <v>0</v>
      </c>
      <c r="X55" s="29">
        <f>DSUM($B$37:$Y$43,X$37,$C$50:$D55)</f>
        <v>0</v>
      </c>
      <c r="Y55" s="29">
        <f>DSUM($B$37:$Y$43,Y$37,$C$50:$D55)</f>
        <v>0</v>
      </c>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row>
    <row r="56" spans="2:80">
      <c r="B56" s="7" t="s">
        <v>83</v>
      </c>
      <c r="C56" s="50" t="s">
        <v>84</v>
      </c>
      <c r="D56" s="50" t="s">
        <v>85</v>
      </c>
      <c r="E56" s="29">
        <f>DSUM($B$37:$X$43,E$37,$C$50:$D56)</f>
        <v>0</v>
      </c>
      <c r="F56" s="29">
        <f>DSUM($B$37:$X$43,F$37,$C$50:$D56)</f>
        <v>0</v>
      </c>
      <c r="G56" s="29">
        <f>DSUM($B$37:$X$43,G$37,$C$50:$D56)</f>
        <v>0</v>
      </c>
      <c r="H56" s="29">
        <f>DSUM($B$37:$X$43,H$37,$C$50:$D56)</f>
        <v>0</v>
      </c>
      <c r="I56" s="29">
        <f>DSUM($B$37:$X$43,I$37,$C$50:$D56)</f>
        <v>0</v>
      </c>
      <c r="J56" s="29">
        <f>DSUM($B$37:$X$43,J$37,$C$50:$D56)</f>
        <v>0</v>
      </c>
      <c r="K56" s="29">
        <f>DSUM($B$37:$X$43,K$37,$C$50:$D56)</f>
        <v>0</v>
      </c>
      <c r="L56" s="29">
        <f>DSUM($B$37:$X$43,L$37,$C$50:$D56)</f>
        <v>0</v>
      </c>
      <c r="M56" s="29">
        <f>DSUM($B$37:$X$43,M$37,$C$50:$D56)</f>
        <v>0</v>
      </c>
      <c r="N56" s="29">
        <f>DSUM($B$37:$X$43,N$37,$C$50:$D56)</f>
        <v>0</v>
      </c>
      <c r="O56" s="29">
        <f>DSUM($B$37:$X$43,O$37,$C$50:$D56)</f>
        <v>0</v>
      </c>
      <c r="P56" s="29">
        <f>DSUM($B$37:$X$43,P$37,$C$50:$D56)</f>
        <v>0</v>
      </c>
      <c r="Q56" s="29">
        <f>DSUM($B$37:$X$43,Q$37,$C$50:$D56)</f>
        <v>0</v>
      </c>
      <c r="R56" s="29">
        <f>DSUM($B$37:$X$43,R$37,$C$50:$D56)</f>
        <v>0</v>
      </c>
      <c r="S56" s="29">
        <f>DSUM($B$37:$X$43,S$37,$C$50:$D56)</f>
        <v>0</v>
      </c>
      <c r="T56" s="29">
        <f>DSUM($B$37:$X$43,T$37,$C$50:$D56)</f>
        <v>0</v>
      </c>
      <c r="U56" s="29">
        <f>DSUM($B$37:$X$43,U$37,$C$50:$D56)</f>
        <v>0</v>
      </c>
      <c r="V56" s="29">
        <f>DSUM($B$37:$X$43,V$37,$C$50:$D56)</f>
        <v>0</v>
      </c>
      <c r="W56" s="29">
        <f>DSUM($B$37:$X$43,W$37,$C$50:$D56)</f>
        <v>0</v>
      </c>
      <c r="X56" s="29">
        <f>DSUM($B$37:$Y$43,X$37,$C$50:$D56)</f>
        <v>0</v>
      </c>
      <c r="Y56" s="29">
        <f>DSUM($B$37:$Y$43,Y$37,$C$50:$D56)</f>
        <v>0</v>
      </c>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row>
    <row r="57" spans="2:80">
      <c r="B57" s="7" t="s">
        <v>86</v>
      </c>
      <c r="C57" s="50" t="s">
        <v>87</v>
      </c>
      <c r="D57" s="50" t="s">
        <v>88</v>
      </c>
      <c r="E57" s="29">
        <f>DSUM($B$37:$X$43,E$37,$C$50:$D57)</f>
        <v>0</v>
      </c>
      <c r="F57" s="29">
        <f>DSUM($B$37:$X$43,F$37,$C$50:$D57)</f>
        <v>0</v>
      </c>
      <c r="G57" s="29">
        <f>DSUM($B$37:$X$43,G$37,$C$50:$D57)</f>
        <v>0</v>
      </c>
      <c r="H57" s="29">
        <f>DSUM($B$37:$X$43,H$37,$C$50:$D57)</f>
        <v>0</v>
      </c>
      <c r="I57" s="29">
        <f>DSUM($B$37:$X$43,I$37,$C$50:$D57)</f>
        <v>0</v>
      </c>
      <c r="J57" s="29">
        <f>DSUM($B$37:$X$43,J$37,$C$50:$D57)</f>
        <v>0</v>
      </c>
      <c r="K57" s="29">
        <f>DSUM($B$37:$X$43,K$37,$C$50:$D57)</f>
        <v>0</v>
      </c>
      <c r="L57" s="29">
        <f>DSUM($B$37:$X$43,L$37,$C$50:$D57)</f>
        <v>0</v>
      </c>
      <c r="M57" s="29">
        <f>DSUM($B$37:$X$43,M$37,$C$50:$D57)</f>
        <v>0</v>
      </c>
      <c r="N57" s="29">
        <f>DSUM($B$37:$X$43,N$37,$C$50:$D57)</f>
        <v>0</v>
      </c>
      <c r="O57" s="29">
        <f>DSUM($B$37:$X$43,O$37,$C$50:$D57)</f>
        <v>0</v>
      </c>
      <c r="P57" s="29">
        <f>DSUM($B$37:$X$43,P$37,$C$50:$D57)</f>
        <v>0</v>
      </c>
      <c r="Q57" s="29">
        <f>DSUM($B$37:$X$43,Q$37,$C$50:$D57)</f>
        <v>0</v>
      </c>
      <c r="R57" s="29">
        <f>DSUM($B$37:$X$43,R$37,$C$50:$D57)</f>
        <v>0</v>
      </c>
      <c r="S57" s="29">
        <f>DSUM($B$37:$X$43,S$37,$C$50:$D57)</f>
        <v>0</v>
      </c>
      <c r="T57" s="29">
        <f>DSUM($B$37:$X$43,T$37,$C$50:$D57)</f>
        <v>0</v>
      </c>
      <c r="U57" s="29">
        <f>DSUM($B$37:$X$43,U$37,$C$50:$D57)</f>
        <v>0</v>
      </c>
      <c r="V57" s="29">
        <f>DSUM($B$37:$X$43,V$37,$C$50:$D57)</f>
        <v>0</v>
      </c>
      <c r="W57" s="29">
        <f>DSUM($B$37:$X$43,W$37,$C$50:$D57)</f>
        <v>0</v>
      </c>
      <c r="X57" s="29">
        <f>DSUM($B$37:$Y$43,X$37,$C$50:$D57)</f>
        <v>0</v>
      </c>
      <c r="Y57" s="29">
        <f>DSUM($B$37:$Y$43,Y$37,$C$50:$D57)</f>
        <v>0</v>
      </c>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row>
    <row r="58" spans="2:80">
      <c r="B58" s="7" t="s">
        <v>89</v>
      </c>
      <c r="C58" s="50" t="s">
        <v>90</v>
      </c>
      <c r="D58" s="50" t="s">
        <v>91</v>
      </c>
      <c r="E58" s="29">
        <f>DSUM($B$37:$X$43,E$37,$C$50:$D58)</f>
        <v>0</v>
      </c>
      <c r="F58" s="29">
        <f>DSUM($B$37:$X$43,F$37,$C$50:$D58)</f>
        <v>0</v>
      </c>
      <c r="G58" s="29">
        <f>DSUM($B$37:$X$43,G$37,$C$50:$D58)</f>
        <v>0</v>
      </c>
      <c r="H58" s="29">
        <f>DSUM($B$37:$X$43,H$37,$C$50:$D58)</f>
        <v>0</v>
      </c>
      <c r="I58" s="29">
        <f>DSUM($B$37:$X$43,I$37,$C$50:$D58)</f>
        <v>0</v>
      </c>
      <c r="J58" s="29">
        <f>DSUM($B$37:$X$43,J$37,$C$50:$D58)</f>
        <v>0</v>
      </c>
      <c r="K58" s="29">
        <f>DSUM($B$37:$X$43,K$37,$C$50:$D58)</f>
        <v>0</v>
      </c>
      <c r="L58" s="29">
        <f>DSUM($B$37:$X$43,L$37,$C$50:$D58)</f>
        <v>0</v>
      </c>
      <c r="M58" s="29">
        <f>DSUM($B$37:$X$43,M$37,$C$50:$D58)</f>
        <v>0</v>
      </c>
      <c r="N58" s="29">
        <f>DSUM($B$37:$X$43,N$37,$C$50:$D58)</f>
        <v>0</v>
      </c>
      <c r="O58" s="29">
        <f>DSUM($B$37:$X$43,O$37,$C$50:$D58)</f>
        <v>0</v>
      </c>
      <c r="P58" s="29">
        <f>DSUM($B$37:$X$43,P$37,$C$50:$D58)</f>
        <v>0</v>
      </c>
      <c r="Q58" s="29">
        <f>DSUM($B$37:$X$43,Q$37,$C$50:$D58)</f>
        <v>0</v>
      </c>
      <c r="R58" s="29">
        <f>DSUM($B$37:$X$43,R$37,$C$50:$D58)</f>
        <v>0</v>
      </c>
      <c r="S58" s="29">
        <f>DSUM($B$37:$X$43,S$37,$C$50:$D58)</f>
        <v>0</v>
      </c>
      <c r="T58" s="29">
        <f>DSUM($B$37:$X$43,T$37,$C$50:$D58)</f>
        <v>0</v>
      </c>
      <c r="U58" s="29">
        <f>DSUM($B$37:$X$43,U$37,$C$50:$D58)</f>
        <v>0</v>
      </c>
      <c r="V58" s="29">
        <f>DSUM($B$37:$X$43,V$37,$C$50:$D58)</f>
        <v>0</v>
      </c>
      <c r="W58" s="29">
        <f>DSUM($B$37:$X$43,W$37,$C$50:$D58)</f>
        <v>0</v>
      </c>
      <c r="X58" s="29">
        <f>DSUM($B$37:$Y$43,X$37,$C$50:$D58)</f>
        <v>0</v>
      </c>
      <c r="Y58" s="29">
        <f>DSUM($B$37:$Y$43,Y$37,$C$50:$D58)</f>
        <v>0</v>
      </c>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row>
    <row r="59" spans="2:80">
      <c r="B59" s="7" t="s">
        <v>92</v>
      </c>
      <c r="C59" s="50" t="s">
        <v>93</v>
      </c>
      <c r="D59" s="50" t="s">
        <v>94</v>
      </c>
      <c r="E59" s="29">
        <f>DSUM($B$37:$X$43,E$37,$C$50:$D59)</f>
        <v>0</v>
      </c>
      <c r="F59" s="29">
        <f>DSUM($B$37:$X$43,F$37,$C$50:$D59)</f>
        <v>0</v>
      </c>
      <c r="G59" s="29">
        <f>DSUM($B$37:$X$43,G$37,$C$50:$D59)</f>
        <v>0</v>
      </c>
      <c r="H59" s="29">
        <f>DSUM($B$37:$X$43,H$37,$C$50:$D59)</f>
        <v>0</v>
      </c>
      <c r="I59" s="29">
        <f>DSUM($B$37:$X$43,I$37,$C$50:$D59)</f>
        <v>0</v>
      </c>
      <c r="J59" s="29">
        <f>DSUM($B$37:$X$43,J$37,$C$50:$D59)</f>
        <v>0</v>
      </c>
      <c r="K59" s="29">
        <f>DSUM($B$37:$X$43,K$37,$C$50:$D59)</f>
        <v>0</v>
      </c>
      <c r="L59" s="29">
        <f>DSUM($B$37:$X$43,L$37,$C$50:$D59)</f>
        <v>0</v>
      </c>
      <c r="M59" s="29">
        <f>DSUM($B$37:$X$43,M$37,$C$50:$D59)</f>
        <v>0</v>
      </c>
      <c r="N59" s="29">
        <f>DSUM($B$37:$X$43,N$37,$C$50:$D59)</f>
        <v>0</v>
      </c>
      <c r="O59" s="29">
        <f>DSUM($B$37:$X$43,O$37,$C$50:$D59)</f>
        <v>0</v>
      </c>
      <c r="P59" s="29">
        <f>DSUM($B$37:$X$43,P$37,$C$50:$D59)</f>
        <v>0</v>
      </c>
      <c r="Q59" s="29">
        <f>DSUM($B$37:$X$43,Q$37,$C$50:$D59)</f>
        <v>0</v>
      </c>
      <c r="R59" s="29">
        <f>DSUM($B$37:$X$43,R$37,$C$50:$D59)</f>
        <v>0</v>
      </c>
      <c r="S59" s="29">
        <f>DSUM($B$37:$X$43,S$37,$C$50:$D59)</f>
        <v>0</v>
      </c>
      <c r="T59" s="29">
        <f>DSUM($B$37:$X$43,T$37,$C$50:$D59)</f>
        <v>0</v>
      </c>
      <c r="U59" s="29">
        <f>DSUM($B$37:$X$43,U$37,$C$50:$D59)</f>
        <v>0</v>
      </c>
      <c r="V59" s="29">
        <f>DSUM($B$37:$X$43,V$37,$C$50:$D59)</f>
        <v>0</v>
      </c>
      <c r="W59" s="29">
        <f>DSUM($B$37:$X$43,W$37,$C$50:$D59)</f>
        <v>0</v>
      </c>
      <c r="X59" s="29">
        <f>DSUM($B$37:$Y$43,X$37,$C$50:$D59)</f>
        <v>0</v>
      </c>
      <c r="Y59" s="29">
        <f>DSUM($B$37:$Y$43,Y$37,$C$50:$D59)</f>
        <v>0</v>
      </c>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row>
    <row r="60" spans="2:80">
      <c r="B60" s="7" t="s">
        <v>95</v>
      </c>
      <c r="C60" s="50" t="s">
        <v>96</v>
      </c>
      <c r="D60" s="50" t="s">
        <v>97</v>
      </c>
      <c r="E60" s="29">
        <f>DSUM($B$37:$X$43,E$37,$C$50:$D60)</f>
        <v>0</v>
      </c>
      <c r="F60" s="29">
        <f>DSUM($B$37:$X$43,F$37,$C$50:$D60)</f>
        <v>0</v>
      </c>
      <c r="G60" s="29">
        <f>DSUM($B$37:$X$43,G$37,$C$50:$D60)</f>
        <v>0</v>
      </c>
      <c r="H60" s="29">
        <f>DSUM($B$37:$X$43,H$37,$C$50:$D60)</f>
        <v>0</v>
      </c>
      <c r="I60" s="29">
        <f>DSUM($B$37:$X$43,I$37,$C$50:$D60)</f>
        <v>0</v>
      </c>
      <c r="J60" s="29">
        <f>DSUM($B$37:$X$43,J$37,$C$50:$D60)</f>
        <v>0</v>
      </c>
      <c r="K60" s="29">
        <f>DSUM($B$37:$X$43,K$37,$C$50:$D60)</f>
        <v>0</v>
      </c>
      <c r="L60" s="29">
        <f>DSUM($B$37:$X$43,L$37,$C$50:$D60)</f>
        <v>0</v>
      </c>
      <c r="M60" s="29">
        <f>DSUM($B$37:$X$43,M$37,$C$50:$D60)</f>
        <v>0</v>
      </c>
      <c r="N60" s="29">
        <f>DSUM($B$37:$X$43,N$37,$C$50:$D60)</f>
        <v>0</v>
      </c>
      <c r="O60" s="29">
        <f>DSUM($B$37:$X$43,O$37,$C$50:$D60)</f>
        <v>0</v>
      </c>
      <c r="P60" s="29">
        <f>DSUM($B$37:$X$43,P$37,$C$50:$D60)</f>
        <v>0</v>
      </c>
      <c r="Q60" s="29">
        <f>DSUM($B$37:$X$43,Q$37,$C$50:$D60)</f>
        <v>0</v>
      </c>
      <c r="R60" s="29">
        <f>DSUM($B$37:$X$43,R$37,$C$50:$D60)</f>
        <v>0</v>
      </c>
      <c r="S60" s="29">
        <f>DSUM($B$37:$X$43,S$37,$C$50:$D60)</f>
        <v>0</v>
      </c>
      <c r="T60" s="29">
        <f>DSUM($B$37:$X$43,T$37,$C$50:$D60)</f>
        <v>0</v>
      </c>
      <c r="U60" s="29">
        <f>DSUM($B$37:$X$43,U$37,$C$50:$D60)</f>
        <v>0</v>
      </c>
      <c r="V60" s="29">
        <f>DSUM($B$37:$X$43,V$37,$C$50:$D60)</f>
        <v>0</v>
      </c>
      <c r="W60" s="29">
        <f>DSUM($B$37:$X$43,W$37,$C$50:$D60)</f>
        <v>0</v>
      </c>
      <c r="X60" s="29">
        <f>DSUM($B$37:$Y$43,X$37,$C$50:$D60)</f>
        <v>0</v>
      </c>
      <c r="Y60" s="29">
        <f>DSUM($B$37:$Y$43,Y$37,$C$50:$D60)</f>
        <v>0</v>
      </c>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row>
    <row r="61" spans="2:80">
      <c r="B61" s="7" t="s">
        <v>98</v>
      </c>
      <c r="C61" s="50" t="s">
        <v>99</v>
      </c>
      <c r="D61" s="50" t="s">
        <v>100</v>
      </c>
      <c r="E61" s="29">
        <f>DSUM($B$37:$X$43,E$37,$C$50:$D61)</f>
        <v>0</v>
      </c>
      <c r="F61" s="29">
        <f>DSUM($B$37:$X$43,F$37,$C$50:$D61)</f>
        <v>0</v>
      </c>
      <c r="G61" s="29">
        <f>DSUM($B$37:$X$43,G$37,$C$50:$D61)</f>
        <v>0</v>
      </c>
      <c r="H61" s="29">
        <f>DSUM($B$37:$X$43,H$37,$C$50:$D61)</f>
        <v>0</v>
      </c>
      <c r="I61" s="29">
        <f>DSUM($B$37:$X$43,I$37,$C$50:$D61)</f>
        <v>0</v>
      </c>
      <c r="J61" s="29">
        <f>DSUM($B$37:$X$43,J$37,$C$50:$D61)</f>
        <v>0</v>
      </c>
      <c r="K61" s="29">
        <f>DSUM($B$37:$X$43,K$37,$C$50:$D61)</f>
        <v>0</v>
      </c>
      <c r="L61" s="29">
        <f>DSUM($B$37:$X$43,L$37,$C$50:$D61)</f>
        <v>0</v>
      </c>
      <c r="M61" s="29">
        <f>DSUM($B$37:$X$43,M$37,$C$50:$D61)</f>
        <v>0</v>
      </c>
      <c r="N61" s="29">
        <f>DSUM($B$37:$X$43,N$37,$C$50:$D61)</f>
        <v>0</v>
      </c>
      <c r="O61" s="29">
        <f>DSUM($B$37:$X$43,O$37,$C$50:$D61)</f>
        <v>0</v>
      </c>
      <c r="P61" s="29">
        <f>DSUM($B$37:$X$43,P$37,$C$50:$D61)</f>
        <v>0</v>
      </c>
      <c r="Q61" s="29">
        <f>DSUM($B$37:$X$43,Q$37,$C$50:$D61)</f>
        <v>0</v>
      </c>
      <c r="R61" s="29">
        <f>DSUM($B$37:$X$43,R$37,$C$50:$D61)</f>
        <v>0</v>
      </c>
      <c r="S61" s="29">
        <f>DSUM($B$37:$X$43,S$37,$C$50:$D61)</f>
        <v>0</v>
      </c>
      <c r="T61" s="29">
        <f>DSUM($B$37:$X$43,T$37,$C$50:$D61)</f>
        <v>0</v>
      </c>
      <c r="U61" s="29">
        <f>DSUM($B$37:$X$43,U$37,$C$50:$D61)</f>
        <v>0</v>
      </c>
      <c r="V61" s="29">
        <f>DSUM($B$37:$X$43,V$37,$C$50:$D61)</f>
        <v>0</v>
      </c>
      <c r="W61" s="29">
        <f>DSUM($B$37:$X$43,W$37,$C$50:$D61)</f>
        <v>0</v>
      </c>
      <c r="X61" s="29">
        <f>DSUM($B$37:$Y$43,X$37,$C$50:$D61)</f>
        <v>0</v>
      </c>
      <c r="Y61" s="29">
        <f>DSUM($B$37:$Y$43,Y$37,$C$50:$D61)</f>
        <v>0</v>
      </c>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row>
    <row r="62" spans="2:80">
      <c r="B62" s="7" t="s">
        <v>101</v>
      </c>
      <c r="C62" s="50" t="s">
        <v>102</v>
      </c>
      <c r="D62" s="50" t="s">
        <v>103</v>
      </c>
      <c r="E62" s="29">
        <f>DSUM($B$37:$X$43,E$37,$C$50:$D62)</f>
        <v>0</v>
      </c>
      <c r="F62" s="29">
        <f>DSUM($B$37:$X$43,F$37,$C$50:$D62)</f>
        <v>0</v>
      </c>
      <c r="G62" s="29">
        <f>DSUM($B$37:$X$43,G$37,$C$50:$D62)</f>
        <v>0</v>
      </c>
      <c r="H62" s="29">
        <f>DSUM($B$37:$X$43,H$37,$C$50:$D62)</f>
        <v>0</v>
      </c>
      <c r="I62" s="29">
        <f>DSUM($B$37:$X$43,I$37,$C$50:$D62)</f>
        <v>0</v>
      </c>
      <c r="J62" s="29">
        <f>DSUM($B$37:$X$43,J$37,$C$50:$D62)</f>
        <v>0</v>
      </c>
      <c r="K62" s="29">
        <f>DSUM($B$37:$X$43,K$37,$C$50:$D62)</f>
        <v>0</v>
      </c>
      <c r="L62" s="29">
        <f>DSUM($B$37:$X$43,L$37,$C$50:$D62)</f>
        <v>0</v>
      </c>
      <c r="M62" s="29">
        <f>DSUM($B$37:$X$43,M$37,$C$50:$D62)</f>
        <v>0</v>
      </c>
      <c r="N62" s="29">
        <f>DSUM($B$37:$X$43,N$37,$C$50:$D62)</f>
        <v>0</v>
      </c>
      <c r="O62" s="29">
        <f>DSUM($B$37:$X$43,O$37,$C$50:$D62)</f>
        <v>0</v>
      </c>
      <c r="P62" s="29">
        <f>DSUM($B$37:$X$43,P$37,$C$50:$D62)</f>
        <v>0</v>
      </c>
      <c r="Q62" s="29">
        <f>DSUM($B$37:$X$43,Q$37,$C$50:$D62)</f>
        <v>0</v>
      </c>
      <c r="R62" s="29">
        <f>DSUM($B$37:$X$43,R$37,$C$50:$D62)</f>
        <v>0</v>
      </c>
      <c r="S62" s="29">
        <f>DSUM($B$37:$X$43,S$37,$C$50:$D62)</f>
        <v>0</v>
      </c>
      <c r="T62" s="29">
        <f>DSUM($B$37:$X$43,T$37,$C$50:$D62)</f>
        <v>0</v>
      </c>
      <c r="U62" s="29">
        <f>DSUM($B$37:$X$43,U$37,$C$50:$D62)</f>
        <v>0</v>
      </c>
      <c r="V62" s="29">
        <f>DSUM($B$37:$X$43,V$37,$C$50:$D62)</f>
        <v>0</v>
      </c>
      <c r="W62" s="29">
        <f>DSUM($B$37:$X$43,W$37,$C$50:$D62)</f>
        <v>0</v>
      </c>
      <c r="X62" s="29">
        <f>DSUM($B$37:$Y$43,X$37,$C$50:$D62)</f>
        <v>0</v>
      </c>
      <c r="Y62" s="29">
        <f>DSUM($B$37:$Y$43,Y$37,$C$50:$D62)</f>
        <v>0</v>
      </c>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row>
    <row r="63" spans="2:80">
      <c r="B63" s="7" t="s">
        <v>104</v>
      </c>
      <c r="C63" s="50" t="s">
        <v>105</v>
      </c>
      <c r="D63" s="50" t="s">
        <v>106</v>
      </c>
      <c r="E63" s="29">
        <f>DSUM($B$37:$X$43,E$37,$C$50:$D63)</f>
        <v>0</v>
      </c>
      <c r="F63" s="29">
        <f>DSUM($B$37:$X$43,F$37,$C$50:$D63)</f>
        <v>0</v>
      </c>
      <c r="G63" s="29">
        <f>DSUM($B$37:$X$43,G$37,$C$50:$D63)</f>
        <v>0</v>
      </c>
      <c r="H63" s="29">
        <f>DSUM($B$37:$X$43,H$37,$C$50:$D63)</f>
        <v>0</v>
      </c>
      <c r="I63" s="29">
        <f>DSUM($B$37:$X$43,I$37,$C$50:$D63)</f>
        <v>0</v>
      </c>
      <c r="J63" s="29">
        <f>DSUM($B$37:$X$43,J$37,$C$50:$D63)</f>
        <v>0</v>
      </c>
      <c r="K63" s="29">
        <f>DSUM($B$37:$X$43,K$37,$C$50:$D63)</f>
        <v>0</v>
      </c>
      <c r="L63" s="29">
        <f>DSUM($B$37:$X$43,L$37,$C$50:$D63)</f>
        <v>0</v>
      </c>
      <c r="M63" s="29">
        <f>DSUM($B$37:$X$43,M$37,$C$50:$D63)</f>
        <v>0</v>
      </c>
      <c r="N63" s="29">
        <f>DSUM($B$37:$X$43,N$37,$C$50:$D63)</f>
        <v>0</v>
      </c>
      <c r="O63" s="29">
        <f>DSUM($B$37:$X$43,O$37,$C$50:$D63)</f>
        <v>0</v>
      </c>
      <c r="P63" s="29">
        <f>DSUM($B$37:$X$43,P$37,$C$50:$D63)</f>
        <v>0</v>
      </c>
      <c r="Q63" s="29">
        <f>DSUM($B$37:$X$43,Q$37,$C$50:$D63)</f>
        <v>0</v>
      </c>
      <c r="R63" s="29">
        <f>DSUM($B$37:$X$43,R$37,$C$50:$D63)</f>
        <v>0</v>
      </c>
      <c r="S63" s="29">
        <f>DSUM($B$37:$X$43,S$37,$C$50:$D63)</f>
        <v>0</v>
      </c>
      <c r="T63" s="29">
        <f>DSUM($B$37:$X$43,T$37,$C$50:$D63)</f>
        <v>0</v>
      </c>
      <c r="U63" s="29">
        <f>DSUM($B$37:$X$43,U$37,$C$50:$D63)</f>
        <v>0</v>
      </c>
      <c r="V63" s="29">
        <f>DSUM($B$37:$X$43,V$37,$C$50:$D63)</f>
        <v>0</v>
      </c>
      <c r="W63" s="29">
        <f>DSUM($B$37:$X$43,W$37,$C$50:$D63)</f>
        <v>0</v>
      </c>
      <c r="X63" s="29">
        <f>DSUM($B$37:$Y$43,X$37,$C$50:$D63)</f>
        <v>0</v>
      </c>
      <c r="Y63" s="29">
        <f>DSUM($B$37:$Y$43,Y$37,$C$50:$D63)</f>
        <v>0</v>
      </c>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row>
    <row r="64" spans="2:80">
      <c r="B64" s="7" t="s">
        <v>107</v>
      </c>
      <c r="C64" s="50" t="s">
        <v>108</v>
      </c>
      <c r="D64" s="50" t="s">
        <v>109</v>
      </c>
      <c r="E64" s="29">
        <f>DSUM($B$37:$X$43,E$37,$C$50:$D64)</f>
        <v>0</v>
      </c>
      <c r="F64" s="29">
        <f>DSUM($B$37:$X$43,F$37,$C$50:$D64)</f>
        <v>0</v>
      </c>
      <c r="G64" s="29">
        <f>DSUM($B$37:$X$43,G$37,$C$50:$D64)</f>
        <v>0</v>
      </c>
      <c r="H64" s="29">
        <f>DSUM($B$37:$X$43,H$37,$C$50:$D64)</f>
        <v>0</v>
      </c>
      <c r="I64" s="29">
        <f>DSUM($B$37:$X$43,I$37,$C$50:$D64)</f>
        <v>0</v>
      </c>
      <c r="J64" s="29">
        <f>DSUM($B$37:$X$43,J$37,$C$50:$D64)</f>
        <v>0</v>
      </c>
      <c r="K64" s="29">
        <f>DSUM($B$37:$X$43,K$37,$C$50:$D64)</f>
        <v>0</v>
      </c>
      <c r="L64" s="29">
        <f>DSUM($B$37:$X$43,L$37,$C$50:$D64)</f>
        <v>0</v>
      </c>
      <c r="M64" s="29">
        <f>DSUM($B$37:$X$43,M$37,$C$50:$D64)</f>
        <v>0</v>
      </c>
      <c r="N64" s="29">
        <f>DSUM($B$37:$X$43,N$37,$C$50:$D64)</f>
        <v>0</v>
      </c>
      <c r="O64" s="29">
        <f>DSUM($B$37:$X$43,O$37,$C$50:$D64)</f>
        <v>0</v>
      </c>
      <c r="P64" s="29">
        <f>DSUM($B$37:$X$43,P$37,$C$50:$D64)</f>
        <v>0</v>
      </c>
      <c r="Q64" s="29">
        <f>DSUM($B$37:$X$43,Q$37,$C$50:$D64)</f>
        <v>0</v>
      </c>
      <c r="R64" s="29">
        <f>DSUM($B$37:$X$43,R$37,$C$50:$D64)</f>
        <v>0</v>
      </c>
      <c r="S64" s="29">
        <f>DSUM($B$37:$X$43,S$37,$C$50:$D64)</f>
        <v>0</v>
      </c>
      <c r="T64" s="29">
        <f>DSUM($B$37:$X$43,T$37,$C$50:$D64)</f>
        <v>0</v>
      </c>
      <c r="U64" s="29">
        <f>DSUM($B$37:$X$43,U$37,$C$50:$D64)</f>
        <v>0</v>
      </c>
      <c r="V64" s="29">
        <f>DSUM($B$37:$X$43,V$37,$C$50:$D64)</f>
        <v>0</v>
      </c>
      <c r="W64" s="29">
        <f>DSUM($B$37:$X$43,W$37,$C$50:$D64)</f>
        <v>0</v>
      </c>
      <c r="X64" s="29">
        <f>DSUM($B$37:$Y$43,X$37,$C$50:$D64)</f>
        <v>0</v>
      </c>
      <c r="Y64" s="29">
        <f>DSUM($B$37:$Y$43,Y$37,$C$50:$D64)</f>
        <v>0</v>
      </c>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row>
    <row r="65" spans="2:80">
      <c r="B65" s="7" t="s">
        <v>110</v>
      </c>
      <c r="C65" s="50" t="s">
        <v>111</v>
      </c>
      <c r="D65" s="50" t="s">
        <v>112</v>
      </c>
      <c r="E65" s="29">
        <f>DSUM($B$37:$X$43,E$37,$C$50:$D65)</f>
        <v>0</v>
      </c>
      <c r="F65" s="29">
        <f>DSUM($B$37:$X$43,F$37,$C$50:$D65)</f>
        <v>0</v>
      </c>
      <c r="G65" s="29">
        <f>DSUM($B$37:$X$43,G$37,$C$50:$D65)</f>
        <v>0</v>
      </c>
      <c r="H65" s="29">
        <f>DSUM($B$37:$X$43,H$37,$C$50:$D65)</f>
        <v>0</v>
      </c>
      <c r="I65" s="29">
        <f>DSUM($B$37:$X$43,I$37,$C$50:$D65)</f>
        <v>0</v>
      </c>
      <c r="J65" s="29">
        <f>DSUM($B$37:$X$43,J$37,$C$50:$D65)</f>
        <v>0</v>
      </c>
      <c r="K65" s="29">
        <f>DSUM($B$37:$X$43,K$37,$C$50:$D65)</f>
        <v>0</v>
      </c>
      <c r="L65" s="29">
        <f>DSUM($B$37:$X$43,L$37,$C$50:$D65)</f>
        <v>0</v>
      </c>
      <c r="M65" s="29">
        <f>DSUM($B$37:$X$43,M$37,$C$50:$D65)</f>
        <v>0</v>
      </c>
      <c r="N65" s="29">
        <f>DSUM($B$37:$X$43,N$37,$C$50:$D65)</f>
        <v>0</v>
      </c>
      <c r="O65" s="29">
        <f>DSUM($B$37:$X$43,O$37,$C$50:$D65)</f>
        <v>0</v>
      </c>
      <c r="P65" s="29">
        <f>DSUM($B$37:$X$43,P$37,$C$50:$D65)</f>
        <v>0</v>
      </c>
      <c r="Q65" s="29">
        <f>DSUM($B$37:$X$43,Q$37,$C$50:$D65)</f>
        <v>0</v>
      </c>
      <c r="R65" s="29">
        <f>DSUM($B$37:$X$43,R$37,$C$50:$D65)</f>
        <v>0</v>
      </c>
      <c r="S65" s="29">
        <f>DSUM($B$37:$X$43,S$37,$C$50:$D65)</f>
        <v>0</v>
      </c>
      <c r="T65" s="29">
        <f>DSUM($B$37:$X$43,T$37,$C$50:$D65)</f>
        <v>0</v>
      </c>
      <c r="U65" s="29">
        <f>DSUM($B$37:$X$43,U$37,$C$50:$D65)</f>
        <v>0</v>
      </c>
      <c r="V65" s="29">
        <f>DSUM($B$37:$X$43,V$37,$C$50:$D65)</f>
        <v>0</v>
      </c>
      <c r="W65" s="29">
        <f>DSUM($B$37:$X$43,W$37,$C$50:$D65)</f>
        <v>0</v>
      </c>
      <c r="X65" s="29">
        <f>DSUM($B$37:$Y$43,X$37,$C$50:$D65)</f>
        <v>0</v>
      </c>
      <c r="Y65" s="29">
        <f>DSUM($B$37:$Y$43,Y$37,$C$50:$D65)</f>
        <v>0</v>
      </c>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row>
    <row r="66" spans="2:80">
      <c r="B66" s="7" t="s">
        <v>113</v>
      </c>
      <c r="C66" s="50" t="s">
        <v>114</v>
      </c>
      <c r="D66" s="50" t="s">
        <v>115</v>
      </c>
      <c r="E66" s="29">
        <f>DSUM($B$37:$X$43,E$37,$C$50:$D66)</f>
        <v>0</v>
      </c>
      <c r="F66" s="29">
        <f>DSUM($B$37:$X$43,F$37,$C$50:$D66)</f>
        <v>0</v>
      </c>
      <c r="G66" s="29">
        <f>DSUM($B$37:$X$43,G$37,$C$50:$D66)</f>
        <v>0</v>
      </c>
      <c r="H66" s="29">
        <f>DSUM($B$37:$X$43,H$37,$C$50:$D66)</f>
        <v>0</v>
      </c>
      <c r="I66" s="29">
        <f>DSUM($B$37:$X$43,I$37,$C$50:$D66)</f>
        <v>0</v>
      </c>
      <c r="J66" s="29">
        <f>DSUM($B$37:$X$43,J$37,$C$50:$D66)</f>
        <v>0</v>
      </c>
      <c r="K66" s="29">
        <f>DSUM($B$37:$X$43,K$37,$C$50:$D66)</f>
        <v>0</v>
      </c>
      <c r="L66" s="29">
        <f>DSUM($B$37:$X$43,L$37,$C$50:$D66)</f>
        <v>0</v>
      </c>
      <c r="M66" s="29">
        <f>DSUM($B$37:$X$43,M$37,$C$50:$D66)</f>
        <v>0</v>
      </c>
      <c r="N66" s="29">
        <f>DSUM($B$37:$X$43,N$37,$C$50:$D66)</f>
        <v>0</v>
      </c>
      <c r="O66" s="29">
        <f>DSUM($B$37:$X$43,O$37,$C$50:$D66)</f>
        <v>0</v>
      </c>
      <c r="P66" s="29">
        <f>DSUM($B$37:$X$43,P$37,$C$50:$D66)</f>
        <v>0</v>
      </c>
      <c r="Q66" s="29">
        <f>DSUM($B$37:$X$43,Q$37,$C$50:$D66)</f>
        <v>0</v>
      </c>
      <c r="R66" s="29">
        <f>DSUM($B$37:$X$43,R$37,$C$50:$D66)</f>
        <v>0</v>
      </c>
      <c r="S66" s="29">
        <f>DSUM($B$37:$X$43,S$37,$C$50:$D66)</f>
        <v>0</v>
      </c>
      <c r="T66" s="29">
        <f>DSUM($B$37:$X$43,T$37,$C$50:$D66)</f>
        <v>0</v>
      </c>
      <c r="U66" s="29">
        <f>DSUM($B$37:$X$43,U$37,$C$50:$D66)</f>
        <v>0</v>
      </c>
      <c r="V66" s="29">
        <f>DSUM($B$37:$X$43,V$37,$C$50:$D66)</f>
        <v>0</v>
      </c>
      <c r="W66" s="29">
        <f>DSUM($B$37:$X$43,W$37,$C$50:$D66)</f>
        <v>0</v>
      </c>
      <c r="X66" s="29">
        <f>DSUM($B$37:$Y$43,X$37,$C$50:$D66)</f>
        <v>0</v>
      </c>
      <c r="Y66" s="29">
        <f>DSUM($B$37:$Y$43,Y$37,$C$50:$D66)</f>
        <v>0</v>
      </c>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row>
    <row r="67" spans="2:80">
      <c r="B67" s="7" t="s">
        <v>116</v>
      </c>
      <c r="C67" s="50" t="s">
        <v>117</v>
      </c>
      <c r="D67" s="50" t="s">
        <v>118</v>
      </c>
      <c r="E67" s="29">
        <f>DSUM($B$37:$X$43,E$37,$C$50:$D67)</f>
        <v>0</v>
      </c>
      <c r="F67" s="29">
        <f>DSUM($B$37:$X$43,F$37,$C$50:$D67)</f>
        <v>0</v>
      </c>
      <c r="G67" s="29">
        <f>DSUM($B$37:$X$43,G$37,$C$50:$D67)</f>
        <v>0</v>
      </c>
      <c r="H67" s="29">
        <f>DSUM($B$37:$X$43,H$37,$C$50:$D67)</f>
        <v>0</v>
      </c>
      <c r="I67" s="29">
        <f>DSUM($B$37:$X$43,I$37,$C$50:$D67)</f>
        <v>0</v>
      </c>
      <c r="J67" s="29">
        <f>DSUM($B$37:$X$43,J$37,$C$50:$D67)</f>
        <v>0</v>
      </c>
      <c r="K67" s="29">
        <f>DSUM($B$37:$X$43,K$37,$C$50:$D67)</f>
        <v>0</v>
      </c>
      <c r="L67" s="29">
        <f>DSUM($B$37:$X$43,L$37,$C$50:$D67)</f>
        <v>0</v>
      </c>
      <c r="M67" s="29">
        <f>DSUM($B$37:$X$43,M$37,$C$50:$D67)</f>
        <v>0</v>
      </c>
      <c r="N67" s="29">
        <f>DSUM($B$37:$X$43,N$37,$C$50:$D67)</f>
        <v>0</v>
      </c>
      <c r="O67" s="29">
        <f>DSUM($B$37:$X$43,O$37,$C$50:$D67)</f>
        <v>0</v>
      </c>
      <c r="P67" s="29">
        <f>DSUM($B$37:$X$43,P$37,$C$50:$D67)</f>
        <v>0</v>
      </c>
      <c r="Q67" s="29">
        <f>DSUM($B$37:$X$43,Q$37,$C$50:$D67)</f>
        <v>0</v>
      </c>
      <c r="R67" s="29">
        <f>DSUM($B$37:$X$43,R$37,$C$50:$D67)</f>
        <v>0</v>
      </c>
      <c r="S67" s="29">
        <f>DSUM($B$37:$X$43,S$37,$C$50:$D67)</f>
        <v>0</v>
      </c>
      <c r="T67" s="29">
        <f>DSUM($B$37:$X$43,T$37,$C$50:$D67)</f>
        <v>0</v>
      </c>
      <c r="U67" s="29">
        <f>DSUM($B$37:$X$43,U$37,$C$50:$D67)</f>
        <v>0</v>
      </c>
      <c r="V67" s="29">
        <f>DSUM($B$37:$X$43,V$37,$C$50:$D67)</f>
        <v>0</v>
      </c>
      <c r="W67" s="29">
        <f>DSUM($B$37:$X$43,W$37,$C$50:$D67)</f>
        <v>0</v>
      </c>
      <c r="X67" s="29">
        <f>DSUM($B$37:$Y$43,X$37,$C$50:$D67)</f>
        <v>0</v>
      </c>
      <c r="Y67" s="29">
        <f>DSUM($B$37:$Y$43,Y$37,$C$50:$D67)</f>
        <v>0</v>
      </c>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row>
    <row r="68" spans="2:80">
      <c r="B68" s="7" t="s">
        <v>119</v>
      </c>
      <c r="C68" s="50" t="s">
        <v>120</v>
      </c>
      <c r="D68" s="50" t="s">
        <v>121</v>
      </c>
      <c r="E68" s="29">
        <f>DSUM($B$37:$X$43,E$37,$C$50:$D68)</f>
        <v>0</v>
      </c>
      <c r="F68" s="29">
        <f>DSUM($B$37:$X$43,F$37,$C$50:$D68)</f>
        <v>0</v>
      </c>
      <c r="G68" s="29">
        <f>DSUM($B$37:$X$43,G$37,$C$50:$D68)</f>
        <v>0</v>
      </c>
      <c r="H68" s="29">
        <f>DSUM($B$37:$X$43,H$37,$C$50:$D68)</f>
        <v>0</v>
      </c>
      <c r="I68" s="29">
        <f>DSUM($B$37:$X$43,I$37,$C$50:$D68)</f>
        <v>0</v>
      </c>
      <c r="J68" s="29">
        <f>DSUM($B$37:$X$43,J$37,$C$50:$D68)</f>
        <v>0</v>
      </c>
      <c r="K68" s="29">
        <f>DSUM($B$37:$X$43,K$37,$C$50:$D68)</f>
        <v>0</v>
      </c>
      <c r="L68" s="29">
        <f>DSUM($B$37:$X$43,L$37,$C$50:$D68)</f>
        <v>0</v>
      </c>
      <c r="M68" s="29">
        <f>DSUM($B$37:$X$43,M$37,$C$50:$D68)</f>
        <v>0</v>
      </c>
      <c r="N68" s="29">
        <f>DSUM($B$37:$X$43,N$37,$C$50:$D68)</f>
        <v>0</v>
      </c>
      <c r="O68" s="29">
        <f>DSUM($B$37:$X$43,O$37,$C$50:$D68)</f>
        <v>0</v>
      </c>
      <c r="P68" s="29">
        <f>DSUM($B$37:$X$43,P$37,$C$50:$D68)</f>
        <v>0</v>
      </c>
      <c r="Q68" s="29">
        <f>DSUM($B$37:$X$43,Q$37,$C$50:$D68)</f>
        <v>0</v>
      </c>
      <c r="R68" s="29">
        <f>DSUM($B$37:$X$43,R$37,$C$50:$D68)</f>
        <v>0</v>
      </c>
      <c r="S68" s="29">
        <f>DSUM($B$37:$X$43,S$37,$C$50:$D68)</f>
        <v>0</v>
      </c>
      <c r="T68" s="29">
        <f>DSUM($B$37:$X$43,T$37,$C$50:$D68)</f>
        <v>0</v>
      </c>
      <c r="U68" s="29">
        <f>DSUM($B$37:$X$43,U$37,$C$50:$D68)</f>
        <v>0</v>
      </c>
      <c r="V68" s="29">
        <f>DSUM($B$37:$X$43,V$37,$C$50:$D68)</f>
        <v>0</v>
      </c>
      <c r="W68" s="29">
        <f>DSUM($B$37:$X$43,W$37,$C$50:$D68)</f>
        <v>0</v>
      </c>
      <c r="X68" s="29">
        <f>DSUM($B$37:$Y$43,X$37,$C$50:$D68)</f>
        <v>0</v>
      </c>
      <c r="Y68" s="29">
        <f>DSUM($B$37:$Y$43,Y$37,$C$50:$D68)</f>
        <v>0</v>
      </c>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row>
    <row r="69" spans="2:80">
      <c r="B69" s="7" t="s">
        <v>122</v>
      </c>
      <c r="C69" s="50" t="s">
        <v>123</v>
      </c>
      <c r="D69" s="50" t="s">
        <v>124</v>
      </c>
      <c r="E69" s="29">
        <f>DSUM($B$37:$X$43,E$37,$C$50:$D69)</f>
        <v>0</v>
      </c>
      <c r="F69" s="29">
        <f>DSUM($B$37:$X$43,F$37,$C$50:$D69)</f>
        <v>0</v>
      </c>
      <c r="G69" s="29">
        <f>DSUM($B$37:$X$43,G$37,$C$50:$D69)</f>
        <v>0</v>
      </c>
      <c r="H69" s="29">
        <f>DSUM($B$37:$X$43,H$37,$C$50:$D69)</f>
        <v>0</v>
      </c>
      <c r="I69" s="29">
        <f>DSUM($B$37:$X$43,I$37,$C$50:$D69)</f>
        <v>0</v>
      </c>
      <c r="J69" s="29">
        <f>DSUM($B$37:$X$43,J$37,$C$50:$D69)</f>
        <v>0</v>
      </c>
      <c r="K69" s="29">
        <f>DSUM($B$37:$X$43,K$37,$C$50:$D69)</f>
        <v>0</v>
      </c>
      <c r="L69" s="29">
        <f>DSUM($B$37:$X$43,L$37,$C$50:$D69)</f>
        <v>0</v>
      </c>
      <c r="M69" s="29">
        <f>DSUM($B$37:$X$43,M$37,$C$50:$D69)</f>
        <v>0</v>
      </c>
      <c r="N69" s="29">
        <f>DSUM($B$37:$X$43,N$37,$C$50:$D69)</f>
        <v>0</v>
      </c>
      <c r="O69" s="29">
        <f>DSUM($B$37:$X$43,O$37,$C$50:$D69)</f>
        <v>0</v>
      </c>
      <c r="P69" s="29">
        <f>DSUM($B$37:$X$43,P$37,$C$50:$D69)</f>
        <v>0</v>
      </c>
      <c r="Q69" s="29">
        <f>DSUM($B$37:$X$43,Q$37,$C$50:$D69)</f>
        <v>0</v>
      </c>
      <c r="R69" s="29">
        <f>DSUM($B$37:$X$43,R$37,$C$50:$D69)</f>
        <v>0</v>
      </c>
      <c r="S69" s="29">
        <f>DSUM($B$37:$X$43,S$37,$C$50:$D69)</f>
        <v>0</v>
      </c>
      <c r="T69" s="29">
        <f>DSUM($B$37:$X$43,T$37,$C$50:$D69)</f>
        <v>0</v>
      </c>
      <c r="U69" s="29">
        <f>DSUM($B$37:$X$43,U$37,$C$50:$D69)</f>
        <v>0</v>
      </c>
      <c r="V69" s="29">
        <f>DSUM($B$37:$X$43,V$37,$C$50:$D69)</f>
        <v>0</v>
      </c>
      <c r="W69" s="29">
        <f>DSUM($B$37:$X$43,W$37,$C$50:$D69)</f>
        <v>0</v>
      </c>
      <c r="X69" s="29">
        <f>DSUM($B$37:$Y$43,X$37,$C$50:$D69)</f>
        <v>0</v>
      </c>
      <c r="Y69" s="29">
        <f>DSUM($B$37:$Y$43,Y$37,$C$50:$D69)</f>
        <v>0</v>
      </c>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row>
    <row r="70" spans="2:80">
      <c r="B70" s="7" t="s">
        <v>125</v>
      </c>
      <c r="C70" s="50" t="s">
        <v>126</v>
      </c>
      <c r="D70" s="50" t="s">
        <v>127</v>
      </c>
      <c r="E70" s="29">
        <f>DSUM($B$37:$X$43,E$37,$C$50:$D70)</f>
        <v>0</v>
      </c>
      <c r="F70" s="29">
        <f>DSUM($B$37:$X$43,F$37,$C$50:$D70)</f>
        <v>0</v>
      </c>
      <c r="G70" s="29">
        <f>DSUM($B$37:$X$43,G$37,$C$50:$D70)</f>
        <v>0</v>
      </c>
      <c r="H70" s="29">
        <f>DSUM($B$37:$X$43,H$37,$C$50:$D70)</f>
        <v>0</v>
      </c>
      <c r="I70" s="29">
        <f>DSUM($B$37:$X$43,I$37,$C$50:$D70)</f>
        <v>0</v>
      </c>
      <c r="J70" s="29">
        <f>DSUM($B$37:$X$43,J$37,$C$50:$D70)</f>
        <v>0</v>
      </c>
      <c r="K70" s="29">
        <f>DSUM($B$37:$X$43,K$37,$C$50:$D70)</f>
        <v>0</v>
      </c>
      <c r="L70" s="29">
        <f>DSUM($B$37:$X$43,L$37,$C$50:$D70)</f>
        <v>0</v>
      </c>
      <c r="M70" s="29">
        <f>DSUM($B$37:$X$43,M$37,$C$50:$D70)</f>
        <v>0</v>
      </c>
      <c r="N70" s="29">
        <f>DSUM($B$37:$X$43,N$37,$C$50:$D70)</f>
        <v>0</v>
      </c>
      <c r="O70" s="29">
        <f>DSUM($B$37:$X$43,O$37,$C$50:$D70)</f>
        <v>0</v>
      </c>
      <c r="P70" s="29">
        <f>DSUM($B$37:$X$43,P$37,$C$50:$D70)</f>
        <v>0</v>
      </c>
      <c r="Q70" s="29">
        <f>DSUM($B$37:$X$43,Q$37,$C$50:$D70)</f>
        <v>0</v>
      </c>
      <c r="R70" s="29">
        <f>DSUM($B$37:$X$43,R$37,$C$50:$D70)</f>
        <v>0</v>
      </c>
      <c r="S70" s="29">
        <f>DSUM($B$37:$X$43,S$37,$C$50:$D70)</f>
        <v>0</v>
      </c>
      <c r="T70" s="29">
        <f>DSUM($B$37:$X$43,T$37,$C$50:$D70)</f>
        <v>0</v>
      </c>
      <c r="U70" s="29">
        <f>DSUM($B$37:$X$43,U$37,$C$50:$D70)</f>
        <v>0</v>
      </c>
      <c r="V70" s="29">
        <f>DSUM($B$37:$X$43,V$37,$C$50:$D70)</f>
        <v>0</v>
      </c>
      <c r="W70" s="29">
        <f>DSUM($B$37:$X$43,W$37,$C$50:$D70)</f>
        <v>0</v>
      </c>
      <c r="X70" s="29">
        <f>DSUM($B$37:$Y$43,X$37,$C$50:$D70)</f>
        <v>0</v>
      </c>
      <c r="Y70" s="29">
        <f>DSUM($B$37:$Y$43,Y$37,$C$50:$D70)</f>
        <v>0</v>
      </c>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row>
    <row r="71" spans="2:80">
      <c r="B71" s="7" t="s">
        <v>128</v>
      </c>
      <c r="C71" s="50" t="s">
        <v>129</v>
      </c>
      <c r="D71" s="50" t="s">
        <v>130</v>
      </c>
      <c r="E71" s="29">
        <f>DSUM($B$37:$X$43,E$37,$C$50:$D71)</f>
        <v>0</v>
      </c>
      <c r="F71" s="29">
        <f>DSUM($B$37:$X$43,F$37,$C$50:$D71)</f>
        <v>0</v>
      </c>
      <c r="G71" s="29">
        <f>DSUM($B$37:$X$43,G$37,$C$50:$D71)</f>
        <v>0</v>
      </c>
      <c r="H71" s="29">
        <f>DSUM($B$37:$X$43,H$37,$C$50:$D71)</f>
        <v>0</v>
      </c>
      <c r="I71" s="29">
        <f>DSUM($B$37:$X$43,I$37,$C$50:$D71)</f>
        <v>0</v>
      </c>
      <c r="J71" s="29">
        <f>DSUM($B$37:$X$43,J$37,$C$50:$D71)</f>
        <v>0</v>
      </c>
      <c r="K71" s="29">
        <f>DSUM($B$37:$X$43,K$37,$C$50:$D71)</f>
        <v>0</v>
      </c>
      <c r="L71" s="29">
        <f>DSUM($B$37:$X$43,L$37,$C$50:$D71)</f>
        <v>0</v>
      </c>
      <c r="M71" s="29">
        <f>DSUM($B$37:$X$43,M$37,$C$50:$D71)</f>
        <v>0</v>
      </c>
      <c r="N71" s="29">
        <f>DSUM($B$37:$X$43,N$37,$C$50:$D71)</f>
        <v>0</v>
      </c>
      <c r="O71" s="29">
        <f>DSUM($B$37:$X$43,O$37,$C$50:$D71)</f>
        <v>0</v>
      </c>
      <c r="P71" s="29">
        <f>DSUM($B$37:$X$43,P$37,$C$50:$D71)</f>
        <v>0</v>
      </c>
      <c r="Q71" s="29">
        <f>DSUM($B$37:$X$43,Q$37,$C$50:$D71)</f>
        <v>0</v>
      </c>
      <c r="R71" s="29">
        <f>DSUM($B$37:$X$43,R$37,$C$50:$D71)</f>
        <v>0</v>
      </c>
      <c r="S71" s="29">
        <f>DSUM($B$37:$X$43,S$37,$C$50:$D71)</f>
        <v>0</v>
      </c>
      <c r="T71" s="29">
        <f>DSUM($B$37:$X$43,T$37,$C$50:$D71)</f>
        <v>0</v>
      </c>
      <c r="U71" s="29">
        <f>DSUM($B$37:$X$43,U$37,$C$50:$D71)</f>
        <v>0</v>
      </c>
      <c r="V71" s="29">
        <f>DSUM($B$37:$X$43,V$37,$C$50:$D71)</f>
        <v>0</v>
      </c>
      <c r="W71" s="29">
        <f>DSUM($B$37:$X$43,W$37,$C$50:$D71)</f>
        <v>0</v>
      </c>
      <c r="X71" s="29">
        <f>DSUM($B$37:$Y$43,X$37,$C$50:$D71)</f>
        <v>0</v>
      </c>
      <c r="Y71" s="29">
        <f>DSUM($B$37:$Y$43,Y$37,$C$50:$D71)</f>
        <v>0</v>
      </c>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row>
    <row r="72" spans="2:80">
      <c r="B72" s="7" t="s">
        <v>372</v>
      </c>
      <c r="C72" s="50" t="s">
        <v>132</v>
      </c>
      <c r="D72" s="50" t="s">
        <v>362</v>
      </c>
      <c r="E72" s="29">
        <f>DSUM($B$37:$X$43,E$37,$C$50:$D72)</f>
        <v>0</v>
      </c>
      <c r="F72" s="29">
        <f>DSUM($B$37:$X$43,F$37,$C$50:$D72)</f>
        <v>0</v>
      </c>
      <c r="G72" s="29">
        <f>DSUM($B$37:$X$43,G$37,$C$50:$D72)</f>
        <v>0</v>
      </c>
      <c r="H72" s="29">
        <f>DSUM($B$37:$X$43,H$37,$C$50:$D72)</f>
        <v>0</v>
      </c>
      <c r="I72" s="29">
        <f>DSUM($B$37:$X$43,I$37,$C$50:$D72)</f>
        <v>0</v>
      </c>
      <c r="J72" s="29">
        <f>DSUM($B$37:$X$43,J$37,$C$50:$D72)</f>
        <v>0</v>
      </c>
      <c r="K72" s="29">
        <f>DSUM($B$37:$X$43,K$37,$C$50:$D72)</f>
        <v>0</v>
      </c>
      <c r="L72" s="29">
        <f>DSUM($B$37:$X$43,L$37,$C$50:$D72)</f>
        <v>0</v>
      </c>
      <c r="M72" s="29">
        <f>DSUM($B$37:$X$43,M$37,$C$50:$D72)</f>
        <v>0</v>
      </c>
      <c r="N72" s="29">
        <f>DSUM($B$37:$X$43,N$37,$C$50:$D72)</f>
        <v>0</v>
      </c>
      <c r="O72" s="29">
        <f>DSUM($B$37:$X$43,O$37,$C$50:$D72)</f>
        <v>0</v>
      </c>
      <c r="P72" s="29">
        <f>DSUM($B$37:$X$43,P$37,$C$50:$D72)</f>
        <v>0</v>
      </c>
      <c r="Q72" s="29">
        <f>DSUM($B$37:$X$43,Q$37,$C$50:$D72)</f>
        <v>0</v>
      </c>
      <c r="R72" s="29">
        <f>DSUM($B$37:$X$43,R$37,$C$50:$D72)</f>
        <v>0</v>
      </c>
      <c r="S72" s="29">
        <f>DSUM($B$37:$X$43,S$37,$C$50:$D72)</f>
        <v>0</v>
      </c>
      <c r="T72" s="29">
        <f>DSUM($B$37:$X$43,T$37,$C$50:$D72)</f>
        <v>0</v>
      </c>
      <c r="U72" s="29">
        <f>DSUM($B$37:$X$43,U$37,$C$50:$D72)</f>
        <v>0</v>
      </c>
      <c r="V72" s="29">
        <f>DSUM($B$37:$X$43,V$37,$C$50:$D72)</f>
        <v>0</v>
      </c>
      <c r="W72" s="29">
        <f>DSUM($B$37:$X$43,W$37,$C$50:$D72)</f>
        <v>0</v>
      </c>
      <c r="X72" s="29">
        <f>DSUM($B$37:$Y$43,X$37,$C$50:$D72)</f>
        <v>0</v>
      </c>
      <c r="Y72" s="29">
        <f>DSUM($B$37:$Y$43,Y$37,$C$50:$D72)</f>
        <v>0</v>
      </c>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row>
    <row r="73" spans="2:80">
      <c r="B73" s="7" t="s">
        <v>373</v>
      </c>
      <c r="C73" s="50" t="s">
        <v>352</v>
      </c>
      <c r="D73" s="50" t="s">
        <v>363</v>
      </c>
      <c r="E73" s="29">
        <f>DSUM($B$37:$X$43,E$37,$C$50:$D73)</f>
        <v>0</v>
      </c>
      <c r="F73" s="29">
        <f>DSUM($B$37:$X$43,F$37,$C$50:$D73)</f>
        <v>0</v>
      </c>
      <c r="G73" s="29">
        <f>DSUM($B$37:$X$43,G$37,$C$50:$D73)</f>
        <v>0</v>
      </c>
      <c r="H73" s="29">
        <f>DSUM($B$37:$X$43,H$37,$C$50:$D73)</f>
        <v>0</v>
      </c>
      <c r="I73" s="29">
        <f>DSUM($B$37:$X$43,I$37,$C$50:$D73)</f>
        <v>0</v>
      </c>
      <c r="J73" s="29">
        <f>DSUM($B$37:$X$43,J$37,$C$50:$D73)</f>
        <v>0</v>
      </c>
      <c r="K73" s="29">
        <f>DSUM($B$37:$X$43,K$37,$C$50:$D73)</f>
        <v>0</v>
      </c>
      <c r="L73" s="29">
        <f>DSUM($B$37:$X$43,L$37,$C$50:$D73)</f>
        <v>0</v>
      </c>
      <c r="M73" s="29">
        <f>DSUM($B$37:$X$43,M$37,$C$50:$D73)</f>
        <v>0</v>
      </c>
      <c r="N73" s="29">
        <f>DSUM($B$37:$X$43,N$37,$C$50:$D73)</f>
        <v>0</v>
      </c>
      <c r="O73" s="29">
        <f>DSUM($B$37:$X$43,O$37,$C$50:$D73)</f>
        <v>0</v>
      </c>
      <c r="P73" s="29">
        <f>DSUM($B$37:$X$43,P$37,$C$50:$D73)</f>
        <v>0</v>
      </c>
      <c r="Q73" s="29">
        <f>DSUM($B$37:$X$43,Q$37,$C$50:$D73)</f>
        <v>0</v>
      </c>
      <c r="R73" s="29">
        <f>DSUM($B$37:$X$43,R$37,$C$50:$D73)</f>
        <v>0</v>
      </c>
      <c r="S73" s="29">
        <f>DSUM($B$37:$X$43,S$37,$C$50:$D73)</f>
        <v>0</v>
      </c>
      <c r="T73" s="29">
        <f>DSUM($B$37:$X$43,T$37,$C$50:$D73)</f>
        <v>0</v>
      </c>
      <c r="U73" s="29">
        <f>DSUM($B$37:$X$43,U$37,$C$50:$D73)</f>
        <v>0</v>
      </c>
      <c r="V73" s="29">
        <f>DSUM($B$37:$X$43,V$37,$C$50:$D73)</f>
        <v>0</v>
      </c>
      <c r="W73" s="29">
        <f>DSUM($B$37:$X$43,W$37,$C$50:$D73)</f>
        <v>0</v>
      </c>
      <c r="X73" s="29">
        <f>DSUM($B$37:$Y$43,X$37,$C$50:$D73)</f>
        <v>0</v>
      </c>
      <c r="Y73" s="29">
        <f>DSUM($B$37:$Y$43,Y$37,$C$50:$D73)</f>
        <v>0</v>
      </c>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row>
    <row r="74" spans="2:80">
      <c r="B74" s="7" t="s">
        <v>374</v>
      </c>
      <c r="C74" s="50" t="s">
        <v>353</v>
      </c>
      <c r="D74" s="50" t="s">
        <v>364</v>
      </c>
      <c r="E74" s="29">
        <f>DSUM($B$37:$X$43,E$37,$C$50:$D74)</f>
        <v>0</v>
      </c>
      <c r="F74" s="29">
        <f>DSUM($B$37:$X$43,F$37,$C$50:$D74)</f>
        <v>0</v>
      </c>
      <c r="G74" s="29">
        <f>DSUM($B$37:$X$43,G$37,$C$50:$D74)</f>
        <v>0</v>
      </c>
      <c r="H74" s="29">
        <f>DSUM($B$37:$X$43,H$37,$C$50:$D74)</f>
        <v>0</v>
      </c>
      <c r="I74" s="29">
        <f>DSUM($B$37:$X$43,I$37,$C$50:$D74)</f>
        <v>0</v>
      </c>
      <c r="J74" s="29">
        <f>DSUM($B$37:$X$43,J$37,$C$50:$D74)</f>
        <v>0</v>
      </c>
      <c r="K74" s="29">
        <f>DSUM($B$37:$X$43,K$37,$C$50:$D74)</f>
        <v>0</v>
      </c>
      <c r="L74" s="29">
        <f>DSUM($B$37:$X$43,L$37,$C$50:$D74)</f>
        <v>0</v>
      </c>
      <c r="M74" s="29">
        <f>DSUM($B$37:$X$43,M$37,$C$50:$D74)</f>
        <v>0</v>
      </c>
      <c r="N74" s="29">
        <f>DSUM($B$37:$X$43,N$37,$C$50:$D74)</f>
        <v>0</v>
      </c>
      <c r="O74" s="29">
        <f>DSUM($B$37:$X$43,O$37,$C$50:$D74)</f>
        <v>0</v>
      </c>
      <c r="P74" s="29">
        <f>DSUM($B$37:$X$43,P$37,$C$50:$D74)</f>
        <v>0</v>
      </c>
      <c r="Q74" s="29">
        <f>DSUM($B$37:$X$43,Q$37,$C$50:$D74)</f>
        <v>0</v>
      </c>
      <c r="R74" s="29">
        <f>DSUM($B$37:$X$43,R$37,$C$50:$D74)</f>
        <v>0</v>
      </c>
      <c r="S74" s="29">
        <f>DSUM($B$37:$X$43,S$37,$C$50:$D74)</f>
        <v>0</v>
      </c>
      <c r="T74" s="29">
        <f>DSUM($B$37:$X$43,T$37,$C$50:$D74)</f>
        <v>0</v>
      </c>
      <c r="U74" s="29">
        <f>DSUM($B$37:$X$43,U$37,$C$50:$D74)</f>
        <v>0</v>
      </c>
      <c r="V74" s="29">
        <f>DSUM($B$37:$X$43,V$37,$C$50:$D74)</f>
        <v>0</v>
      </c>
      <c r="W74" s="29">
        <f>DSUM($B$37:$X$43,W$37,$C$50:$D74)</f>
        <v>0</v>
      </c>
      <c r="X74" s="29">
        <f>DSUM($B$37:$Y$43,X$37,$C$50:$D74)</f>
        <v>0</v>
      </c>
      <c r="Y74" s="29">
        <f>DSUM($B$37:$Y$43,Y$37,$C$50:$D74)</f>
        <v>0</v>
      </c>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row>
    <row r="75" spans="2:80">
      <c r="B75" s="7" t="s">
        <v>375</v>
      </c>
      <c r="C75" s="50" t="s">
        <v>354</v>
      </c>
      <c r="D75" s="50" t="s">
        <v>365</v>
      </c>
      <c r="E75" s="29">
        <f>DSUM($B$37:$X$43,E$37,$C$50:$D75)</f>
        <v>0</v>
      </c>
      <c r="F75" s="29">
        <f>DSUM($B$37:$X$43,F$37,$C$50:$D75)</f>
        <v>0</v>
      </c>
      <c r="G75" s="29">
        <f>DSUM($B$37:$X$43,G$37,$C$50:$D75)</f>
        <v>0</v>
      </c>
      <c r="H75" s="29">
        <f>DSUM($B$37:$X$43,H$37,$C$50:$D75)</f>
        <v>0</v>
      </c>
      <c r="I75" s="29">
        <f>DSUM($B$37:$X$43,I$37,$C$50:$D75)</f>
        <v>0</v>
      </c>
      <c r="J75" s="29">
        <f>DSUM($B$37:$X$43,J$37,$C$50:$D75)</f>
        <v>0</v>
      </c>
      <c r="K75" s="29">
        <f>DSUM($B$37:$X$43,K$37,$C$50:$D75)</f>
        <v>0</v>
      </c>
      <c r="L75" s="29">
        <f>DSUM($B$37:$X$43,L$37,$C$50:$D75)</f>
        <v>0</v>
      </c>
      <c r="M75" s="29">
        <f>DSUM($B$37:$X$43,M$37,$C$50:$D75)</f>
        <v>0</v>
      </c>
      <c r="N75" s="29">
        <f>DSUM($B$37:$X$43,N$37,$C$50:$D75)</f>
        <v>0</v>
      </c>
      <c r="O75" s="29">
        <f>DSUM($B$37:$X$43,O$37,$C$50:$D75)</f>
        <v>0</v>
      </c>
      <c r="P75" s="29">
        <f>DSUM($B$37:$X$43,P$37,$C$50:$D75)</f>
        <v>0</v>
      </c>
      <c r="Q75" s="29">
        <f>DSUM($B$37:$X$43,Q$37,$C$50:$D75)</f>
        <v>0</v>
      </c>
      <c r="R75" s="29">
        <f>DSUM($B$37:$X$43,R$37,$C$50:$D75)</f>
        <v>0</v>
      </c>
      <c r="S75" s="29">
        <f>DSUM($B$37:$X$43,S$37,$C$50:$D75)</f>
        <v>0</v>
      </c>
      <c r="T75" s="29">
        <f>DSUM($B$37:$X$43,T$37,$C$50:$D75)</f>
        <v>0</v>
      </c>
      <c r="U75" s="29">
        <f>DSUM($B$37:$X$43,U$37,$C$50:$D75)</f>
        <v>0</v>
      </c>
      <c r="V75" s="29">
        <f>DSUM($B$37:$X$43,V$37,$C$50:$D75)</f>
        <v>0</v>
      </c>
      <c r="W75" s="29">
        <f>DSUM($B$37:$X$43,W$37,$C$50:$D75)</f>
        <v>0</v>
      </c>
      <c r="X75" s="29">
        <f>DSUM($B$37:$Y$43,X$37,$C$50:$D75)</f>
        <v>0</v>
      </c>
      <c r="Y75" s="29">
        <f>DSUM($B$37:$Y$43,Y$37,$C$50:$D75)</f>
        <v>0</v>
      </c>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row>
    <row r="76" spans="2:80">
      <c r="B76" s="7" t="s">
        <v>376</v>
      </c>
      <c r="C76" s="50" t="s">
        <v>355</v>
      </c>
      <c r="D76" s="50" t="s">
        <v>366</v>
      </c>
      <c r="E76" s="29">
        <f>DSUM($B$37:$X$43,E$37,$C$50:$D76)</f>
        <v>0</v>
      </c>
      <c r="F76" s="29">
        <f>DSUM($B$37:$X$43,F$37,$C$50:$D76)</f>
        <v>0</v>
      </c>
      <c r="G76" s="29">
        <f>DSUM($B$37:$X$43,G$37,$C$50:$D76)</f>
        <v>0</v>
      </c>
      <c r="H76" s="29">
        <f>DSUM($B$37:$X$43,H$37,$C$50:$D76)</f>
        <v>0</v>
      </c>
      <c r="I76" s="29">
        <f>DSUM($B$37:$X$43,I$37,$C$50:$D76)</f>
        <v>0</v>
      </c>
      <c r="J76" s="29">
        <f>DSUM($B$37:$X$43,J$37,$C$50:$D76)</f>
        <v>0</v>
      </c>
      <c r="K76" s="29">
        <f>DSUM($B$37:$X$43,K$37,$C$50:$D76)</f>
        <v>0</v>
      </c>
      <c r="L76" s="29">
        <f>DSUM($B$37:$X$43,L$37,$C$50:$D76)</f>
        <v>0</v>
      </c>
      <c r="M76" s="29">
        <f>DSUM($B$37:$X$43,M$37,$C$50:$D76)</f>
        <v>0</v>
      </c>
      <c r="N76" s="29">
        <f>DSUM($B$37:$X$43,N$37,$C$50:$D76)</f>
        <v>0</v>
      </c>
      <c r="O76" s="29">
        <f>DSUM($B$37:$X$43,O$37,$C$50:$D76)</f>
        <v>0</v>
      </c>
      <c r="P76" s="29">
        <f>DSUM($B$37:$X$43,P$37,$C$50:$D76)</f>
        <v>0</v>
      </c>
      <c r="Q76" s="29">
        <f>DSUM($B$37:$X$43,Q$37,$C$50:$D76)</f>
        <v>0</v>
      </c>
      <c r="R76" s="29">
        <f>DSUM($B$37:$X$43,R$37,$C$50:$D76)</f>
        <v>0</v>
      </c>
      <c r="S76" s="29">
        <f>DSUM($B$37:$X$43,S$37,$C$50:$D76)</f>
        <v>0</v>
      </c>
      <c r="T76" s="29">
        <f>DSUM($B$37:$X$43,T$37,$C$50:$D76)</f>
        <v>0</v>
      </c>
      <c r="U76" s="29">
        <f>DSUM($B$37:$X$43,U$37,$C$50:$D76)</f>
        <v>0</v>
      </c>
      <c r="V76" s="29">
        <f>DSUM($B$37:$X$43,V$37,$C$50:$D76)</f>
        <v>0</v>
      </c>
      <c r="W76" s="29">
        <f>DSUM($B$37:$X$43,W$37,$C$50:$D76)</f>
        <v>0</v>
      </c>
      <c r="X76" s="29">
        <f>DSUM($B$37:$Y$43,X$37,$C$50:$D76)</f>
        <v>0</v>
      </c>
      <c r="Y76" s="29">
        <f>DSUM($B$37:$Y$43,Y$37,$C$50:$D76)</f>
        <v>0</v>
      </c>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row>
    <row r="77" spans="2:80">
      <c r="B77" s="7" t="s">
        <v>377</v>
      </c>
      <c r="C77" s="50" t="s">
        <v>356</v>
      </c>
      <c r="D77" s="50" t="s">
        <v>367</v>
      </c>
      <c r="E77" s="29">
        <f>DSUM($B$37:$X$43,E$37,$C$50:$D77)</f>
        <v>0</v>
      </c>
      <c r="F77" s="29">
        <f>DSUM($B$37:$X$43,F$37,$C$50:$D77)</f>
        <v>0</v>
      </c>
      <c r="G77" s="29">
        <f>DSUM($B$37:$X$43,G$37,$C$50:$D77)</f>
        <v>0</v>
      </c>
      <c r="H77" s="29">
        <f>DSUM($B$37:$X$43,H$37,$C$50:$D77)</f>
        <v>0</v>
      </c>
      <c r="I77" s="29">
        <f>DSUM($B$37:$X$43,I$37,$C$50:$D77)</f>
        <v>0</v>
      </c>
      <c r="J77" s="29">
        <f>DSUM($B$37:$X$43,J$37,$C$50:$D77)</f>
        <v>0</v>
      </c>
      <c r="K77" s="29">
        <f>DSUM($B$37:$X$43,K$37,$C$50:$D77)</f>
        <v>0</v>
      </c>
      <c r="L77" s="29">
        <f>DSUM($B$37:$X$43,L$37,$C$50:$D77)</f>
        <v>0</v>
      </c>
      <c r="M77" s="29">
        <f>DSUM($B$37:$X$43,M$37,$C$50:$D77)</f>
        <v>0</v>
      </c>
      <c r="N77" s="29">
        <f>DSUM($B$37:$X$43,N$37,$C$50:$D77)</f>
        <v>0</v>
      </c>
      <c r="O77" s="29">
        <f>DSUM($B$37:$X$43,O$37,$C$50:$D77)</f>
        <v>0</v>
      </c>
      <c r="P77" s="29">
        <f>DSUM($B$37:$X$43,P$37,$C$50:$D77)</f>
        <v>0</v>
      </c>
      <c r="Q77" s="29">
        <f>DSUM($B$37:$X$43,Q$37,$C$50:$D77)</f>
        <v>0</v>
      </c>
      <c r="R77" s="29">
        <f>DSUM($B$37:$X$43,R$37,$C$50:$D77)</f>
        <v>0</v>
      </c>
      <c r="S77" s="29">
        <f>DSUM($B$37:$X$43,S$37,$C$50:$D77)</f>
        <v>0</v>
      </c>
      <c r="T77" s="29">
        <f>DSUM($B$37:$X$43,T$37,$C$50:$D77)</f>
        <v>0</v>
      </c>
      <c r="U77" s="29">
        <f>DSUM($B$37:$X$43,U$37,$C$50:$D77)</f>
        <v>0</v>
      </c>
      <c r="V77" s="29">
        <f>DSUM($B$37:$X$43,V$37,$C$50:$D77)</f>
        <v>0</v>
      </c>
      <c r="W77" s="29">
        <f>DSUM($B$37:$X$43,W$37,$C$50:$D77)</f>
        <v>0</v>
      </c>
      <c r="X77" s="29">
        <f>DSUM($B$37:$Y$43,X$37,$C$50:$D77)</f>
        <v>0</v>
      </c>
      <c r="Y77" s="29">
        <f>DSUM($B$37:$Y$43,Y$37,$C$50:$D77)</f>
        <v>0</v>
      </c>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row>
    <row r="78" spans="2:80">
      <c r="B78" s="7" t="s">
        <v>378</v>
      </c>
      <c r="C78" s="50" t="s">
        <v>357</v>
      </c>
      <c r="D78" s="50" t="s">
        <v>368</v>
      </c>
      <c r="E78" s="29">
        <f>DSUM($B$37:$X$43,E$37,$C$50:$D78)</f>
        <v>0</v>
      </c>
      <c r="F78" s="29">
        <f>DSUM($B$37:$X$43,F$37,$C$50:$D78)</f>
        <v>0</v>
      </c>
      <c r="G78" s="29">
        <f>DSUM($B$37:$X$43,G$37,$C$50:$D78)</f>
        <v>0</v>
      </c>
      <c r="H78" s="29">
        <f>DSUM($B$37:$X$43,H$37,$C$50:$D78)</f>
        <v>0</v>
      </c>
      <c r="I78" s="29">
        <f>DSUM($B$37:$X$43,I$37,$C$50:$D78)</f>
        <v>0</v>
      </c>
      <c r="J78" s="29">
        <f>DSUM($B$37:$X$43,J$37,$C$50:$D78)</f>
        <v>0</v>
      </c>
      <c r="K78" s="29">
        <f>DSUM($B$37:$X$43,K$37,$C$50:$D78)</f>
        <v>0</v>
      </c>
      <c r="L78" s="29">
        <f>DSUM($B$37:$X$43,L$37,$C$50:$D78)</f>
        <v>0</v>
      </c>
      <c r="M78" s="29">
        <f>DSUM($B$37:$X$43,M$37,$C$50:$D78)</f>
        <v>0</v>
      </c>
      <c r="N78" s="29">
        <f>DSUM($B$37:$X$43,N$37,$C$50:$D78)</f>
        <v>0</v>
      </c>
      <c r="O78" s="29">
        <f>DSUM($B$37:$X$43,O$37,$C$50:$D78)</f>
        <v>0</v>
      </c>
      <c r="P78" s="29">
        <f>DSUM($B$37:$X$43,P$37,$C$50:$D78)</f>
        <v>0</v>
      </c>
      <c r="Q78" s="29">
        <f>DSUM($B$37:$X$43,Q$37,$C$50:$D78)</f>
        <v>0</v>
      </c>
      <c r="R78" s="29">
        <f>DSUM($B$37:$X$43,R$37,$C$50:$D78)</f>
        <v>0</v>
      </c>
      <c r="S78" s="29">
        <f>DSUM($B$37:$X$43,S$37,$C$50:$D78)</f>
        <v>0</v>
      </c>
      <c r="T78" s="29">
        <f>DSUM($B$37:$X$43,T$37,$C$50:$D78)</f>
        <v>0</v>
      </c>
      <c r="U78" s="29">
        <f>DSUM($B$37:$X$43,U$37,$C$50:$D78)</f>
        <v>0</v>
      </c>
      <c r="V78" s="29">
        <f>DSUM($B$37:$X$43,V$37,$C$50:$D78)</f>
        <v>0</v>
      </c>
      <c r="W78" s="29">
        <f>DSUM($B$37:$X$43,W$37,$C$50:$D78)</f>
        <v>0</v>
      </c>
      <c r="X78" s="29">
        <f>DSUM($B$37:$Y$43,X$37,$C$50:$D78)</f>
        <v>0</v>
      </c>
      <c r="Y78" s="29">
        <f>DSUM($B$37:$Y$43,Y$37,$C$50:$D78)</f>
        <v>0</v>
      </c>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row>
    <row r="79" spans="2:80">
      <c r="B79" s="7" t="s">
        <v>379</v>
      </c>
      <c r="C79" s="50" t="s">
        <v>358</v>
      </c>
      <c r="D79" s="50" t="s">
        <v>369</v>
      </c>
      <c r="E79" s="29">
        <f>DSUM($B$37:$X$43,E$37,$C$50:$D79)</f>
        <v>0</v>
      </c>
      <c r="F79" s="29">
        <f>DSUM($B$37:$X$43,F$37,$C$50:$D79)</f>
        <v>0</v>
      </c>
      <c r="G79" s="29">
        <f>DSUM($B$37:$X$43,G$37,$C$50:$D79)</f>
        <v>0</v>
      </c>
      <c r="H79" s="29">
        <f>DSUM($B$37:$X$43,H$37,$C$50:$D79)</f>
        <v>0</v>
      </c>
      <c r="I79" s="29">
        <f>DSUM($B$37:$X$43,I$37,$C$50:$D79)</f>
        <v>0</v>
      </c>
      <c r="J79" s="29">
        <f>DSUM($B$37:$X$43,J$37,$C$50:$D79)</f>
        <v>0</v>
      </c>
      <c r="K79" s="29">
        <f>DSUM($B$37:$X$43,K$37,$C$50:$D79)</f>
        <v>0</v>
      </c>
      <c r="L79" s="29">
        <f>DSUM($B$37:$X$43,L$37,$C$50:$D79)</f>
        <v>0</v>
      </c>
      <c r="M79" s="29">
        <f>DSUM($B$37:$X$43,M$37,$C$50:$D79)</f>
        <v>0</v>
      </c>
      <c r="N79" s="29">
        <f>DSUM($B$37:$X$43,N$37,$C$50:$D79)</f>
        <v>0</v>
      </c>
      <c r="O79" s="29">
        <f>DSUM($B$37:$X$43,O$37,$C$50:$D79)</f>
        <v>0</v>
      </c>
      <c r="P79" s="29">
        <f>DSUM($B$37:$X$43,P$37,$C$50:$D79)</f>
        <v>0</v>
      </c>
      <c r="Q79" s="29">
        <f>DSUM($B$37:$X$43,Q$37,$C$50:$D79)</f>
        <v>0</v>
      </c>
      <c r="R79" s="29">
        <f>DSUM($B$37:$X$43,R$37,$C$50:$D79)</f>
        <v>0</v>
      </c>
      <c r="S79" s="29">
        <f>DSUM($B$37:$X$43,S$37,$C$50:$D79)</f>
        <v>0</v>
      </c>
      <c r="T79" s="29">
        <f>DSUM($B$37:$X$43,T$37,$C$50:$D79)</f>
        <v>0</v>
      </c>
      <c r="U79" s="29">
        <f>DSUM($B$37:$X$43,U$37,$C$50:$D79)</f>
        <v>0</v>
      </c>
      <c r="V79" s="29">
        <f>DSUM($B$37:$X$43,V$37,$C$50:$D79)</f>
        <v>0</v>
      </c>
      <c r="W79" s="29">
        <f>DSUM($B$37:$X$43,W$37,$C$50:$D79)</f>
        <v>0</v>
      </c>
      <c r="X79" s="29">
        <f>DSUM($B$37:$Y$43,X$37,$C$50:$D79)</f>
        <v>0</v>
      </c>
      <c r="Y79" s="29">
        <f>DSUM($B$37:$Y$43,Y$37,$C$50:$D79)</f>
        <v>0</v>
      </c>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row>
    <row r="80" spans="2:80">
      <c r="B80" s="7" t="s">
        <v>380</v>
      </c>
      <c r="C80" s="50" t="s">
        <v>359</v>
      </c>
      <c r="D80" s="50" t="s">
        <v>370</v>
      </c>
      <c r="E80" s="29">
        <f>DSUM($B$37:$X$43,E$37,$C$50:$D80)</f>
        <v>0</v>
      </c>
      <c r="F80" s="29">
        <f>DSUM($B$37:$X$43,F$37,$C$50:$D80)</f>
        <v>0</v>
      </c>
      <c r="G80" s="29">
        <f>DSUM($B$37:$X$43,G$37,$C$50:$D80)</f>
        <v>0</v>
      </c>
      <c r="H80" s="29">
        <f>DSUM($B$37:$X$43,H$37,$C$50:$D80)</f>
        <v>0</v>
      </c>
      <c r="I80" s="29">
        <f>DSUM($B$37:$X$43,I$37,$C$50:$D80)</f>
        <v>0</v>
      </c>
      <c r="J80" s="29">
        <f>DSUM($B$37:$X$43,J$37,$C$50:$D80)</f>
        <v>0</v>
      </c>
      <c r="K80" s="29">
        <f>DSUM($B$37:$X$43,K$37,$C$50:$D80)</f>
        <v>0</v>
      </c>
      <c r="L80" s="29">
        <f>DSUM($B$37:$X$43,L$37,$C$50:$D80)</f>
        <v>0</v>
      </c>
      <c r="M80" s="29">
        <f>DSUM($B$37:$X$43,M$37,$C$50:$D80)</f>
        <v>0</v>
      </c>
      <c r="N80" s="29">
        <f>DSUM($B$37:$X$43,N$37,$C$50:$D80)</f>
        <v>0</v>
      </c>
      <c r="O80" s="29">
        <f>DSUM($B$37:$X$43,O$37,$C$50:$D80)</f>
        <v>0</v>
      </c>
      <c r="P80" s="29">
        <f>DSUM($B$37:$X$43,P$37,$C$50:$D80)</f>
        <v>0</v>
      </c>
      <c r="Q80" s="29">
        <f>DSUM($B$37:$X$43,Q$37,$C$50:$D80)</f>
        <v>0</v>
      </c>
      <c r="R80" s="29">
        <f>DSUM($B$37:$X$43,R$37,$C$50:$D80)</f>
        <v>0</v>
      </c>
      <c r="S80" s="29">
        <f>DSUM($B$37:$X$43,S$37,$C$50:$D80)</f>
        <v>0</v>
      </c>
      <c r="T80" s="29">
        <f>DSUM($B$37:$X$43,T$37,$C$50:$D80)</f>
        <v>0</v>
      </c>
      <c r="U80" s="29">
        <f>DSUM($B$37:$X$43,U$37,$C$50:$D80)</f>
        <v>0</v>
      </c>
      <c r="V80" s="29">
        <f>DSUM($B$37:$X$43,V$37,$C$50:$D80)</f>
        <v>0</v>
      </c>
      <c r="W80" s="29">
        <f>DSUM($B$37:$X$43,W$37,$C$50:$D80)</f>
        <v>0</v>
      </c>
      <c r="X80" s="29">
        <f>DSUM($B$37:$Y$43,X$37,$C$50:$D80)</f>
        <v>0</v>
      </c>
      <c r="Y80" s="29">
        <f>DSUM($B$37:$Y$43,Y$37,$C$50:$D80)</f>
        <v>0</v>
      </c>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row>
    <row r="81" spans="1:80">
      <c r="B81" s="7" t="s">
        <v>381</v>
      </c>
      <c r="C81" s="50" t="s">
        <v>360</v>
      </c>
      <c r="D81" s="50" t="s">
        <v>371</v>
      </c>
      <c r="E81" s="29">
        <f>DSUM($B$37:$X$43,E$37,$C$50:$D81)</f>
        <v>0</v>
      </c>
      <c r="F81" s="29">
        <f>DSUM($B$37:$X$43,F$37,$C$50:$D81)</f>
        <v>0</v>
      </c>
      <c r="G81" s="29">
        <f>DSUM($B$37:$X$43,G$37,$C$50:$D81)</f>
        <v>0</v>
      </c>
      <c r="H81" s="29">
        <f>DSUM($B$37:$X$43,H$37,$C$50:$D81)</f>
        <v>0</v>
      </c>
      <c r="I81" s="29">
        <f>DSUM($B$37:$X$43,I$37,$C$50:$D81)</f>
        <v>0</v>
      </c>
      <c r="J81" s="29">
        <f>DSUM($B$37:$X$43,J$37,$C$50:$D81)</f>
        <v>0</v>
      </c>
      <c r="K81" s="29">
        <f>DSUM($B$37:$X$43,K$37,$C$50:$D81)</f>
        <v>0</v>
      </c>
      <c r="L81" s="29">
        <f>DSUM($B$37:$X$43,L$37,$C$50:$D81)</f>
        <v>0</v>
      </c>
      <c r="M81" s="29">
        <f>DSUM($B$37:$X$43,M$37,$C$50:$D81)</f>
        <v>0</v>
      </c>
      <c r="N81" s="29">
        <f>DSUM($B$37:$X$43,N$37,$C$50:$D81)</f>
        <v>0</v>
      </c>
      <c r="O81" s="29">
        <f>DSUM($B$37:$X$43,O$37,$C$50:$D81)</f>
        <v>0</v>
      </c>
      <c r="P81" s="29">
        <f>DSUM($B$37:$X$43,P$37,$C$50:$D81)</f>
        <v>0</v>
      </c>
      <c r="Q81" s="29">
        <f>DSUM($B$37:$X$43,Q$37,$C$50:$D81)</f>
        <v>0</v>
      </c>
      <c r="R81" s="29">
        <f>DSUM($B$37:$X$43,R$37,$C$50:$D81)</f>
        <v>0</v>
      </c>
      <c r="S81" s="29">
        <f>DSUM($B$37:$X$43,S$37,$C$50:$D81)</f>
        <v>0</v>
      </c>
      <c r="T81" s="29">
        <f>DSUM($B$37:$X$43,T$37,$C$50:$D81)</f>
        <v>0</v>
      </c>
      <c r="U81" s="29">
        <f>DSUM($B$37:$X$43,U$37,$C$50:$D81)</f>
        <v>0</v>
      </c>
      <c r="V81" s="29">
        <f>DSUM($B$37:$X$43,V$37,$C$50:$D81)</f>
        <v>0</v>
      </c>
      <c r="W81" s="29">
        <f>DSUM($B$37:$X$43,W$37,$C$50:$D81)</f>
        <v>0</v>
      </c>
      <c r="X81" s="29">
        <f>DSUM($B$37:$Y$43,X$37,$C$50:$D81)</f>
        <v>0</v>
      </c>
      <c r="Y81" s="29">
        <f>DSUM($B$37:$Y$43,Y$37,$C$50:$D81)</f>
        <v>0</v>
      </c>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row>
    <row r="82" spans="1:80">
      <c r="B82" s="7" t="s">
        <v>382</v>
      </c>
      <c r="C82" s="50" t="s">
        <v>361</v>
      </c>
      <c r="D82" s="50" t="s">
        <v>133</v>
      </c>
      <c r="E82" s="29">
        <f>DSUM($B$37:$X$43,E$37,$C$50:$D82)</f>
        <v>0</v>
      </c>
      <c r="F82" s="29">
        <f>DSUM($B$37:$X$43,F$37,$C$50:$D82)</f>
        <v>0</v>
      </c>
      <c r="G82" s="29">
        <f>DSUM($B$37:$X$43,G$37,$C$50:$D82)</f>
        <v>0</v>
      </c>
      <c r="H82" s="29">
        <f>DSUM($B$37:$X$43,H$37,$C$50:$D82)</f>
        <v>0</v>
      </c>
      <c r="I82" s="29">
        <f>DSUM($B$37:$X$43,I$37,$C$50:$D82)</f>
        <v>0</v>
      </c>
      <c r="J82" s="29">
        <f>DSUM($B$37:$X$43,J$37,$C$50:$D82)</f>
        <v>0</v>
      </c>
      <c r="K82" s="29">
        <f>DSUM($B$37:$X$43,K$37,$C$50:$D82)</f>
        <v>0</v>
      </c>
      <c r="L82" s="29">
        <f>DSUM($B$37:$X$43,L$37,$C$50:$D82)</f>
        <v>0</v>
      </c>
      <c r="M82" s="29">
        <f>DSUM($B$37:$X$43,M$37,$C$50:$D82)</f>
        <v>0</v>
      </c>
      <c r="N82" s="29">
        <f>DSUM($B$37:$X$43,N$37,$C$50:$D82)</f>
        <v>0</v>
      </c>
      <c r="O82" s="29">
        <f>DSUM($B$37:$X$43,O$37,$C$50:$D82)</f>
        <v>0</v>
      </c>
      <c r="P82" s="29">
        <f>DSUM($B$37:$X$43,P$37,$C$50:$D82)</f>
        <v>0</v>
      </c>
      <c r="Q82" s="29">
        <f>DSUM($B$37:$X$43,Q$37,$C$50:$D82)</f>
        <v>0</v>
      </c>
      <c r="R82" s="29">
        <f>DSUM($B$37:$X$43,R$37,$C$50:$D82)</f>
        <v>0</v>
      </c>
      <c r="S82" s="29">
        <f>DSUM($B$37:$X$43,S$37,$C$50:$D82)</f>
        <v>0</v>
      </c>
      <c r="T82" s="29">
        <f>DSUM($B$37:$X$43,T$37,$C$50:$D82)</f>
        <v>0</v>
      </c>
      <c r="U82" s="29">
        <f>DSUM($B$37:$X$43,U$37,$C$50:$D82)</f>
        <v>0</v>
      </c>
      <c r="V82" s="29">
        <f>DSUM($B$37:$X$43,V$37,$C$50:$D82)</f>
        <v>0</v>
      </c>
      <c r="W82" s="29">
        <f>DSUM($B$37:$X$43,W$37,$C$50:$D82)</f>
        <v>0</v>
      </c>
      <c r="X82" s="29">
        <f>DSUM($B$37:$Y$43,X$37,$C$50:$D82)</f>
        <v>0</v>
      </c>
      <c r="Y82" s="29">
        <f>DSUM($B$37:$Y$43,Y$37,$C$50:$D82)</f>
        <v>0</v>
      </c>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row>
    <row r="83" spans="1:80">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row>
    <row r="84" spans="1:80">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row>
    <row r="85" spans="1:80" ht="15">
      <c r="A85" s="55" t="s">
        <v>134</v>
      </c>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row>
    <row r="86" spans="1:80" ht="15">
      <c r="C86" s="64" t="s">
        <v>811</v>
      </c>
      <c r="D86" s="64"/>
      <c r="E86" s="58">
        <f t="shared" ref="E86:X86" si="17">E11</f>
        <v>2016</v>
      </c>
      <c r="F86" s="59">
        <f t="shared" si="17"/>
        <v>2017</v>
      </c>
      <c r="G86" s="59">
        <f t="shared" si="17"/>
        <v>2018</v>
      </c>
      <c r="H86" s="59">
        <f t="shared" si="17"/>
        <v>2019</v>
      </c>
      <c r="I86" s="59">
        <f t="shared" si="17"/>
        <v>2020</v>
      </c>
      <c r="J86" s="59">
        <f t="shared" si="17"/>
        <v>2021</v>
      </c>
      <c r="K86" s="59">
        <f t="shared" si="17"/>
        <v>2022</v>
      </c>
      <c r="L86" s="59">
        <f t="shared" si="17"/>
        <v>2023</v>
      </c>
      <c r="M86" s="59">
        <f t="shared" si="17"/>
        <v>2024</v>
      </c>
      <c r="N86" s="59">
        <f t="shared" si="17"/>
        <v>2025</v>
      </c>
      <c r="O86" s="59">
        <f t="shared" si="17"/>
        <v>2026</v>
      </c>
      <c r="P86" s="59">
        <f t="shared" si="17"/>
        <v>2027</v>
      </c>
      <c r="Q86" s="59">
        <f t="shared" si="17"/>
        <v>2028</v>
      </c>
      <c r="R86" s="59">
        <f t="shared" si="17"/>
        <v>2029</v>
      </c>
      <c r="S86" s="59">
        <f t="shared" si="17"/>
        <v>2030</v>
      </c>
      <c r="T86" s="59">
        <f t="shared" si="17"/>
        <v>2031</v>
      </c>
      <c r="U86" s="59">
        <f t="shared" si="17"/>
        <v>2032</v>
      </c>
      <c r="V86" s="59">
        <f t="shared" si="17"/>
        <v>2033</v>
      </c>
      <c r="W86" s="59">
        <f t="shared" si="17"/>
        <v>2034</v>
      </c>
      <c r="X86" s="59">
        <f t="shared" si="17"/>
        <v>2035</v>
      </c>
      <c r="Y86" s="60" t="s">
        <v>60</v>
      </c>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row>
    <row r="87" spans="1:80" ht="15">
      <c r="C87" s="64" t="str">
        <f>C8</f>
        <v>ASHP</v>
      </c>
      <c r="D87" s="64"/>
      <c r="E87" s="61" t="str">
        <f>CONCATENATE("aMW_",E$11)</f>
        <v>aMW_2016</v>
      </c>
      <c r="F87" s="62" t="str">
        <f t="shared" ref="F87:X87" si="18">CONCATENATE("aMW_",F$11)</f>
        <v>aMW_2017</v>
      </c>
      <c r="G87" s="62" t="str">
        <f t="shared" si="18"/>
        <v>aMW_2018</v>
      </c>
      <c r="H87" s="62" t="str">
        <f t="shared" si="18"/>
        <v>aMW_2019</v>
      </c>
      <c r="I87" s="62" t="str">
        <f t="shared" si="18"/>
        <v>aMW_2020</v>
      </c>
      <c r="J87" s="62" t="str">
        <f t="shared" si="18"/>
        <v>aMW_2021</v>
      </c>
      <c r="K87" s="62" t="str">
        <f t="shared" si="18"/>
        <v>aMW_2022</v>
      </c>
      <c r="L87" s="62" t="str">
        <f t="shared" si="18"/>
        <v>aMW_2023</v>
      </c>
      <c r="M87" s="62" t="str">
        <f t="shared" si="18"/>
        <v>aMW_2024</v>
      </c>
      <c r="N87" s="62" t="str">
        <f t="shared" si="18"/>
        <v>aMW_2025</v>
      </c>
      <c r="O87" s="62" t="str">
        <f t="shared" si="18"/>
        <v>aMW_2026</v>
      </c>
      <c r="P87" s="62" t="str">
        <f t="shared" si="18"/>
        <v>aMW_2027</v>
      </c>
      <c r="Q87" s="62" t="str">
        <f t="shared" si="18"/>
        <v>aMW_2028</v>
      </c>
      <c r="R87" s="62" t="str">
        <f t="shared" si="18"/>
        <v>aMW_2029</v>
      </c>
      <c r="S87" s="62" t="str">
        <f t="shared" si="18"/>
        <v>aMW_2030</v>
      </c>
      <c r="T87" s="62" t="str">
        <f t="shared" si="18"/>
        <v>aMW_2031</v>
      </c>
      <c r="U87" s="62" t="str">
        <f t="shared" si="18"/>
        <v>aMW_2032</v>
      </c>
      <c r="V87" s="62" t="str">
        <f t="shared" si="18"/>
        <v>aMW_2033</v>
      </c>
      <c r="W87" s="62" t="str">
        <f t="shared" si="18"/>
        <v>aMW_2034</v>
      </c>
      <c r="X87" s="62" t="str">
        <f t="shared" si="18"/>
        <v>aMW_2035</v>
      </c>
      <c r="Y87" s="63" t="s">
        <v>60</v>
      </c>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row>
    <row r="88" spans="1:80">
      <c r="C88" s="7" t="s">
        <v>68</v>
      </c>
      <c r="E88" s="29">
        <f t="shared" ref="E88:X88" si="19">E51</f>
        <v>0</v>
      </c>
      <c r="F88" s="29">
        <f t="shared" si="19"/>
        <v>0</v>
      </c>
      <c r="G88" s="29">
        <f t="shared" si="19"/>
        <v>0</v>
      </c>
      <c r="H88" s="29">
        <f t="shared" si="19"/>
        <v>0</v>
      </c>
      <c r="I88" s="29">
        <f t="shared" si="19"/>
        <v>0</v>
      </c>
      <c r="J88" s="29">
        <f t="shared" si="19"/>
        <v>0</v>
      </c>
      <c r="K88" s="29">
        <f t="shared" si="19"/>
        <v>0</v>
      </c>
      <c r="L88" s="29">
        <f t="shared" si="19"/>
        <v>0</v>
      </c>
      <c r="M88" s="29">
        <f t="shared" si="19"/>
        <v>0</v>
      </c>
      <c r="N88" s="29">
        <f t="shared" si="19"/>
        <v>0</v>
      </c>
      <c r="O88" s="29">
        <f t="shared" si="19"/>
        <v>0</v>
      </c>
      <c r="P88" s="29">
        <f t="shared" si="19"/>
        <v>0</v>
      </c>
      <c r="Q88" s="29">
        <f t="shared" si="19"/>
        <v>0</v>
      </c>
      <c r="R88" s="29">
        <f t="shared" si="19"/>
        <v>0</v>
      </c>
      <c r="S88" s="29">
        <f t="shared" si="19"/>
        <v>0</v>
      </c>
      <c r="T88" s="29">
        <f t="shared" si="19"/>
        <v>0</v>
      </c>
      <c r="U88" s="29">
        <f t="shared" si="19"/>
        <v>0</v>
      </c>
      <c r="V88" s="29">
        <f t="shared" si="19"/>
        <v>0</v>
      </c>
      <c r="W88" s="29">
        <f t="shared" si="19"/>
        <v>0</v>
      </c>
      <c r="X88" s="29">
        <f t="shared" si="19"/>
        <v>0</v>
      </c>
      <c r="Y88" s="29">
        <f>SUM(E88:X88)</f>
        <v>0</v>
      </c>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row>
    <row r="89" spans="1:80">
      <c r="C89" s="7" t="s">
        <v>544</v>
      </c>
      <c r="E89" s="29">
        <f t="shared" ref="E89:X101" si="20">E52-E51</f>
        <v>0</v>
      </c>
      <c r="F89" s="29">
        <f t="shared" si="20"/>
        <v>0</v>
      </c>
      <c r="G89" s="29">
        <f t="shared" si="20"/>
        <v>0</v>
      </c>
      <c r="H89" s="29">
        <f t="shared" si="20"/>
        <v>0</v>
      </c>
      <c r="I89" s="29">
        <f t="shared" si="20"/>
        <v>0</v>
      </c>
      <c r="J89" s="29">
        <f t="shared" si="20"/>
        <v>0</v>
      </c>
      <c r="K89" s="29">
        <f t="shared" si="20"/>
        <v>0</v>
      </c>
      <c r="L89" s="29">
        <f t="shared" si="20"/>
        <v>0</v>
      </c>
      <c r="M89" s="29">
        <f t="shared" si="20"/>
        <v>0</v>
      </c>
      <c r="N89" s="29">
        <f t="shared" si="20"/>
        <v>0</v>
      </c>
      <c r="O89" s="29">
        <f t="shared" si="20"/>
        <v>0</v>
      </c>
      <c r="P89" s="29">
        <f t="shared" si="20"/>
        <v>0</v>
      </c>
      <c r="Q89" s="29">
        <f t="shared" si="20"/>
        <v>0</v>
      </c>
      <c r="R89" s="29">
        <f t="shared" si="20"/>
        <v>0</v>
      </c>
      <c r="S89" s="29">
        <f t="shared" si="20"/>
        <v>0</v>
      </c>
      <c r="T89" s="29">
        <f t="shared" si="20"/>
        <v>0</v>
      </c>
      <c r="U89" s="29">
        <f t="shared" si="20"/>
        <v>0</v>
      </c>
      <c r="V89" s="29">
        <f t="shared" si="20"/>
        <v>0</v>
      </c>
      <c r="W89" s="29">
        <f t="shared" si="20"/>
        <v>0</v>
      </c>
      <c r="X89" s="29">
        <f t="shared" si="20"/>
        <v>0</v>
      </c>
      <c r="Y89" s="29">
        <f t="shared" ref="Y89:Y118" si="21">SUM(E89:X89)</f>
        <v>0</v>
      </c>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row>
    <row r="90" spans="1:80">
      <c r="C90" s="7" t="s">
        <v>74</v>
      </c>
      <c r="E90" s="29">
        <f t="shared" si="20"/>
        <v>0</v>
      </c>
      <c r="F90" s="29">
        <f t="shared" si="20"/>
        <v>0</v>
      </c>
      <c r="G90" s="29">
        <f t="shared" si="20"/>
        <v>0</v>
      </c>
      <c r="H90" s="29">
        <f t="shared" si="20"/>
        <v>0</v>
      </c>
      <c r="I90" s="29">
        <f t="shared" si="20"/>
        <v>0</v>
      </c>
      <c r="J90" s="29">
        <f t="shared" si="20"/>
        <v>0</v>
      </c>
      <c r="K90" s="29">
        <f t="shared" si="20"/>
        <v>0</v>
      </c>
      <c r="L90" s="29">
        <f t="shared" si="20"/>
        <v>0</v>
      </c>
      <c r="M90" s="29">
        <f t="shared" si="20"/>
        <v>0</v>
      </c>
      <c r="N90" s="29">
        <f t="shared" si="20"/>
        <v>0</v>
      </c>
      <c r="O90" s="29">
        <f t="shared" si="20"/>
        <v>0</v>
      </c>
      <c r="P90" s="29">
        <f t="shared" si="20"/>
        <v>0</v>
      </c>
      <c r="Q90" s="29">
        <f t="shared" si="20"/>
        <v>0</v>
      </c>
      <c r="R90" s="29">
        <f t="shared" si="20"/>
        <v>0</v>
      </c>
      <c r="S90" s="29">
        <f t="shared" si="20"/>
        <v>0</v>
      </c>
      <c r="T90" s="29">
        <f t="shared" si="20"/>
        <v>0</v>
      </c>
      <c r="U90" s="29">
        <f t="shared" si="20"/>
        <v>0</v>
      </c>
      <c r="V90" s="29">
        <f t="shared" si="20"/>
        <v>0</v>
      </c>
      <c r="W90" s="29">
        <f t="shared" si="20"/>
        <v>0</v>
      </c>
      <c r="X90" s="29">
        <f t="shared" si="20"/>
        <v>0</v>
      </c>
      <c r="Y90" s="29">
        <f t="shared" si="21"/>
        <v>0</v>
      </c>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row>
    <row r="91" spans="1:80">
      <c r="C91" s="7" t="s">
        <v>77</v>
      </c>
      <c r="E91" s="29">
        <f t="shared" si="20"/>
        <v>0</v>
      </c>
      <c r="F91" s="29">
        <f t="shared" si="20"/>
        <v>0</v>
      </c>
      <c r="G91" s="29">
        <f t="shared" si="20"/>
        <v>0</v>
      </c>
      <c r="H91" s="29">
        <f t="shared" si="20"/>
        <v>0</v>
      </c>
      <c r="I91" s="29">
        <f t="shared" si="20"/>
        <v>0</v>
      </c>
      <c r="J91" s="29">
        <f t="shared" si="20"/>
        <v>0</v>
      </c>
      <c r="K91" s="29">
        <f t="shared" si="20"/>
        <v>0</v>
      </c>
      <c r="L91" s="29">
        <f t="shared" si="20"/>
        <v>0</v>
      </c>
      <c r="M91" s="29">
        <f t="shared" si="20"/>
        <v>0</v>
      </c>
      <c r="N91" s="29">
        <f t="shared" si="20"/>
        <v>0</v>
      </c>
      <c r="O91" s="29">
        <f t="shared" si="20"/>
        <v>0</v>
      </c>
      <c r="P91" s="29">
        <f t="shared" si="20"/>
        <v>0</v>
      </c>
      <c r="Q91" s="29">
        <f t="shared" si="20"/>
        <v>0</v>
      </c>
      <c r="R91" s="29">
        <f t="shared" si="20"/>
        <v>0</v>
      </c>
      <c r="S91" s="29">
        <f t="shared" si="20"/>
        <v>0</v>
      </c>
      <c r="T91" s="29">
        <f t="shared" si="20"/>
        <v>0</v>
      </c>
      <c r="U91" s="29">
        <f t="shared" si="20"/>
        <v>0</v>
      </c>
      <c r="V91" s="29">
        <f t="shared" si="20"/>
        <v>0</v>
      </c>
      <c r="W91" s="29">
        <f t="shared" si="20"/>
        <v>0</v>
      </c>
      <c r="X91" s="29">
        <f t="shared" si="20"/>
        <v>0</v>
      </c>
      <c r="Y91" s="29">
        <f t="shared" si="21"/>
        <v>0</v>
      </c>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row>
    <row r="92" spans="1:80">
      <c r="C92" s="7" t="s">
        <v>80</v>
      </c>
      <c r="E92" s="29">
        <f t="shared" si="20"/>
        <v>0</v>
      </c>
      <c r="F92" s="29">
        <f t="shared" si="20"/>
        <v>0</v>
      </c>
      <c r="G92" s="29">
        <f t="shared" si="20"/>
        <v>0</v>
      </c>
      <c r="H92" s="29">
        <f t="shared" si="20"/>
        <v>0</v>
      </c>
      <c r="I92" s="29">
        <f t="shared" si="20"/>
        <v>0</v>
      </c>
      <c r="J92" s="29">
        <f t="shared" si="20"/>
        <v>0</v>
      </c>
      <c r="K92" s="29">
        <f t="shared" si="20"/>
        <v>0</v>
      </c>
      <c r="L92" s="29">
        <f t="shared" si="20"/>
        <v>0</v>
      </c>
      <c r="M92" s="29">
        <f t="shared" si="20"/>
        <v>0</v>
      </c>
      <c r="N92" s="29">
        <f t="shared" si="20"/>
        <v>0</v>
      </c>
      <c r="O92" s="29">
        <f t="shared" si="20"/>
        <v>0</v>
      </c>
      <c r="P92" s="29">
        <f t="shared" si="20"/>
        <v>0</v>
      </c>
      <c r="Q92" s="29">
        <f t="shared" si="20"/>
        <v>0</v>
      </c>
      <c r="R92" s="29">
        <f t="shared" si="20"/>
        <v>0</v>
      </c>
      <c r="S92" s="29">
        <f t="shared" si="20"/>
        <v>0</v>
      </c>
      <c r="T92" s="29">
        <f t="shared" si="20"/>
        <v>0</v>
      </c>
      <c r="U92" s="29">
        <f t="shared" si="20"/>
        <v>0</v>
      </c>
      <c r="V92" s="29">
        <f t="shared" si="20"/>
        <v>0</v>
      </c>
      <c r="W92" s="29">
        <f t="shared" si="20"/>
        <v>0</v>
      </c>
      <c r="X92" s="29">
        <f t="shared" si="20"/>
        <v>0</v>
      </c>
      <c r="Y92" s="29">
        <f t="shared" si="21"/>
        <v>0</v>
      </c>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row>
    <row r="93" spans="1:80">
      <c r="C93" s="7" t="s">
        <v>83</v>
      </c>
      <c r="E93" s="29">
        <f t="shared" si="20"/>
        <v>0</v>
      </c>
      <c r="F93" s="29">
        <f t="shared" si="20"/>
        <v>0</v>
      </c>
      <c r="G93" s="29">
        <f t="shared" si="20"/>
        <v>0</v>
      </c>
      <c r="H93" s="29">
        <f t="shared" si="20"/>
        <v>0</v>
      </c>
      <c r="I93" s="29">
        <f t="shared" si="20"/>
        <v>0</v>
      </c>
      <c r="J93" s="29">
        <f t="shared" si="20"/>
        <v>0</v>
      </c>
      <c r="K93" s="29">
        <f t="shared" si="20"/>
        <v>0</v>
      </c>
      <c r="L93" s="29">
        <f t="shared" si="20"/>
        <v>0</v>
      </c>
      <c r="M93" s="29">
        <f t="shared" si="20"/>
        <v>0</v>
      </c>
      <c r="N93" s="29">
        <f t="shared" si="20"/>
        <v>0</v>
      </c>
      <c r="O93" s="29">
        <f t="shared" si="20"/>
        <v>0</v>
      </c>
      <c r="P93" s="29">
        <f t="shared" si="20"/>
        <v>0</v>
      </c>
      <c r="Q93" s="29">
        <f t="shared" si="20"/>
        <v>0</v>
      </c>
      <c r="R93" s="29">
        <f t="shared" si="20"/>
        <v>0</v>
      </c>
      <c r="S93" s="29">
        <f t="shared" si="20"/>
        <v>0</v>
      </c>
      <c r="T93" s="29">
        <f t="shared" si="20"/>
        <v>0</v>
      </c>
      <c r="U93" s="29">
        <f t="shared" si="20"/>
        <v>0</v>
      </c>
      <c r="V93" s="29">
        <f t="shared" si="20"/>
        <v>0</v>
      </c>
      <c r="W93" s="29">
        <f t="shared" si="20"/>
        <v>0</v>
      </c>
      <c r="X93" s="29">
        <f t="shared" si="20"/>
        <v>0</v>
      </c>
      <c r="Y93" s="29">
        <f t="shared" si="21"/>
        <v>0</v>
      </c>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row>
    <row r="94" spans="1:80">
      <c r="C94" s="7" t="s">
        <v>86</v>
      </c>
      <c r="E94" s="29">
        <f t="shared" si="20"/>
        <v>0</v>
      </c>
      <c r="F94" s="29">
        <f t="shared" si="20"/>
        <v>0</v>
      </c>
      <c r="G94" s="29">
        <f t="shared" si="20"/>
        <v>0</v>
      </c>
      <c r="H94" s="29">
        <f t="shared" si="20"/>
        <v>0</v>
      </c>
      <c r="I94" s="29">
        <f t="shared" si="20"/>
        <v>0</v>
      </c>
      <c r="J94" s="29">
        <f t="shared" si="20"/>
        <v>0</v>
      </c>
      <c r="K94" s="29">
        <f t="shared" si="20"/>
        <v>0</v>
      </c>
      <c r="L94" s="29">
        <f t="shared" si="20"/>
        <v>0</v>
      </c>
      <c r="M94" s="29">
        <f t="shared" si="20"/>
        <v>0</v>
      </c>
      <c r="N94" s="29">
        <f t="shared" si="20"/>
        <v>0</v>
      </c>
      <c r="O94" s="29">
        <f t="shared" si="20"/>
        <v>0</v>
      </c>
      <c r="P94" s="29">
        <f t="shared" si="20"/>
        <v>0</v>
      </c>
      <c r="Q94" s="29">
        <f t="shared" si="20"/>
        <v>0</v>
      </c>
      <c r="R94" s="29">
        <f t="shared" si="20"/>
        <v>0</v>
      </c>
      <c r="S94" s="29">
        <f t="shared" si="20"/>
        <v>0</v>
      </c>
      <c r="T94" s="29">
        <f t="shared" si="20"/>
        <v>0</v>
      </c>
      <c r="U94" s="29">
        <f t="shared" si="20"/>
        <v>0</v>
      </c>
      <c r="V94" s="29">
        <f t="shared" si="20"/>
        <v>0</v>
      </c>
      <c r="W94" s="29">
        <f t="shared" si="20"/>
        <v>0</v>
      </c>
      <c r="X94" s="29">
        <f t="shared" si="20"/>
        <v>0</v>
      </c>
      <c r="Y94" s="29">
        <f t="shared" si="21"/>
        <v>0</v>
      </c>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row>
    <row r="95" spans="1:80">
      <c r="C95" s="7" t="s">
        <v>89</v>
      </c>
      <c r="E95" s="29">
        <f t="shared" si="20"/>
        <v>0</v>
      </c>
      <c r="F95" s="29">
        <f t="shared" si="20"/>
        <v>0</v>
      </c>
      <c r="G95" s="29">
        <f t="shared" si="20"/>
        <v>0</v>
      </c>
      <c r="H95" s="29">
        <f t="shared" si="20"/>
        <v>0</v>
      </c>
      <c r="I95" s="29">
        <f t="shared" si="20"/>
        <v>0</v>
      </c>
      <c r="J95" s="29">
        <f t="shared" si="20"/>
        <v>0</v>
      </c>
      <c r="K95" s="29">
        <f t="shared" si="20"/>
        <v>0</v>
      </c>
      <c r="L95" s="29">
        <f t="shared" si="20"/>
        <v>0</v>
      </c>
      <c r="M95" s="29">
        <f t="shared" si="20"/>
        <v>0</v>
      </c>
      <c r="N95" s="29">
        <f t="shared" si="20"/>
        <v>0</v>
      </c>
      <c r="O95" s="29">
        <f t="shared" si="20"/>
        <v>0</v>
      </c>
      <c r="P95" s="29">
        <f t="shared" si="20"/>
        <v>0</v>
      </c>
      <c r="Q95" s="29">
        <f t="shared" si="20"/>
        <v>0</v>
      </c>
      <c r="R95" s="29">
        <f t="shared" si="20"/>
        <v>0</v>
      </c>
      <c r="S95" s="29">
        <f t="shared" si="20"/>
        <v>0</v>
      </c>
      <c r="T95" s="29">
        <f t="shared" si="20"/>
        <v>0</v>
      </c>
      <c r="U95" s="29">
        <f t="shared" si="20"/>
        <v>0</v>
      </c>
      <c r="V95" s="29">
        <f t="shared" si="20"/>
        <v>0</v>
      </c>
      <c r="W95" s="29">
        <f t="shared" si="20"/>
        <v>0</v>
      </c>
      <c r="X95" s="29">
        <f t="shared" si="20"/>
        <v>0</v>
      </c>
      <c r="Y95" s="29">
        <f t="shared" si="21"/>
        <v>0</v>
      </c>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row>
    <row r="96" spans="1:80">
      <c r="C96" s="7" t="s">
        <v>92</v>
      </c>
      <c r="E96" s="29">
        <f t="shared" si="20"/>
        <v>0</v>
      </c>
      <c r="F96" s="29">
        <f t="shared" si="20"/>
        <v>0</v>
      </c>
      <c r="G96" s="29">
        <f t="shared" si="20"/>
        <v>0</v>
      </c>
      <c r="H96" s="29">
        <f t="shared" si="20"/>
        <v>0</v>
      </c>
      <c r="I96" s="29">
        <f t="shared" si="20"/>
        <v>0</v>
      </c>
      <c r="J96" s="29">
        <f t="shared" si="20"/>
        <v>0</v>
      </c>
      <c r="K96" s="29">
        <f t="shared" si="20"/>
        <v>0</v>
      </c>
      <c r="L96" s="29">
        <f t="shared" si="20"/>
        <v>0</v>
      </c>
      <c r="M96" s="29">
        <f t="shared" si="20"/>
        <v>0</v>
      </c>
      <c r="N96" s="29">
        <f t="shared" si="20"/>
        <v>0</v>
      </c>
      <c r="O96" s="29">
        <f t="shared" si="20"/>
        <v>0</v>
      </c>
      <c r="P96" s="29">
        <f t="shared" si="20"/>
        <v>0</v>
      </c>
      <c r="Q96" s="29">
        <f t="shared" si="20"/>
        <v>0</v>
      </c>
      <c r="R96" s="29">
        <f t="shared" si="20"/>
        <v>0</v>
      </c>
      <c r="S96" s="29">
        <f t="shared" si="20"/>
        <v>0</v>
      </c>
      <c r="T96" s="29">
        <f t="shared" si="20"/>
        <v>0</v>
      </c>
      <c r="U96" s="29">
        <f t="shared" si="20"/>
        <v>0</v>
      </c>
      <c r="V96" s="29">
        <f t="shared" si="20"/>
        <v>0</v>
      </c>
      <c r="W96" s="29">
        <f t="shared" si="20"/>
        <v>0</v>
      </c>
      <c r="X96" s="29">
        <f t="shared" si="20"/>
        <v>0</v>
      </c>
      <c r="Y96" s="29">
        <f t="shared" si="21"/>
        <v>0</v>
      </c>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row>
    <row r="97" spans="3:80">
      <c r="C97" s="7" t="s">
        <v>95</v>
      </c>
      <c r="E97" s="29">
        <f t="shared" si="20"/>
        <v>0</v>
      </c>
      <c r="F97" s="29">
        <f t="shared" si="20"/>
        <v>0</v>
      </c>
      <c r="G97" s="29">
        <f t="shared" si="20"/>
        <v>0</v>
      </c>
      <c r="H97" s="29">
        <f t="shared" si="20"/>
        <v>0</v>
      </c>
      <c r="I97" s="29">
        <f t="shared" si="20"/>
        <v>0</v>
      </c>
      <c r="J97" s="29">
        <f t="shared" si="20"/>
        <v>0</v>
      </c>
      <c r="K97" s="29">
        <f t="shared" si="20"/>
        <v>0</v>
      </c>
      <c r="L97" s="29">
        <f t="shared" si="20"/>
        <v>0</v>
      </c>
      <c r="M97" s="29">
        <f t="shared" si="20"/>
        <v>0</v>
      </c>
      <c r="N97" s="29">
        <f t="shared" si="20"/>
        <v>0</v>
      </c>
      <c r="O97" s="29">
        <f t="shared" si="20"/>
        <v>0</v>
      </c>
      <c r="P97" s="29">
        <f t="shared" si="20"/>
        <v>0</v>
      </c>
      <c r="Q97" s="29">
        <f t="shared" si="20"/>
        <v>0</v>
      </c>
      <c r="R97" s="29">
        <f t="shared" si="20"/>
        <v>0</v>
      </c>
      <c r="S97" s="29">
        <f t="shared" si="20"/>
        <v>0</v>
      </c>
      <c r="T97" s="29">
        <f t="shared" si="20"/>
        <v>0</v>
      </c>
      <c r="U97" s="29">
        <f t="shared" si="20"/>
        <v>0</v>
      </c>
      <c r="V97" s="29">
        <f t="shared" si="20"/>
        <v>0</v>
      </c>
      <c r="W97" s="29">
        <f t="shared" si="20"/>
        <v>0</v>
      </c>
      <c r="X97" s="29">
        <f t="shared" si="20"/>
        <v>0</v>
      </c>
      <c r="Y97" s="29">
        <f t="shared" si="21"/>
        <v>0</v>
      </c>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row>
    <row r="98" spans="3:80">
      <c r="C98" s="7" t="s">
        <v>98</v>
      </c>
      <c r="E98" s="29">
        <f t="shared" si="20"/>
        <v>0</v>
      </c>
      <c r="F98" s="29">
        <f t="shared" si="20"/>
        <v>0</v>
      </c>
      <c r="G98" s="29">
        <f t="shared" si="20"/>
        <v>0</v>
      </c>
      <c r="H98" s="29">
        <f t="shared" si="20"/>
        <v>0</v>
      </c>
      <c r="I98" s="29">
        <f t="shared" si="20"/>
        <v>0</v>
      </c>
      <c r="J98" s="29">
        <f t="shared" si="20"/>
        <v>0</v>
      </c>
      <c r="K98" s="29">
        <f t="shared" si="20"/>
        <v>0</v>
      </c>
      <c r="L98" s="29">
        <f t="shared" si="20"/>
        <v>0</v>
      </c>
      <c r="M98" s="29">
        <f t="shared" si="20"/>
        <v>0</v>
      </c>
      <c r="N98" s="29">
        <f t="shared" si="20"/>
        <v>0</v>
      </c>
      <c r="O98" s="29">
        <f t="shared" si="20"/>
        <v>0</v>
      </c>
      <c r="P98" s="29">
        <f t="shared" si="20"/>
        <v>0</v>
      </c>
      <c r="Q98" s="29">
        <f t="shared" si="20"/>
        <v>0</v>
      </c>
      <c r="R98" s="29">
        <f t="shared" si="20"/>
        <v>0</v>
      </c>
      <c r="S98" s="29">
        <f t="shared" si="20"/>
        <v>0</v>
      </c>
      <c r="T98" s="29">
        <f t="shared" si="20"/>
        <v>0</v>
      </c>
      <c r="U98" s="29">
        <f t="shared" si="20"/>
        <v>0</v>
      </c>
      <c r="V98" s="29">
        <f t="shared" si="20"/>
        <v>0</v>
      </c>
      <c r="W98" s="29">
        <f t="shared" si="20"/>
        <v>0</v>
      </c>
      <c r="X98" s="29">
        <f t="shared" si="20"/>
        <v>0</v>
      </c>
      <c r="Y98" s="29">
        <f t="shared" si="21"/>
        <v>0</v>
      </c>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row>
    <row r="99" spans="3:80">
      <c r="C99" s="7" t="s">
        <v>101</v>
      </c>
      <c r="E99" s="29">
        <f t="shared" si="20"/>
        <v>0</v>
      </c>
      <c r="F99" s="29">
        <f t="shared" si="20"/>
        <v>0</v>
      </c>
      <c r="G99" s="29">
        <f t="shared" si="20"/>
        <v>0</v>
      </c>
      <c r="H99" s="29">
        <f t="shared" si="20"/>
        <v>0</v>
      </c>
      <c r="I99" s="29">
        <f t="shared" si="20"/>
        <v>0</v>
      </c>
      <c r="J99" s="29">
        <f t="shared" si="20"/>
        <v>0</v>
      </c>
      <c r="K99" s="29">
        <f t="shared" si="20"/>
        <v>0</v>
      </c>
      <c r="L99" s="29">
        <f t="shared" si="20"/>
        <v>0</v>
      </c>
      <c r="M99" s="29">
        <f t="shared" si="20"/>
        <v>0</v>
      </c>
      <c r="N99" s="29">
        <f t="shared" si="20"/>
        <v>0</v>
      </c>
      <c r="O99" s="29">
        <f t="shared" si="20"/>
        <v>0</v>
      </c>
      <c r="P99" s="29">
        <f t="shared" si="20"/>
        <v>0</v>
      </c>
      <c r="Q99" s="29">
        <f t="shared" si="20"/>
        <v>0</v>
      </c>
      <c r="R99" s="29">
        <f t="shared" si="20"/>
        <v>0</v>
      </c>
      <c r="S99" s="29">
        <f t="shared" si="20"/>
        <v>0</v>
      </c>
      <c r="T99" s="29">
        <f t="shared" si="20"/>
        <v>0</v>
      </c>
      <c r="U99" s="29">
        <f t="shared" si="20"/>
        <v>0</v>
      </c>
      <c r="V99" s="29">
        <f t="shared" si="20"/>
        <v>0</v>
      </c>
      <c r="W99" s="29">
        <f t="shared" si="20"/>
        <v>0</v>
      </c>
      <c r="X99" s="29">
        <f t="shared" si="20"/>
        <v>0</v>
      </c>
      <c r="Y99" s="29">
        <f t="shared" si="21"/>
        <v>0</v>
      </c>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row>
    <row r="100" spans="3:80">
      <c r="C100" s="7" t="s">
        <v>104</v>
      </c>
      <c r="E100" s="29">
        <f t="shared" si="20"/>
        <v>0</v>
      </c>
      <c r="F100" s="29">
        <f t="shared" si="20"/>
        <v>0</v>
      </c>
      <c r="G100" s="29">
        <f t="shared" si="20"/>
        <v>0</v>
      </c>
      <c r="H100" s="29">
        <f t="shared" si="20"/>
        <v>0</v>
      </c>
      <c r="I100" s="29">
        <f t="shared" si="20"/>
        <v>0</v>
      </c>
      <c r="J100" s="29">
        <f t="shared" si="20"/>
        <v>0</v>
      </c>
      <c r="K100" s="29">
        <f t="shared" si="20"/>
        <v>0</v>
      </c>
      <c r="L100" s="29">
        <f t="shared" si="20"/>
        <v>0</v>
      </c>
      <c r="M100" s="29">
        <f t="shared" si="20"/>
        <v>0</v>
      </c>
      <c r="N100" s="29">
        <f t="shared" si="20"/>
        <v>0</v>
      </c>
      <c r="O100" s="29">
        <f t="shared" si="20"/>
        <v>0</v>
      </c>
      <c r="P100" s="29">
        <f t="shared" si="20"/>
        <v>0</v>
      </c>
      <c r="Q100" s="29">
        <f t="shared" si="20"/>
        <v>0</v>
      </c>
      <c r="R100" s="29">
        <f t="shared" si="20"/>
        <v>0</v>
      </c>
      <c r="S100" s="29">
        <f t="shared" si="20"/>
        <v>0</v>
      </c>
      <c r="T100" s="29">
        <f t="shared" si="20"/>
        <v>0</v>
      </c>
      <c r="U100" s="29">
        <f t="shared" si="20"/>
        <v>0</v>
      </c>
      <c r="V100" s="29">
        <f t="shared" si="20"/>
        <v>0</v>
      </c>
      <c r="W100" s="29">
        <f t="shared" si="20"/>
        <v>0</v>
      </c>
      <c r="X100" s="29">
        <f t="shared" si="20"/>
        <v>0</v>
      </c>
      <c r="Y100" s="29">
        <f t="shared" si="21"/>
        <v>0</v>
      </c>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row>
    <row r="101" spans="3:80">
      <c r="C101" s="7" t="s">
        <v>107</v>
      </c>
      <c r="E101" s="29">
        <f t="shared" si="20"/>
        <v>0</v>
      </c>
      <c r="F101" s="29">
        <f t="shared" si="20"/>
        <v>0</v>
      </c>
      <c r="G101" s="29">
        <f t="shared" si="20"/>
        <v>0</v>
      </c>
      <c r="H101" s="29">
        <f t="shared" si="20"/>
        <v>0</v>
      </c>
      <c r="I101" s="29">
        <f t="shared" si="20"/>
        <v>0</v>
      </c>
      <c r="J101" s="29">
        <f t="shared" si="20"/>
        <v>0</v>
      </c>
      <c r="K101" s="29">
        <f t="shared" si="20"/>
        <v>0</v>
      </c>
      <c r="L101" s="29">
        <f t="shared" si="20"/>
        <v>0</v>
      </c>
      <c r="M101" s="29">
        <f t="shared" si="20"/>
        <v>0</v>
      </c>
      <c r="N101" s="29">
        <f t="shared" si="20"/>
        <v>0</v>
      </c>
      <c r="O101" s="29">
        <f t="shared" si="20"/>
        <v>0</v>
      </c>
      <c r="P101" s="29">
        <f t="shared" si="20"/>
        <v>0</v>
      </c>
      <c r="Q101" s="29">
        <f t="shared" si="20"/>
        <v>0</v>
      </c>
      <c r="R101" s="29">
        <f t="shared" si="20"/>
        <v>0</v>
      </c>
      <c r="S101" s="29">
        <f t="shared" si="20"/>
        <v>0</v>
      </c>
      <c r="T101" s="29">
        <f t="shared" ref="T101:X101" si="22">T64-T63</f>
        <v>0</v>
      </c>
      <c r="U101" s="29">
        <f t="shared" si="22"/>
        <v>0</v>
      </c>
      <c r="V101" s="29">
        <f t="shared" si="22"/>
        <v>0</v>
      </c>
      <c r="W101" s="29">
        <f t="shared" si="22"/>
        <v>0</v>
      </c>
      <c r="X101" s="29">
        <f t="shared" si="22"/>
        <v>0</v>
      </c>
      <c r="Y101" s="29">
        <f t="shared" si="21"/>
        <v>0</v>
      </c>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row>
    <row r="102" spans="3:80">
      <c r="C102" s="7" t="s">
        <v>110</v>
      </c>
      <c r="E102" s="29">
        <f t="shared" ref="E102:X115" si="23">E65-E64</f>
        <v>0</v>
      </c>
      <c r="F102" s="29">
        <f t="shared" si="23"/>
        <v>0</v>
      </c>
      <c r="G102" s="29">
        <f t="shared" si="23"/>
        <v>0</v>
      </c>
      <c r="H102" s="29">
        <f t="shared" si="23"/>
        <v>0</v>
      </c>
      <c r="I102" s="29">
        <f t="shared" si="23"/>
        <v>0</v>
      </c>
      <c r="J102" s="29">
        <f t="shared" si="23"/>
        <v>0</v>
      </c>
      <c r="K102" s="29">
        <f t="shared" si="23"/>
        <v>0</v>
      </c>
      <c r="L102" s="29">
        <f t="shared" si="23"/>
        <v>0</v>
      </c>
      <c r="M102" s="29">
        <f t="shared" si="23"/>
        <v>0</v>
      </c>
      <c r="N102" s="29">
        <f t="shared" si="23"/>
        <v>0</v>
      </c>
      <c r="O102" s="29">
        <f t="shared" si="23"/>
        <v>0</v>
      </c>
      <c r="P102" s="29">
        <f t="shared" si="23"/>
        <v>0</v>
      </c>
      <c r="Q102" s="29">
        <f t="shared" si="23"/>
        <v>0</v>
      </c>
      <c r="R102" s="29">
        <f t="shared" si="23"/>
        <v>0</v>
      </c>
      <c r="S102" s="29">
        <f t="shared" si="23"/>
        <v>0</v>
      </c>
      <c r="T102" s="29">
        <f t="shared" si="23"/>
        <v>0</v>
      </c>
      <c r="U102" s="29">
        <f t="shared" si="23"/>
        <v>0</v>
      </c>
      <c r="V102" s="29">
        <f t="shared" si="23"/>
        <v>0</v>
      </c>
      <c r="W102" s="29">
        <f t="shared" si="23"/>
        <v>0</v>
      </c>
      <c r="X102" s="29">
        <f t="shared" si="23"/>
        <v>0</v>
      </c>
      <c r="Y102" s="29">
        <f t="shared" si="21"/>
        <v>0</v>
      </c>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row>
    <row r="103" spans="3:80">
      <c r="C103" s="7" t="s">
        <v>113</v>
      </c>
      <c r="E103" s="29">
        <f t="shared" si="23"/>
        <v>0</v>
      </c>
      <c r="F103" s="29">
        <f t="shared" si="23"/>
        <v>0</v>
      </c>
      <c r="G103" s="29">
        <f t="shared" si="23"/>
        <v>0</v>
      </c>
      <c r="H103" s="29">
        <f t="shared" si="23"/>
        <v>0</v>
      </c>
      <c r="I103" s="29">
        <f t="shared" si="23"/>
        <v>0</v>
      </c>
      <c r="J103" s="29">
        <f t="shared" si="23"/>
        <v>0</v>
      </c>
      <c r="K103" s="29">
        <f t="shared" si="23"/>
        <v>0</v>
      </c>
      <c r="L103" s="29">
        <f t="shared" si="23"/>
        <v>0</v>
      </c>
      <c r="M103" s="29">
        <f t="shared" si="23"/>
        <v>0</v>
      </c>
      <c r="N103" s="29">
        <f t="shared" si="23"/>
        <v>0</v>
      </c>
      <c r="O103" s="29">
        <f t="shared" si="23"/>
        <v>0</v>
      </c>
      <c r="P103" s="29">
        <f t="shared" si="23"/>
        <v>0</v>
      </c>
      <c r="Q103" s="29">
        <f t="shared" si="23"/>
        <v>0</v>
      </c>
      <c r="R103" s="29">
        <f t="shared" si="23"/>
        <v>0</v>
      </c>
      <c r="S103" s="29">
        <f t="shared" si="23"/>
        <v>0</v>
      </c>
      <c r="T103" s="29">
        <f t="shared" si="23"/>
        <v>0</v>
      </c>
      <c r="U103" s="29">
        <f t="shared" si="23"/>
        <v>0</v>
      </c>
      <c r="V103" s="29">
        <f t="shared" si="23"/>
        <v>0</v>
      </c>
      <c r="W103" s="29">
        <f t="shared" si="23"/>
        <v>0</v>
      </c>
      <c r="X103" s="29">
        <f t="shared" si="23"/>
        <v>0</v>
      </c>
      <c r="Y103" s="29">
        <f t="shared" si="21"/>
        <v>0</v>
      </c>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row>
    <row r="104" spans="3:80">
      <c r="C104" s="7" t="s">
        <v>116</v>
      </c>
      <c r="E104" s="29">
        <f t="shared" si="23"/>
        <v>0</v>
      </c>
      <c r="F104" s="29">
        <f t="shared" si="23"/>
        <v>0</v>
      </c>
      <c r="G104" s="29">
        <f t="shared" si="23"/>
        <v>0</v>
      </c>
      <c r="H104" s="29">
        <f t="shared" si="23"/>
        <v>0</v>
      </c>
      <c r="I104" s="29">
        <f t="shared" si="23"/>
        <v>0</v>
      </c>
      <c r="J104" s="29">
        <f t="shared" si="23"/>
        <v>0</v>
      </c>
      <c r="K104" s="29">
        <f t="shared" si="23"/>
        <v>0</v>
      </c>
      <c r="L104" s="29">
        <f t="shared" si="23"/>
        <v>0</v>
      </c>
      <c r="M104" s="29">
        <f t="shared" si="23"/>
        <v>0</v>
      </c>
      <c r="N104" s="29">
        <f t="shared" si="23"/>
        <v>0</v>
      </c>
      <c r="O104" s="29">
        <f t="shared" si="23"/>
        <v>0</v>
      </c>
      <c r="P104" s="29">
        <f t="shared" si="23"/>
        <v>0</v>
      </c>
      <c r="Q104" s="29">
        <f t="shared" si="23"/>
        <v>0</v>
      </c>
      <c r="R104" s="29">
        <f t="shared" si="23"/>
        <v>0</v>
      </c>
      <c r="S104" s="29">
        <f t="shared" si="23"/>
        <v>0</v>
      </c>
      <c r="T104" s="29">
        <f t="shared" si="23"/>
        <v>0</v>
      </c>
      <c r="U104" s="29">
        <f t="shared" si="23"/>
        <v>0</v>
      </c>
      <c r="V104" s="29">
        <f t="shared" si="23"/>
        <v>0</v>
      </c>
      <c r="W104" s="29">
        <f t="shared" si="23"/>
        <v>0</v>
      </c>
      <c r="X104" s="29">
        <f t="shared" si="23"/>
        <v>0</v>
      </c>
      <c r="Y104" s="29">
        <f t="shared" si="21"/>
        <v>0</v>
      </c>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row>
    <row r="105" spans="3:80">
      <c r="C105" s="7" t="s">
        <v>119</v>
      </c>
      <c r="E105" s="29">
        <f t="shared" si="23"/>
        <v>0</v>
      </c>
      <c r="F105" s="29">
        <f t="shared" si="23"/>
        <v>0</v>
      </c>
      <c r="G105" s="29">
        <f t="shared" si="23"/>
        <v>0</v>
      </c>
      <c r="H105" s="29">
        <f t="shared" si="23"/>
        <v>0</v>
      </c>
      <c r="I105" s="29">
        <f t="shared" si="23"/>
        <v>0</v>
      </c>
      <c r="J105" s="29">
        <f t="shared" si="23"/>
        <v>0</v>
      </c>
      <c r="K105" s="29">
        <f t="shared" si="23"/>
        <v>0</v>
      </c>
      <c r="L105" s="29">
        <f t="shared" si="23"/>
        <v>0</v>
      </c>
      <c r="M105" s="29">
        <f t="shared" si="23"/>
        <v>0</v>
      </c>
      <c r="N105" s="29">
        <f t="shared" si="23"/>
        <v>0</v>
      </c>
      <c r="O105" s="29">
        <f t="shared" si="23"/>
        <v>0</v>
      </c>
      <c r="P105" s="29">
        <f t="shared" si="23"/>
        <v>0</v>
      </c>
      <c r="Q105" s="29">
        <f t="shared" si="23"/>
        <v>0</v>
      </c>
      <c r="R105" s="29">
        <f t="shared" si="23"/>
        <v>0</v>
      </c>
      <c r="S105" s="29">
        <f t="shared" si="23"/>
        <v>0</v>
      </c>
      <c r="T105" s="29">
        <f t="shared" si="23"/>
        <v>0</v>
      </c>
      <c r="U105" s="29">
        <f t="shared" si="23"/>
        <v>0</v>
      </c>
      <c r="V105" s="29">
        <f t="shared" si="23"/>
        <v>0</v>
      </c>
      <c r="W105" s="29">
        <f t="shared" si="23"/>
        <v>0</v>
      </c>
      <c r="X105" s="29">
        <f t="shared" si="23"/>
        <v>0</v>
      </c>
      <c r="Y105" s="29">
        <f t="shared" si="21"/>
        <v>0</v>
      </c>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row>
    <row r="106" spans="3:80">
      <c r="C106" s="7" t="s">
        <v>122</v>
      </c>
      <c r="E106" s="29">
        <f t="shared" si="23"/>
        <v>0</v>
      </c>
      <c r="F106" s="29">
        <f t="shared" si="23"/>
        <v>0</v>
      </c>
      <c r="G106" s="29">
        <f t="shared" si="23"/>
        <v>0</v>
      </c>
      <c r="H106" s="29">
        <f t="shared" si="23"/>
        <v>0</v>
      </c>
      <c r="I106" s="29">
        <f t="shared" si="23"/>
        <v>0</v>
      </c>
      <c r="J106" s="29">
        <f t="shared" si="23"/>
        <v>0</v>
      </c>
      <c r="K106" s="29">
        <f t="shared" si="23"/>
        <v>0</v>
      </c>
      <c r="L106" s="29">
        <f t="shared" si="23"/>
        <v>0</v>
      </c>
      <c r="M106" s="29">
        <f t="shared" si="23"/>
        <v>0</v>
      </c>
      <c r="N106" s="29">
        <f t="shared" si="23"/>
        <v>0</v>
      </c>
      <c r="O106" s="29">
        <f t="shared" si="23"/>
        <v>0</v>
      </c>
      <c r="P106" s="29">
        <f t="shared" si="23"/>
        <v>0</v>
      </c>
      <c r="Q106" s="29">
        <f t="shared" si="23"/>
        <v>0</v>
      </c>
      <c r="R106" s="29">
        <f t="shared" si="23"/>
        <v>0</v>
      </c>
      <c r="S106" s="29">
        <f t="shared" si="23"/>
        <v>0</v>
      </c>
      <c r="T106" s="29">
        <f t="shared" si="23"/>
        <v>0</v>
      </c>
      <c r="U106" s="29">
        <f t="shared" si="23"/>
        <v>0</v>
      </c>
      <c r="V106" s="29">
        <f t="shared" si="23"/>
        <v>0</v>
      </c>
      <c r="W106" s="29">
        <f t="shared" si="23"/>
        <v>0</v>
      </c>
      <c r="X106" s="29">
        <f t="shared" si="23"/>
        <v>0</v>
      </c>
      <c r="Y106" s="29">
        <f t="shared" si="21"/>
        <v>0</v>
      </c>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row>
    <row r="107" spans="3:80">
      <c r="C107" s="7" t="s">
        <v>125</v>
      </c>
      <c r="E107" s="29">
        <f t="shared" si="23"/>
        <v>0</v>
      </c>
      <c r="F107" s="29">
        <f t="shared" si="23"/>
        <v>0</v>
      </c>
      <c r="G107" s="29">
        <f t="shared" si="23"/>
        <v>0</v>
      </c>
      <c r="H107" s="29">
        <f t="shared" si="23"/>
        <v>0</v>
      </c>
      <c r="I107" s="29">
        <f t="shared" si="23"/>
        <v>0</v>
      </c>
      <c r="J107" s="29">
        <f t="shared" si="23"/>
        <v>0</v>
      </c>
      <c r="K107" s="29">
        <f t="shared" si="23"/>
        <v>0</v>
      </c>
      <c r="L107" s="29">
        <f t="shared" si="23"/>
        <v>0</v>
      </c>
      <c r="M107" s="29">
        <f t="shared" si="23"/>
        <v>0</v>
      </c>
      <c r="N107" s="29">
        <f t="shared" si="23"/>
        <v>0</v>
      </c>
      <c r="O107" s="29">
        <f t="shared" si="23"/>
        <v>0</v>
      </c>
      <c r="P107" s="29">
        <f t="shared" si="23"/>
        <v>0</v>
      </c>
      <c r="Q107" s="29">
        <f t="shared" si="23"/>
        <v>0</v>
      </c>
      <c r="R107" s="29">
        <f t="shared" si="23"/>
        <v>0</v>
      </c>
      <c r="S107" s="29">
        <f t="shared" si="23"/>
        <v>0</v>
      </c>
      <c r="T107" s="29">
        <f t="shared" si="23"/>
        <v>0</v>
      </c>
      <c r="U107" s="29">
        <f t="shared" si="23"/>
        <v>0</v>
      </c>
      <c r="V107" s="29">
        <f t="shared" si="23"/>
        <v>0</v>
      </c>
      <c r="W107" s="29">
        <f t="shared" si="23"/>
        <v>0</v>
      </c>
      <c r="X107" s="29">
        <f t="shared" si="23"/>
        <v>0</v>
      </c>
      <c r="Y107" s="29">
        <f t="shared" si="21"/>
        <v>0</v>
      </c>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row>
    <row r="108" spans="3:80">
      <c r="C108" s="7" t="s">
        <v>128</v>
      </c>
      <c r="E108" s="29">
        <f>E71-E70</f>
        <v>0</v>
      </c>
      <c r="F108" s="29">
        <f t="shared" si="23"/>
        <v>0</v>
      </c>
      <c r="G108" s="29">
        <f t="shared" si="23"/>
        <v>0</v>
      </c>
      <c r="H108" s="29">
        <f t="shared" si="23"/>
        <v>0</v>
      </c>
      <c r="I108" s="29">
        <f t="shared" si="23"/>
        <v>0</v>
      </c>
      <c r="J108" s="29">
        <f t="shared" si="23"/>
        <v>0</v>
      </c>
      <c r="K108" s="29">
        <f t="shared" si="23"/>
        <v>0</v>
      </c>
      <c r="L108" s="29">
        <f t="shared" si="23"/>
        <v>0</v>
      </c>
      <c r="M108" s="29">
        <f t="shared" si="23"/>
        <v>0</v>
      </c>
      <c r="N108" s="29">
        <f t="shared" si="23"/>
        <v>0</v>
      </c>
      <c r="O108" s="29">
        <f t="shared" si="23"/>
        <v>0</v>
      </c>
      <c r="P108" s="29">
        <f t="shared" si="23"/>
        <v>0</v>
      </c>
      <c r="Q108" s="29">
        <f t="shared" si="23"/>
        <v>0</v>
      </c>
      <c r="R108" s="29">
        <f t="shared" si="23"/>
        <v>0</v>
      </c>
      <c r="S108" s="29">
        <f t="shared" si="23"/>
        <v>0</v>
      </c>
      <c r="T108" s="29">
        <f t="shared" si="23"/>
        <v>0</v>
      </c>
      <c r="U108" s="29">
        <f t="shared" si="23"/>
        <v>0</v>
      </c>
      <c r="V108" s="29">
        <f t="shared" si="23"/>
        <v>0</v>
      </c>
      <c r="W108" s="29">
        <f t="shared" si="23"/>
        <v>0</v>
      </c>
      <c r="X108" s="29">
        <f t="shared" si="23"/>
        <v>0</v>
      </c>
      <c r="Y108" s="29">
        <f t="shared" si="21"/>
        <v>0</v>
      </c>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row>
    <row r="109" spans="3:80">
      <c r="C109" s="7" t="s">
        <v>372</v>
      </c>
      <c r="E109" s="29">
        <f t="shared" ref="E109:T119" si="24">E72-E71</f>
        <v>0</v>
      </c>
      <c r="F109" s="29">
        <f t="shared" si="24"/>
        <v>0</v>
      </c>
      <c r="G109" s="29">
        <f t="shared" si="24"/>
        <v>0</v>
      </c>
      <c r="H109" s="29">
        <f t="shared" si="24"/>
        <v>0</v>
      </c>
      <c r="I109" s="29">
        <f t="shared" si="24"/>
        <v>0</v>
      </c>
      <c r="J109" s="29">
        <f t="shared" si="24"/>
        <v>0</v>
      </c>
      <c r="K109" s="29">
        <f t="shared" si="24"/>
        <v>0</v>
      </c>
      <c r="L109" s="29">
        <f t="shared" si="24"/>
        <v>0</v>
      </c>
      <c r="M109" s="29">
        <f t="shared" si="24"/>
        <v>0</v>
      </c>
      <c r="N109" s="29">
        <f t="shared" si="24"/>
        <v>0</v>
      </c>
      <c r="O109" s="29">
        <f t="shared" si="24"/>
        <v>0</v>
      </c>
      <c r="P109" s="29">
        <f t="shared" si="24"/>
        <v>0</v>
      </c>
      <c r="Q109" s="29">
        <f t="shared" si="24"/>
        <v>0</v>
      </c>
      <c r="R109" s="29">
        <f t="shared" si="24"/>
        <v>0</v>
      </c>
      <c r="S109" s="29">
        <f t="shared" si="24"/>
        <v>0</v>
      </c>
      <c r="T109" s="29">
        <f t="shared" si="24"/>
        <v>0</v>
      </c>
      <c r="U109" s="29">
        <f t="shared" si="23"/>
        <v>0</v>
      </c>
      <c r="V109" s="29">
        <f t="shared" si="23"/>
        <v>0</v>
      </c>
      <c r="W109" s="29">
        <f t="shared" si="23"/>
        <v>0</v>
      </c>
      <c r="X109" s="29">
        <f t="shared" si="23"/>
        <v>0</v>
      </c>
      <c r="Y109" s="29">
        <f t="shared" si="21"/>
        <v>0</v>
      </c>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row>
    <row r="110" spans="3:80">
      <c r="C110" s="7" t="s">
        <v>373</v>
      </c>
      <c r="E110" s="29">
        <f t="shared" si="24"/>
        <v>0</v>
      </c>
      <c r="F110" s="29">
        <f t="shared" si="23"/>
        <v>0</v>
      </c>
      <c r="G110" s="29">
        <f t="shared" si="23"/>
        <v>0</v>
      </c>
      <c r="H110" s="29">
        <f t="shared" si="23"/>
        <v>0</v>
      </c>
      <c r="I110" s="29">
        <f t="shared" si="23"/>
        <v>0</v>
      </c>
      <c r="J110" s="29">
        <f t="shared" si="23"/>
        <v>0</v>
      </c>
      <c r="K110" s="29">
        <f t="shared" si="23"/>
        <v>0</v>
      </c>
      <c r="L110" s="29">
        <f t="shared" si="23"/>
        <v>0</v>
      </c>
      <c r="M110" s="29">
        <f t="shared" si="23"/>
        <v>0</v>
      </c>
      <c r="N110" s="29">
        <f t="shared" si="23"/>
        <v>0</v>
      </c>
      <c r="O110" s="29">
        <f t="shared" si="23"/>
        <v>0</v>
      </c>
      <c r="P110" s="29">
        <f t="shared" si="23"/>
        <v>0</v>
      </c>
      <c r="Q110" s="29">
        <f t="shared" si="23"/>
        <v>0</v>
      </c>
      <c r="R110" s="29">
        <f t="shared" si="23"/>
        <v>0</v>
      </c>
      <c r="S110" s="29">
        <f t="shared" si="23"/>
        <v>0</v>
      </c>
      <c r="T110" s="29">
        <f t="shared" si="23"/>
        <v>0</v>
      </c>
      <c r="U110" s="29">
        <f t="shared" si="23"/>
        <v>0</v>
      </c>
      <c r="V110" s="29">
        <f t="shared" si="23"/>
        <v>0</v>
      </c>
      <c r="W110" s="29">
        <f t="shared" si="23"/>
        <v>0</v>
      </c>
      <c r="X110" s="29">
        <f t="shared" si="23"/>
        <v>0</v>
      </c>
      <c r="Y110" s="29">
        <f t="shared" si="21"/>
        <v>0</v>
      </c>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row>
    <row r="111" spans="3:80">
      <c r="C111" s="7" t="s">
        <v>374</v>
      </c>
      <c r="E111" s="29">
        <f t="shared" si="24"/>
        <v>0</v>
      </c>
      <c r="F111" s="29">
        <f t="shared" si="23"/>
        <v>0</v>
      </c>
      <c r="G111" s="29">
        <f t="shared" si="23"/>
        <v>0</v>
      </c>
      <c r="H111" s="29">
        <f t="shared" si="23"/>
        <v>0</v>
      </c>
      <c r="I111" s="29">
        <f t="shared" si="23"/>
        <v>0</v>
      </c>
      <c r="J111" s="29">
        <f t="shared" si="23"/>
        <v>0</v>
      </c>
      <c r="K111" s="29">
        <f t="shared" si="23"/>
        <v>0</v>
      </c>
      <c r="L111" s="29">
        <f t="shared" si="23"/>
        <v>0</v>
      </c>
      <c r="M111" s="29">
        <f t="shared" si="23"/>
        <v>0</v>
      </c>
      <c r="N111" s="29">
        <f t="shared" si="23"/>
        <v>0</v>
      </c>
      <c r="O111" s="29">
        <f t="shared" si="23"/>
        <v>0</v>
      </c>
      <c r="P111" s="29">
        <f t="shared" si="23"/>
        <v>0</v>
      </c>
      <c r="Q111" s="29">
        <f t="shared" si="23"/>
        <v>0</v>
      </c>
      <c r="R111" s="29">
        <f t="shared" si="23"/>
        <v>0</v>
      </c>
      <c r="S111" s="29">
        <f t="shared" si="23"/>
        <v>0</v>
      </c>
      <c r="T111" s="29">
        <f t="shared" si="23"/>
        <v>0</v>
      </c>
      <c r="U111" s="29">
        <f t="shared" si="23"/>
        <v>0</v>
      </c>
      <c r="V111" s="29">
        <f t="shared" si="23"/>
        <v>0</v>
      </c>
      <c r="W111" s="29">
        <f t="shared" si="23"/>
        <v>0</v>
      </c>
      <c r="X111" s="29">
        <f t="shared" si="23"/>
        <v>0</v>
      </c>
      <c r="Y111" s="29">
        <f t="shared" si="21"/>
        <v>0</v>
      </c>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row>
    <row r="112" spans="3:80">
      <c r="C112" s="7" t="s">
        <v>375</v>
      </c>
      <c r="E112" s="29">
        <f t="shared" si="24"/>
        <v>0</v>
      </c>
      <c r="F112" s="29">
        <f t="shared" si="23"/>
        <v>0</v>
      </c>
      <c r="G112" s="29">
        <f t="shared" si="23"/>
        <v>0</v>
      </c>
      <c r="H112" s="29">
        <f t="shared" si="23"/>
        <v>0</v>
      </c>
      <c r="I112" s="29">
        <f t="shared" si="23"/>
        <v>0</v>
      </c>
      <c r="J112" s="29">
        <f t="shared" si="23"/>
        <v>0</v>
      </c>
      <c r="K112" s="29">
        <f t="shared" si="23"/>
        <v>0</v>
      </c>
      <c r="L112" s="29">
        <f t="shared" si="23"/>
        <v>0</v>
      </c>
      <c r="M112" s="29">
        <f t="shared" si="23"/>
        <v>0</v>
      </c>
      <c r="N112" s="29">
        <f t="shared" si="23"/>
        <v>0</v>
      </c>
      <c r="O112" s="29">
        <f t="shared" si="23"/>
        <v>0</v>
      </c>
      <c r="P112" s="29">
        <f t="shared" si="23"/>
        <v>0</v>
      </c>
      <c r="Q112" s="29">
        <f t="shared" si="23"/>
        <v>0</v>
      </c>
      <c r="R112" s="29">
        <f t="shared" si="23"/>
        <v>0</v>
      </c>
      <c r="S112" s="29">
        <f t="shared" si="23"/>
        <v>0</v>
      </c>
      <c r="T112" s="29">
        <f t="shared" si="23"/>
        <v>0</v>
      </c>
      <c r="U112" s="29">
        <f t="shared" si="23"/>
        <v>0</v>
      </c>
      <c r="V112" s="29">
        <f t="shared" si="23"/>
        <v>0</v>
      </c>
      <c r="W112" s="29">
        <f t="shared" si="23"/>
        <v>0</v>
      </c>
      <c r="X112" s="29">
        <f t="shared" si="23"/>
        <v>0</v>
      </c>
      <c r="Y112" s="29">
        <f t="shared" si="21"/>
        <v>0</v>
      </c>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row>
    <row r="113" spans="1:80">
      <c r="C113" s="7" t="s">
        <v>376</v>
      </c>
      <c r="E113" s="29">
        <f t="shared" si="24"/>
        <v>0</v>
      </c>
      <c r="F113" s="29">
        <f t="shared" si="23"/>
        <v>0</v>
      </c>
      <c r="G113" s="29">
        <f t="shared" si="23"/>
        <v>0</v>
      </c>
      <c r="H113" s="29">
        <f t="shared" si="23"/>
        <v>0</v>
      </c>
      <c r="I113" s="29">
        <f t="shared" si="23"/>
        <v>0</v>
      </c>
      <c r="J113" s="29">
        <f t="shared" si="23"/>
        <v>0</v>
      </c>
      <c r="K113" s="29">
        <f t="shared" si="23"/>
        <v>0</v>
      </c>
      <c r="L113" s="29">
        <f t="shared" si="23"/>
        <v>0</v>
      </c>
      <c r="M113" s="29">
        <f t="shared" si="23"/>
        <v>0</v>
      </c>
      <c r="N113" s="29">
        <f t="shared" si="23"/>
        <v>0</v>
      </c>
      <c r="O113" s="29">
        <f t="shared" si="23"/>
        <v>0</v>
      </c>
      <c r="P113" s="29">
        <f t="shared" si="23"/>
        <v>0</v>
      </c>
      <c r="Q113" s="29">
        <f t="shared" si="23"/>
        <v>0</v>
      </c>
      <c r="R113" s="29">
        <f t="shared" si="23"/>
        <v>0</v>
      </c>
      <c r="S113" s="29">
        <f t="shared" si="23"/>
        <v>0</v>
      </c>
      <c r="T113" s="29">
        <f t="shared" si="23"/>
        <v>0</v>
      </c>
      <c r="U113" s="29">
        <f t="shared" si="23"/>
        <v>0</v>
      </c>
      <c r="V113" s="29">
        <f t="shared" si="23"/>
        <v>0</v>
      </c>
      <c r="W113" s="29">
        <f t="shared" si="23"/>
        <v>0</v>
      </c>
      <c r="X113" s="29">
        <f t="shared" si="23"/>
        <v>0</v>
      </c>
      <c r="Y113" s="29">
        <f t="shared" si="21"/>
        <v>0</v>
      </c>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row>
    <row r="114" spans="1:80">
      <c r="C114" s="7" t="s">
        <v>377</v>
      </c>
      <c r="E114" s="29">
        <f t="shared" si="24"/>
        <v>0</v>
      </c>
      <c r="F114" s="29">
        <f t="shared" si="23"/>
        <v>0</v>
      </c>
      <c r="G114" s="29">
        <f t="shared" si="23"/>
        <v>0</v>
      </c>
      <c r="H114" s="29">
        <f t="shared" si="23"/>
        <v>0</v>
      </c>
      <c r="I114" s="29">
        <f t="shared" si="23"/>
        <v>0</v>
      </c>
      <c r="J114" s="29">
        <f t="shared" si="23"/>
        <v>0</v>
      </c>
      <c r="K114" s="29">
        <f t="shared" si="23"/>
        <v>0</v>
      </c>
      <c r="L114" s="29">
        <f t="shared" si="23"/>
        <v>0</v>
      </c>
      <c r="M114" s="29">
        <f t="shared" si="23"/>
        <v>0</v>
      </c>
      <c r="N114" s="29">
        <f t="shared" si="23"/>
        <v>0</v>
      </c>
      <c r="O114" s="29">
        <f t="shared" si="23"/>
        <v>0</v>
      </c>
      <c r="P114" s="29">
        <f t="shared" si="23"/>
        <v>0</v>
      </c>
      <c r="Q114" s="29">
        <f t="shared" si="23"/>
        <v>0</v>
      </c>
      <c r="R114" s="29">
        <f t="shared" si="23"/>
        <v>0</v>
      </c>
      <c r="S114" s="29">
        <f t="shared" si="23"/>
        <v>0</v>
      </c>
      <c r="T114" s="29">
        <f t="shared" si="23"/>
        <v>0</v>
      </c>
      <c r="U114" s="29">
        <f t="shared" si="23"/>
        <v>0</v>
      </c>
      <c r="V114" s="29">
        <f t="shared" si="23"/>
        <v>0</v>
      </c>
      <c r="W114" s="29">
        <f t="shared" si="23"/>
        <v>0</v>
      </c>
      <c r="X114" s="29">
        <f t="shared" si="23"/>
        <v>0</v>
      </c>
      <c r="Y114" s="29">
        <f t="shared" si="21"/>
        <v>0</v>
      </c>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row>
    <row r="115" spans="1:80">
      <c r="C115" s="7" t="s">
        <v>378</v>
      </c>
      <c r="E115" s="29">
        <f t="shared" si="24"/>
        <v>0</v>
      </c>
      <c r="F115" s="29">
        <f t="shared" si="23"/>
        <v>0</v>
      </c>
      <c r="G115" s="29">
        <f t="shared" si="23"/>
        <v>0</v>
      </c>
      <c r="H115" s="29">
        <f t="shared" si="23"/>
        <v>0</v>
      </c>
      <c r="I115" s="29">
        <f t="shared" si="23"/>
        <v>0</v>
      </c>
      <c r="J115" s="29">
        <f t="shared" si="23"/>
        <v>0</v>
      </c>
      <c r="K115" s="29">
        <f t="shared" si="23"/>
        <v>0</v>
      </c>
      <c r="L115" s="29">
        <f t="shared" si="23"/>
        <v>0</v>
      </c>
      <c r="M115" s="29">
        <f t="shared" si="23"/>
        <v>0</v>
      </c>
      <c r="N115" s="29">
        <f t="shared" si="23"/>
        <v>0</v>
      </c>
      <c r="O115" s="29">
        <f t="shared" si="23"/>
        <v>0</v>
      </c>
      <c r="P115" s="29">
        <f t="shared" si="23"/>
        <v>0</v>
      </c>
      <c r="Q115" s="29">
        <f t="shared" si="23"/>
        <v>0</v>
      </c>
      <c r="R115" s="29">
        <f t="shared" si="23"/>
        <v>0</v>
      </c>
      <c r="S115" s="29">
        <f t="shared" si="23"/>
        <v>0</v>
      </c>
      <c r="T115" s="29">
        <f t="shared" si="23"/>
        <v>0</v>
      </c>
      <c r="U115" s="29">
        <f t="shared" si="23"/>
        <v>0</v>
      </c>
      <c r="V115" s="29">
        <f t="shared" si="23"/>
        <v>0</v>
      </c>
      <c r="W115" s="29">
        <f t="shared" ref="F115:X119" si="25">W78-W77</f>
        <v>0</v>
      </c>
      <c r="X115" s="29">
        <f t="shared" si="25"/>
        <v>0</v>
      </c>
      <c r="Y115" s="29">
        <f t="shared" si="21"/>
        <v>0</v>
      </c>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row>
    <row r="116" spans="1:80">
      <c r="C116" s="7" t="s">
        <v>379</v>
      </c>
      <c r="E116" s="29">
        <f t="shared" si="24"/>
        <v>0</v>
      </c>
      <c r="F116" s="29">
        <f t="shared" si="25"/>
        <v>0</v>
      </c>
      <c r="G116" s="29">
        <f t="shared" si="25"/>
        <v>0</v>
      </c>
      <c r="H116" s="29">
        <f t="shared" si="25"/>
        <v>0</v>
      </c>
      <c r="I116" s="29">
        <f t="shared" si="25"/>
        <v>0</v>
      </c>
      <c r="J116" s="29">
        <f t="shared" si="25"/>
        <v>0</v>
      </c>
      <c r="K116" s="29">
        <f t="shared" si="25"/>
        <v>0</v>
      </c>
      <c r="L116" s="29">
        <f t="shared" si="25"/>
        <v>0</v>
      </c>
      <c r="M116" s="29">
        <f t="shared" si="25"/>
        <v>0</v>
      </c>
      <c r="N116" s="29">
        <f t="shared" si="25"/>
        <v>0</v>
      </c>
      <c r="O116" s="29">
        <f t="shared" si="25"/>
        <v>0</v>
      </c>
      <c r="P116" s="29">
        <f t="shared" si="25"/>
        <v>0</v>
      </c>
      <c r="Q116" s="29">
        <f t="shared" si="25"/>
        <v>0</v>
      </c>
      <c r="R116" s="29">
        <f t="shared" si="25"/>
        <v>0</v>
      </c>
      <c r="S116" s="29">
        <f t="shared" si="25"/>
        <v>0</v>
      </c>
      <c r="T116" s="29">
        <f t="shared" si="25"/>
        <v>0</v>
      </c>
      <c r="U116" s="29">
        <f t="shared" si="25"/>
        <v>0</v>
      </c>
      <c r="V116" s="29">
        <f t="shared" si="25"/>
        <v>0</v>
      </c>
      <c r="W116" s="29">
        <f t="shared" si="25"/>
        <v>0</v>
      </c>
      <c r="X116" s="29">
        <f t="shared" si="25"/>
        <v>0</v>
      </c>
      <c r="Y116" s="29">
        <f t="shared" si="21"/>
        <v>0</v>
      </c>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row>
    <row r="117" spans="1:80">
      <c r="C117" s="7" t="s">
        <v>380</v>
      </c>
      <c r="E117" s="29">
        <f t="shared" si="24"/>
        <v>0</v>
      </c>
      <c r="F117" s="29">
        <f t="shared" si="25"/>
        <v>0</v>
      </c>
      <c r="G117" s="29">
        <f t="shared" si="25"/>
        <v>0</v>
      </c>
      <c r="H117" s="29">
        <f t="shared" si="25"/>
        <v>0</v>
      </c>
      <c r="I117" s="29">
        <f t="shared" si="25"/>
        <v>0</v>
      </c>
      <c r="J117" s="29">
        <f t="shared" si="25"/>
        <v>0</v>
      </c>
      <c r="K117" s="29">
        <f t="shared" si="25"/>
        <v>0</v>
      </c>
      <c r="L117" s="29">
        <f t="shared" si="25"/>
        <v>0</v>
      </c>
      <c r="M117" s="29">
        <f t="shared" si="25"/>
        <v>0</v>
      </c>
      <c r="N117" s="29">
        <f t="shared" si="25"/>
        <v>0</v>
      </c>
      <c r="O117" s="29">
        <f t="shared" si="25"/>
        <v>0</v>
      </c>
      <c r="P117" s="29">
        <f t="shared" si="25"/>
        <v>0</v>
      </c>
      <c r="Q117" s="29">
        <f t="shared" si="25"/>
        <v>0</v>
      </c>
      <c r="R117" s="29">
        <f t="shared" si="25"/>
        <v>0</v>
      </c>
      <c r="S117" s="29">
        <f t="shared" si="25"/>
        <v>0</v>
      </c>
      <c r="T117" s="29">
        <f t="shared" si="25"/>
        <v>0</v>
      </c>
      <c r="U117" s="29">
        <f t="shared" si="25"/>
        <v>0</v>
      </c>
      <c r="V117" s="29">
        <f t="shared" si="25"/>
        <v>0</v>
      </c>
      <c r="W117" s="29">
        <f t="shared" si="25"/>
        <v>0</v>
      </c>
      <c r="X117" s="29">
        <f t="shared" si="25"/>
        <v>0</v>
      </c>
      <c r="Y117" s="29">
        <f t="shared" si="21"/>
        <v>0</v>
      </c>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row>
    <row r="118" spans="1:80">
      <c r="C118" s="7" t="s">
        <v>381</v>
      </c>
      <c r="E118" s="29">
        <f t="shared" si="24"/>
        <v>0</v>
      </c>
      <c r="F118" s="29">
        <f t="shared" si="25"/>
        <v>0</v>
      </c>
      <c r="G118" s="29">
        <f t="shared" si="25"/>
        <v>0</v>
      </c>
      <c r="H118" s="29">
        <f t="shared" si="25"/>
        <v>0</v>
      </c>
      <c r="I118" s="29">
        <f t="shared" si="25"/>
        <v>0</v>
      </c>
      <c r="J118" s="29">
        <f t="shared" si="25"/>
        <v>0</v>
      </c>
      <c r="K118" s="29">
        <f t="shared" si="25"/>
        <v>0</v>
      </c>
      <c r="L118" s="29">
        <f t="shared" si="25"/>
        <v>0</v>
      </c>
      <c r="M118" s="29">
        <f t="shared" si="25"/>
        <v>0</v>
      </c>
      <c r="N118" s="29">
        <f t="shared" si="25"/>
        <v>0</v>
      </c>
      <c r="O118" s="29">
        <f t="shared" si="25"/>
        <v>0</v>
      </c>
      <c r="P118" s="29">
        <f t="shared" si="25"/>
        <v>0</v>
      </c>
      <c r="Q118" s="29">
        <f t="shared" si="25"/>
        <v>0</v>
      </c>
      <c r="R118" s="29">
        <f t="shared" si="25"/>
        <v>0</v>
      </c>
      <c r="S118" s="29">
        <f t="shared" si="25"/>
        <v>0</v>
      </c>
      <c r="T118" s="29">
        <f t="shared" si="25"/>
        <v>0</v>
      </c>
      <c r="U118" s="29">
        <f t="shared" si="25"/>
        <v>0</v>
      </c>
      <c r="V118" s="29">
        <f t="shared" si="25"/>
        <v>0</v>
      </c>
      <c r="W118" s="29">
        <f t="shared" si="25"/>
        <v>0</v>
      </c>
      <c r="X118" s="29">
        <f t="shared" si="25"/>
        <v>0</v>
      </c>
      <c r="Y118" s="29">
        <f t="shared" si="21"/>
        <v>0</v>
      </c>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row>
    <row r="119" spans="1:80">
      <c r="C119" s="7" t="s">
        <v>382</v>
      </c>
      <c r="E119" s="29">
        <f t="shared" si="24"/>
        <v>0</v>
      </c>
      <c r="F119" s="29">
        <f t="shared" si="25"/>
        <v>0</v>
      </c>
      <c r="G119" s="29">
        <f t="shared" si="25"/>
        <v>0</v>
      </c>
      <c r="H119" s="29">
        <f t="shared" si="25"/>
        <v>0</v>
      </c>
      <c r="I119" s="29">
        <f t="shared" si="25"/>
        <v>0</v>
      </c>
      <c r="J119" s="29">
        <f t="shared" si="25"/>
        <v>0</v>
      </c>
      <c r="K119" s="29">
        <f t="shared" si="25"/>
        <v>0</v>
      </c>
      <c r="L119" s="29">
        <f t="shared" si="25"/>
        <v>0</v>
      </c>
      <c r="M119" s="29">
        <f t="shared" si="25"/>
        <v>0</v>
      </c>
      <c r="N119" s="29">
        <f t="shared" si="25"/>
        <v>0</v>
      </c>
      <c r="O119" s="29">
        <f t="shared" si="25"/>
        <v>0</v>
      </c>
      <c r="P119" s="29">
        <f t="shared" si="25"/>
        <v>0</v>
      </c>
      <c r="Q119" s="29">
        <f t="shared" si="25"/>
        <v>0</v>
      </c>
      <c r="R119" s="29">
        <f t="shared" si="25"/>
        <v>0</v>
      </c>
      <c r="S119" s="29">
        <f t="shared" si="25"/>
        <v>0</v>
      </c>
      <c r="T119" s="29">
        <f t="shared" si="25"/>
        <v>0</v>
      </c>
      <c r="U119" s="29">
        <f t="shared" si="25"/>
        <v>0</v>
      </c>
      <c r="V119" s="29">
        <f t="shared" si="25"/>
        <v>0</v>
      </c>
      <c r="W119" s="29">
        <f t="shared" si="25"/>
        <v>0</v>
      </c>
      <c r="X119" s="29">
        <f t="shared" si="25"/>
        <v>0</v>
      </c>
      <c r="Y119" s="29">
        <f>SUM(E119:X119)</f>
        <v>0</v>
      </c>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row>
    <row r="120" spans="1:8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row>
    <row r="121" spans="1:80" ht="15">
      <c r="C121" s="65" t="s">
        <v>135</v>
      </c>
      <c r="D121" s="66"/>
      <c r="E121" s="66">
        <f t="shared" ref="E121:W121" si="26">SUM(E88:E119)</f>
        <v>0</v>
      </c>
      <c r="F121" s="66">
        <f t="shared" si="26"/>
        <v>0</v>
      </c>
      <c r="G121" s="66">
        <f t="shared" si="26"/>
        <v>0</v>
      </c>
      <c r="H121" s="66">
        <f t="shared" si="26"/>
        <v>0</v>
      </c>
      <c r="I121" s="66">
        <f t="shared" si="26"/>
        <v>0</v>
      </c>
      <c r="J121" s="66">
        <f t="shared" si="26"/>
        <v>0</v>
      </c>
      <c r="K121" s="66">
        <f t="shared" si="26"/>
        <v>0</v>
      </c>
      <c r="L121" s="66">
        <f t="shared" si="26"/>
        <v>0</v>
      </c>
      <c r="M121" s="66">
        <f t="shared" si="26"/>
        <v>0</v>
      </c>
      <c r="N121" s="66">
        <f t="shared" si="26"/>
        <v>0</v>
      </c>
      <c r="O121" s="66">
        <f t="shared" si="26"/>
        <v>0</v>
      </c>
      <c r="P121" s="66">
        <f t="shared" si="26"/>
        <v>0</v>
      </c>
      <c r="Q121" s="66">
        <f t="shared" si="26"/>
        <v>0</v>
      </c>
      <c r="R121" s="66">
        <f t="shared" si="26"/>
        <v>0</v>
      </c>
      <c r="S121" s="66">
        <f t="shared" si="26"/>
        <v>0</v>
      </c>
      <c r="T121" s="66">
        <f t="shared" si="26"/>
        <v>0</v>
      </c>
      <c r="U121" s="66">
        <f t="shared" si="26"/>
        <v>0</v>
      </c>
      <c r="V121" s="66">
        <f t="shared" si="26"/>
        <v>0</v>
      </c>
      <c r="W121" s="66">
        <f t="shared" si="26"/>
        <v>0</v>
      </c>
      <c r="X121" s="66">
        <f>SUM(X88:X119)</f>
        <v>0</v>
      </c>
      <c r="Y121" s="66"/>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row>
    <row r="122" spans="1:80" ht="15">
      <c r="C122" s="65" t="s">
        <v>136</v>
      </c>
      <c r="D122" s="66"/>
      <c r="E122" s="66">
        <f>E121</f>
        <v>0</v>
      </c>
      <c r="F122" s="66">
        <f t="shared" ref="F122:X122" si="27">E122+F121</f>
        <v>0</v>
      </c>
      <c r="G122" s="66">
        <f t="shared" si="27"/>
        <v>0</v>
      </c>
      <c r="H122" s="66">
        <f t="shared" si="27"/>
        <v>0</v>
      </c>
      <c r="I122" s="66">
        <f t="shared" si="27"/>
        <v>0</v>
      </c>
      <c r="J122" s="66">
        <f t="shared" si="27"/>
        <v>0</v>
      </c>
      <c r="K122" s="66">
        <f t="shared" si="27"/>
        <v>0</v>
      </c>
      <c r="L122" s="66">
        <f t="shared" si="27"/>
        <v>0</v>
      </c>
      <c r="M122" s="66">
        <f t="shared" si="27"/>
        <v>0</v>
      </c>
      <c r="N122" s="66">
        <f t="shared" si="27"/>
        <v>0</v>
      </c>
      <c r="O122" s="66">
        <f t="shared" si="27"/>
        <v>0</v>
      </c>
      <c r="P122" s="66">
        <f t="shared" si="27"/>
        <v>0</v>
      </c>
      <c r="Q122" s="66">
        <f t="shared" si="27"/>
        <v>0</v>
      </c>
      <c r="R122" s="66">
        <f t="shared" si="27"/>
        <v>0</v>
      </c>
      <c r="S122" s="66">
        <f t="shared" si="27"/>
        <v>0</v>
      </c>
      <c r="T122" s="66">
        <f t="shared" si="27"/>
        <v>0</v>
      </c>
      <c r="U122" s="66">
        <f t="shared" si="27"/>
        <v>0</v>
      </c>
      <c r="V122" s="66">
        <f t="shared" si="27"/>
        <v>0</v>
      </c>
      <c r="W122" s="66">
        <f t="shared" si="27"/>
        <v>0</v>
      </c>
      <c r="X122" s="66">
        <f t="shared" si="27"/>
        <v>0</v>
      </c>
      <c r="Y122" s="66">
        <f>SUM(Y88:Y119)</f>
        <v>0</v>
      </c>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row>
    <row r="125" spans="1:80">
      <c r="A125" s="7" t="s">
        <v>812</v>
      </c>
    </row>
    <row r="127" spans="1:80">
      <c r="E127" s="35"/>
      <c r="F127" s="35"/>
      <c r="G127" s="35"/>
      <c r="H127" s="35"/>
      <c r="I127" s="35"/>
      <c r="J127" s="35"/>
      <c r="K127" s="35"/>
      <c r="L127" s="35"/>
      <c r="M127" s="35"/>
      <c r="N127" s="35"/>
      <c r="O127" s="35"/>
      <c r="P127" s="35"/>
      <c r="Q127" s="35"/>
      <c r="R127" s="35"/>
      <c r="S127" s="35"/>
      <c r="T127" s="35"/>
      <c r="U127" s="35"/>
      <c r="V127" s="35"/>
      <c r="W127" s="35"/>
      <c r="X127" s="35"/>
      <c r="Y127" s="35"/>
    </row>
    <row r="128" spans="1:80">
      <c r="E128" s="35"/>
      <c r="F128" s="35"/>
      <c r="G128" s="35"/>
      <c r="H128" s="35"/>
      <c r="I128" s="35"/>
      <c r="J128" s="35"/>
      <c r="K128" s="35"/>
      <c r="L128" s="35"/>
      <c r="M128" s="35"/>
      <c r="N128" s="35"/>
      <c r="O128" s="35"/>
      <c r="P128" s="35"/>
      <c r="Q128" s="35"/>
      <c r="R128" s="35"/>
      <c r="S128" s="35"/>
      <c r="T128" s="35"/>
      <c r="U128" s="35"/>
      <c r="V128" s="35"/>
      <c r="W128" s="35"/>
      <c r="X128" s="35"/>
      <c r="Y128" s="35"/>
    </row>
    <row r="129" spans="1:27" ht="15">
      <c r="A129" s="55" t="s">
        <v>813</v>
      </c>
      <c r="E129" s="35"/>
      <c r="F129" s="35"/>
      <c r="G129" s="35"/>
      <c r="H129" s="35"/>
      <c r="I129" s="35"/>
      <c r="J129" s="35"/>
      <c r="K129" s="35"/>
      <c r="L129" s="35"/>
      <c r="M129" s="35"/>
      <c r="N129" s="35"/>
      <c r="O129" s="35"/>
      <c r="P129" s="35"/>
      <c r="Q129" s="35"/>
      <c r="R129" s="35"/>
      <c r="S129" s="35"/>
      <c r="T129" s="35"/>
      <c r="U129" s="35"/>
      <c r="V129" s="35"/>
      <c r="W129" s="35"/>
      <c r="X129" s="35"/>
      <c r="Y129" s="35"/>
    </row>
    <row r="130" spans="1:27">
      <c r="A130" s="7" t="s">
        <v>814</v>
      </c>
      <c r="C130"/>
      <c r="D130"/>
      <c r="E130" s="7" t="s">
        <v>815</v>
      </c>
    </row>
    <row r="131" spans="1:27" ht="15">
      <c r="C131" s="405"/>
      <c r="D131" s="405"/>
      <c r="E131" s="64">
        <f>E11</f>
        <v>2016</v>
      </c>
      <c r="F131" s="64">
        <f t="shared" ref="F131:X131" si="28">F11</f>
        <v>2017</v>
      </c>
      <c r="G131" s="64">
        <f t="shared" si="28"/>
        <v>2018</v>
      </c>
      <c r="H131" s="64">
        <f t="shared" si="28"/>
        <v>2019</v>
      </c>
      <c r="I131" s="64">
        <f t="shared" si="28"/>
        <v>2020</v>
      </c>
      <c r="J131" s="64">
        <f t="shared" si="28"/>
        <v>2021</v>
      </c>
      <c r="K131" s="64">
        <f t="shared" si="28"/>
        <v>2022</v>
      </c>
      <c r="L131" s="64">
        <f t="shared" si="28"/>
        <v>2023</v>
      </c>
      <c r="M131" s="64">
        <f t="shared" si="28"/>
        <v>2024</v>
      </c>
      <c r="N131" s="64">
        <f t="shared" si="28"/>
        <v>2025</v>
      </c>
      <c r="O131" s="64">
        <f t="shared" si="28"/>
        <v>2026</v>
      </c>
      <c r="P131" s="64">
        <f t="shared" si="28"/>
        <v>2027</v>
      </c>
      <c r="Q131" s="64">
        <f t="shared" si="28"/>
        <v>2028</v>
      </c>
      <c r="R131" s="64">
        <f t="shared" si="28"/>
        <v>2029</v>
      </c>
      <c r="S131" s="64">
        <f t="shared" si="28"/>
        <v>2030</v>
      </c>
      <c r="T131" s="64">
        <f t="shared" si="28"/>
        <v>2031</v>
      </c>
      <c r="U131" s="64">
        <f t="shared" si="28"/>
        <v>2032</v>
      </c>
      <c r="V131" s="64">
        <f t="shared" si="28"/>
        <v>2033</v>
      </c>
      <c r="W131" s="64">
        <f t="shared" si="28"/>
        <v>2034</v>
      </c>
      <c r="X131" s="64">
        <f t="shared" si="28"/>
        <v>2035</v>
      </c>
      <c r="Y131" s="64"/>
    </row>
    <row r="132" spans="1:27">
      <c r="C132" s="7" t="str">
        <f>C13</f>
        <v>Single Family</v>
      </c>
      <c r="E132" s="35">
        <f>(E13-E29/$B21)</f>
        <v>60664.951918541097</v>
      </c>
      <c r="F132" s="35">
        <f t="shared" ref="F132:X132" si="29">(F13-F29/$B21)</f>
        <v>55655.378800802835</v>
      </c>
      <c r="G132" s="35">
        <f t="shared" si="29"/>
        <v>49999.385389778399</v>
      </c>
      <c r="H132" s="35">
        <f t="shared" si="29"/>
        <v>45281.217886956496</v>
      </c>
      <c r="I132" s="35">
        <f t="shared" si="29"/>
        <v>40632.612209263665</v>
      </c>
      <c r="J132" s="35">
        <f t="shared" si="29"/>
        <v>34892.163679412544</v>
      </c>
      <c r="K132" s="35">
        <f t="shared" si="29"/>
        <v>29843.340495191853</v>
      </c>
      <c r="L132" s="35">
        <f t="shared" si="29"/>
        <v>25555.818414989208</v>
      </c>
      <c r="M132" s="35">
        <f t="shared" si="29"/>
        <v>21426.610958383946</v>
      </c>
      <c r="N132" s="35">
        <f t="shared" si="29"/>
        <v>18425.499533276194</v>
      </c>
      <c r="O132" s="35">
        <f t="shared" si="29"/>
        <v>15918.836534571128</v>
      </c>
      <c r="P132" s="35">
        <f t="shared" si="29"/>
        <v>13929.10949899222</v>
      </c>
      <c r="Q132" s="35">
        <f t="shared" si="29"/>
        <v>12520.035909570834</v>
      </c>
      <c r="R132" s="35">
        <f t="shared" si="29"/>
        <v>11999.89990524215</v>
      </c>
      <c r="S132" s="35">
        <f t="shared" si="29"/>
        <v>11908.52428467483</v>
      </c>
      <c r="T132" s="35">
        <f t="shared" si="29"/>
        <v>11776.783772628078</v>
      </c>
      <c r="U132" s="35">
        <f t="shared" si="29"/>
        <v>11365.240103911055</v>
      </c>
      <c r="V132" s="35">
        <f t="shared" si="29"/>
        <v>11341.013895201817</v>
      </c>
      <c r="W132" s="35">
        <f t="shared" si="29"/>
        <v>11369.028029198875</v>
      </c>
      <c r="X132" s="35">
        <f t="shared" si="29"/>
        <v>11446.115827705595</v>
      </c>
      <c r="Y132" s="35"/>
      <c r="AA132" s="35">
        <f t="shared" ref="AA132" si="30">SUM(E132:Y132)</f>
        <v>505951.56704829284</v>
      </c>
    </row>
    <row r="133" spans="1:27">
      <c r="E133" s="35"/>
      <c r="F133" s="35"/>
      <c r="G133" s="35"/>
      <c r="H133" s="35"/>
      <c r="I133" s="35"/>
      <c r="J133" s="35"/>
      <c r="K133" s="35"/>
      <c r="L133" s="35"/>
      <c r="M133" s="35"/>
      <c r="N133" s="35"/>
      <c r="O133" s="35"/>
      <c r="P133" s="35"/>
      <c r="Q133" s="35"/>
      <c r="R133" s="35"/>
      <c r="S133" s="35"/>
      <c r="T133" s="35"/>
      <c r="U133" s="35"/>
      <c r="V133" s="35"/>
      <c r="W133" s="35"/>
      <c r="X133" s="35"/>
      <c r="Y133" s="35"/>
      <c r="AA133" s="35"/>
    </row>
    <row r="134" spans="1:27">
      <c r="E134" s="35"/>
      <c r="F134" s="35"/>
      <c r="G134" s="35"/>
      <c r="H134" s="35"/>
      <c r="I134" s="35"/>
      <c r="J134" s="35"/>
      <c r="K134" s="35"/>
      <c r="L134" s="35"/>
      <c r="M134" s="35"/>
      <c r="N134" s="35"/>
      <c r="O134" s="35"/>
      <c r="P134" s="35"/>
      <c r="Q134" s="35"/>
      <c r="R134" s="35"/>
      <c r="S134" s="35"/>
      <c r="T134" s="35"/>
      <c r="U134" s="35"/>
      <c r="V134" s="35"/>
      <c r="W134" s="35"/>
      <c r="X134" s="35"/>
      <c r="Y134" s="35"/>
    </row>
    <row r="135" spans="1:27">
      <c r="C135" s="7" t="s">
        <v>816</v>
      </c>
      <c r="E135" s="35">
        <f t="shared" ref="E135:X135" si="31">SUM(E132:E133)</f>
        <v>60664.951918541097</v>
      </c>
      <c r="F135" s="35">
        <f t="shared" si="31"/>
        <v>55655.378800802835</v>
      </c>
      <c r="G135" s="35">
        <f t="shared" si="31"/>
        <v>49999.385389778399</v>
      </c>
      <c r="H135" s="35">
        <f t="shared" si="31"/>
        <v>45281.217886956496</v>
      </c>
      <c r="I135" s="35">
        <f t="shared" si="31"/>
        <v>40632.612209263665</v>
      </c>
      <c r="J135" s="35">
        <f t="shared" si="31"/>
        <v>34892.163679412544</v>
      </c>
      <c r="K135" s="35">
        <f t="shared" si="31"/>
        <v>29843.340495191853</v>
      </c>
      <c r="L135" s="35">
        <f t="shared" si="31"/>
        <v>25555.818414989208</v>
      </c>
      <c r="M135" s="35">
        <f t="shared" si="31"/>
        <v>21426.610958383946</v>
      </c>
      <c r="N135" s="35">
        <f t="shared" si="31"/>
        <v>18425.499533276194</v>
      </c>
      <c r="O135" s="35">
        <f t="shared" si="31"/>
        <v>15918.836534571128</v>
      </c>
      <c r="P135" s="35">
        <f t="shared" si="31"/>
        <v>13929.10949899222</v>
      </c>
      <c r="Q135" s="35">
        <f t="shared" si="31"/>
        <v>12520.035909570834</v>
      </c>
      <c r="R135" s="35">
        <f t="shared" si="31"/>
        <v>11999.89990524215</v>
      </c>
      <c r="S135" s="35">
        <f t="shared" si="31"/>
        <v>11908.52428467483</v>
      </c>
      <c r="T135" s="35">
        <f t="shared" si="31"/>
        <v>11776.783772628078</v>
      </c>
      <c r="U135" s="35">
        <f t="shared" si="31"/>
        <v>11365.240103911055</v>
      </c>
      <c r="V135" s="35">
        <f t="shared" si="31"/>
        <v>11341.013895201817</v>
      </c>
      <c r="W135" s="35">
        <f t="shared" si="31"/>
        <v>11369.028029198875</v>
      </c>
      <c r="X135" s="35">
        <f t="shared" si="31"/>
        <v>11446.115827705595</v>
      </c>
      <c r="Y135" s="35"/>
      <c r="AA135" s="35">
        <f>SUM(E135:Y135)</f>
        <v>505951.56704829284</v>
      </c>
    </row>
  </sheetData>
  <mergeCells count="1">
    <mergeCell ref="B1:T6"/>
  </mergeCells>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dimension ref="A1:CB135"/>
  <sheetViews>
    <sheetView topLeftCell="C1" workbookViewId="0">
      <selection activeCell="E13" sqref="E13:X13"/>
    </sheetView>
  </sheetViews>
  <sheetFormatPr defaultRowHeight="12.75"/>
  <cols>
    <col min="1" max="1" width="35" style="7" customWidth="1"/>
    <col min="2" max="2" width="29.28515625" style="7" customWidth="1"/>
    <col min="3" max="3" width="19.85546875" style="7" customWidth="1"/>
    <col min="4" max="4" width="58" style="7" customWidth="1"/>
    <col min="5" max="5" width="10.7109375" style="7" customWidth="1"/>
    <col min="6" max="25" width="9.5703125" style="7" bestFit="1" customWidth="1"/>
    <col min="26" max="28" width="9.140625" style="7"/>
    <col min="29" max="29" width="21.7109375" style="7" customWidth="1"/>
    <col min="30" max="30" width="35.85546875" style="7" customWidth="1"/>
    <col min="31" max="31" width="35.28515625" style="7" customWidth="1"/>
    <col min="32" max="32" width="15" style="7" customWidth="1"/>
    <col min="33" max="33" width="17.7109375" style="7" customWidth="1"/>
    <col min="34" max="34" width="15.140625" style="7" customWidth="1"/>
    <col min="35" max="35" width="15.7109375" style="7" customWidth="1"/>
    <col min="36" max="36" width="21.28515625" style="7" customWidth="1"/>
    <col min="37" max="37" width="17.7109375" style="7" bestFit="1" customWidth="1"/>
    <col min="38" max="38" width="15.42578125" style="7" bestFit="1" customWidth="1"/>
    <col min="39" max="39" width="14.28515625" style="7" bestFit="1" customWidth="1"/>
    <col min="40" max="40" width="14.28515625" style="7" customWidth="1"/>
    <col min="41" max="41" width="12.5703125" style="7" customWidth="1"/>
    <col min="42" max="42" width="14" style="7" bestFit="1" customWidth="1"/>
    <col min="43" max="44" width="10.85546875" style="7" bestFit="1" customWidth="1"/>
    <col min="45" max="45" width="13.42578125" style="7" customWidth="1"/>
    <col min="46" max="46" width="11.85546875" style="7" bestFit="1" customWidth="1"/>
    <col min="47" max="47" width="11" style="7" bestFit="1" customWidth="1"/>
    <col min="48" max="48" width="14.28515625" style="7" bestFit="1" customWidth="1"/>
    <col min="49" max="49" width="10.7109375" style="7" customWidth="1"/>
    <col min="50" max="50" width="13.85546875" style="7" bestFit="1" customWidth="1"/>
    <col min="51" max="51" width="11.7109375" style="7" bestFit="1" customWidth="1"/>
    <col min="52" max="52" width="15.28515625" style="7" bestFit="1" customWidth="1"/>
    <col min="53" max="55" width="12.28515625" style="7" bestFit="1" customWidth="1"/>
    <col min="56" max="56" width="12.5703125" style="7" bestFit="1" customWidth="1"/>
    <col min="57" max="59" width="14.28515625" style="7" bestFit="1" customWidth="1"/>
    <col min="60" max="60" width="13.7109375" style="7" bestFit="1" customWidth="1"/>
    <col min="61" max="61" width="14" style="7" bestFit="1" customWidth="1"/>
    <col min="62" max="62" width="12.85546875" style="7" bestFit="1" customWidth="1"/>
    <col min="63" max="63" width="15.28515625" style="7" bestFit="1" customWidth="1"/>
    <col min="64" max="64" width="12.28515625" style="7" bestFit="1" customWidth="1"/>
    <col min="65" max="65" width="10.85546875" style="7" bestFit="1" customWidth="1"/>
    <col min="66" max="66" width="12.28515625" style="7" bestFit="1" customWidth="1"/>
    <col min="67" max="67" width="12.5703125" style="7" bestFit="1" customWidth="1"/>
    <col min="68" max="16384" width="9.140625" style="7"/>
  </cols>
  <sheetData>
    <row r="1" spans="1:69">
      <c r="A1" s="45" t="s">
        <v>54</v>
      </c>
      <c r="B1" s="444" t="s">
        <v>805</v>
      </c>
      <c r="C1" s="444"/>
      <c r="D1" s="444"/>
      <c r="E1" s="444"/>
      <c r="F1" s="444"/>
      <c r="G1" s="444"/>
      <c r="H1" s="444"/>
      <c r="I1" s="444"/>
      <c r="J1" s="444"/>
      <c r="K1" s="444"/>
      <c r="L1" s="444"/>
      <c r="M1" s="444"/>
      <c r="N1" s="444"/>
      <c r="O1" s="444"/>
      <c r="P1" s="444"/>
      <c r="Q1" s="444"/>
      <c r="R1" s="444"/>
      <c r="S1" s="444"/>
      <c r="T1" s="444"/>
    </row>
    <row r="2" spans="1:69">
      <c r="A2" s="46" t="s">
        <v>137</v>
      </c>
      <c r="B2" s="444"/>
      <c r="C2" s="444"/>
      <c r="D2" s="444"/>
      <c r="E2" s="444"/>
      <c r="F2" s="444"/>
      <c r="G2" s="444"/>
      <c r="H2" s="444"/>
      <c r="I2" s="444"/>
      <c r="J2" s="444"/>
      <c r="K2" s="444"/>
      <c r="L2" s="444"/>
      <c r="M2" s="444"/>
      <c r="N2" s="444"/>
      <c r="O2" s="444"/>
      <c r="P2" s="444"/>
      <c r="Q2" s="444"/>
      <c r="R2" s="444"/>
      <c r="S2" s="444"/>
      <c r="T2" s="444"/>
    </row>
    <row r="3" spans="1:69">
      <c r="B3" s="444"/>
      <c r="C3" s="444"/>
      <c r="D3" s="444"/>
      <c r="E3" s="444"/>
      <c r="F3" s="444"/>
      <c r="G3" s="444"/>
      <c r="H3" s="444"/>
      <c r="I3" s="444"/>
      <c r="J3" s="444"/>
      <c r="K3" s="444"/>
      <c r="L3" s="444"/>
      <c r="M3" s="444"/>
      <c r="N3" s="444"/>
      <c r="O3" s="444"/>
      <c r="P3" s="444"/>
      <c r="Q3" s="444"/>
      <c r="R3" s="444"/>
      <c r="S3" s="444"/>
      <c r="T3" s="444"/>
    </row>
    <row r="4" spans="1:69">
      <c r="B4" s="444"/>
      <c r="C4" s="444"/>
      <c r="D4" s="444"/>
      <c r="E4" s="444"/>
      <c r="F4" s="444"/>
      <c r="G4" s="444"/>
      <c r="H4" s="444"/>
      <c r="I4" s="444"/>
      <c r="J4" s="444"/>
      <c r="K4" s="444"/>
      <c r="L4" s="444"/>
      <c r="M4" s="444"/>
      <c r="N4" s="444"/>
      <c r="O4" s="444"/>
      <c r="P4" s="444"/>
      <c r="Q4" s="444"/>
      <c r="R4" s="444"/>
      <c r="S4" s="444"/>
      <c r="T4" s="444"/>
    </row>
    <row r="5" spans="1:69">
      <c r="B5" s="444"/>
      <c r="C5" s="444"/>
      <c r="D5" s="444"/>
      <c r="E5" s="444"/>
      <c r="F5" s="444"/>
      <c r="G5" s="444"/>
      <c r="H5" s="444"/>
      <c r="I5" s="444"/>
      <c r="J5" s="444"/>
      <c r="K5" s="444"/>
      <c r="L5" s="444"/>
      <c r="M5" s="444"/>
      <c r="N5" s="444"/>
      <c r="O5" s="444"/>
      <c r="P5" s="444"/>
      <c r="Q5" s="444"/>
      <c r="R5" s="444"/>
      <c r="S5" s="444"/>
      <c r="T5" s="444"/>
    </row>
    <row r="6" spans="1:69">
      <c r="B6" s="444"/>
      <c r="C6" s="444"/>
      <c r="D6" s="444"/>
      <c r="E6" s="444"/>
      <c r="F6" s="444"/>
      <c r="G6" s="444"/>
      <c r="H6" s="444"/>
      <c r="I6" s="444"/>
      <c r="J6" s="444"/>
      <c r="K6" s="444"/>
      <c r="L6" s="444"/>
      <c r="M6" s="444"/>
      <c r="N6" s="444"/>
      <c r="O6" s="444"/>
      <c r="P6" s="444"/>
      <c r="Q6" s="444"/>
      <c r="R6" s="444"/>
      <c r="S6" s="444"/>
      <c r="T6" s="444"/>
    </row>
    <row r="7" spans="1:69">
      <c r="A7" s="440"/>
      <c r="B7" s="440" t="s">
        <v>48</v>
      </c>
      <c r="C7" s="51" t="s">
        <v>806</v>
      </c>
      <c r="D7" s="51" t="s">
        <v>806</v>
      </c>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row>
    <row r="8" spans="1:69">
      <c r="A8" s="440" t="s">
        <v>912</v>
      </c>
      <c r="B8" s="440" t="s">
        <v>55</v>
      </c>
      <c r="C8" s="51" t="str">
        <f>[2]MLIST!$B$45</f>
        <v>ASHP</v>
      </c>
      <c r="D8" s="51" t="str">
        <f>[1]!switch_ForecastState</f>
        <v>Region</v>
      </c>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row>
    <row r="9" spans="1:69">
      <c r="A9" s="440" t="str">
        <f>INDEX([2]ACHIEV!$A$19:$B$100,MATCH(CONCATENATE($C$8," - ",$C$7),[2]ACHIEV!$B$19:$B$100,0),1)</f>
        <v>HVAC</v>
      </c>
      <c r="B9" s="441" t="s">
        <v>56</v>
      </c>
      <c r="C9" s="51">
        <f>[2]FILES!$H$4</f>
        <v>2035</v>
      </c>
      <c r="D9" s="51" t="str">
        <f>[1]!switch_ForecastScenario</f>
        <v>Base</v>
      </c>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row>
    <row r="10" spans="1:69">
      <c r="A10" s="440"/>
      <c r="B10" s="440" t="s">
        <v>914</v>
      </c>
      <c r="C10" s="443">
        <f>MIN(SUM(E45:X45),Y45)</f>
        <v>5.0124003942674147</v>
      </c>
      <c r="D10" s="54"/>
      <c r="E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row>
    <row r="11" spans="1:69" ht="15">
      <c r="A11" s="55" t="str">
        <f>CONCATENATE("# HOMES AVAILABLE FOR MEASURE -",$C$8)</f>
        <v># HOMES AVAILABLE FOR MEASURE -ASHP</v>
      </c>
      <c r="C11" s="7" t="s">
        <v>807</v>
      </c>
      <c r="E11" s="58">
        <v>2016</v>
      </c>
      <c r="F11" s="59">
        <v>2017</v>
      </c>
      <c r="G11" s="59">
        <v>2018</v>
      </c>
      <c r="H11" s="59">
        <v>2019</v>
      </c>
      <c r="I11" s="59">
        <v>2020</v>
      </c>
      <c r="J11" s="59">
        <v>2021</v>
      </c>
      <c r="K11" s="59">
        <v>2022</v>
      </c>
      <c r="L11" s="59">
        <v>2023</v>
      </c>
      <c r="M11" s="59">
        <v>2024</v>
      </c>
      <c r="N11" s="59">
        <v>2025</v>
      </c>
      <c r="O11" s="59">
        <v>2026</v>
      </c>
      <c r="P11" s="59">
        <v>2027</v>
      </c>
      <c r="Q11" s="59">
        <v>2028</v>
      </c>
      <c r="R11" s="59">
        <v>2029</v>
      </c>
      <c r="S11" s="59">
        <v>2030</v>
      </c>
      <c r="T11" s="59">
        <v>2031</v>
      </c>
      <c r="U11" s="59">
        <v>2032</v>
      </c>
      <c r="V11" s="59">
        <v>2033</v>
      </c>
      <c r="W11" s="59">
        <v>2034</v>
      </c>
      <c r="X11" s="59">
        <v>2035</v>
      </c>
      <c r="Y11" s="60"/>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row>
    <row r="12" spans="1:69" ht="15">
      <c r="E12" s="61" t="str">
        <f>CONCATENATE("Homes_",E11)</f>
        <v>Homes_2016</v>
      </c>
      <c r="F12" s="62" t="str">
        <f t="shared" ref="F12:X12" si="0">CONCATENATE("Homes_",F11)</f>
        <v>Homes_2017</v>
      </c>
      <c r="G12" s="62" t="str">
        <f t="shared" si="0"/>
        <v>Homes_2018</v>
      </c>
      <c r="H12" s="62" t="str">
        <f t="shared" si="0"/>
        <v>Homes_2019</v>
      </c>
      <c r="I12" s="62" t="str">
        <f t="shared" si="0"/>
        <v>Homes_2020</v>
      </c>
      <c r="J12" s="62" t="str">
        <f t="shared" si="0"/>
        <v>Homes_2021</v>
      </c>
      <c r="K12" s="62" t="str">
        <f t="shared" si="0"/>
        <v>Homes_2022</v>
      </c>
      <c r="L12" s="62" t="str">
        <f t="shared" si="0"/>
        <v>Homes_2023</v>
      </c>
      <c r="M12" s="62" t="str">
        <f t="shared" si="0"/>
        <v>Homes_2024</v>
      </c>
      <c r="N12" s="62" t="str">
        <f t="shared" si="0"/>
        <v>Homes_2025</v>
      </c>
      <c r="O12" s="62" t="str">
        <f t="shared" si="0"/>
        <v>Homes_2026</v>
      </c>
      <c r="P12" s="62" t="str">
        <f t="shared" si="0"/>
        <v>Homes_2027</v>
      </c>
      <c r="Q12" s="62" t="str">
        <f t="shared" si="0"/>
        <v>Homes_2028</v>
      </c>
      <c r="R12" s="62" t="str">
        <f t="shared" si="0"/>
        <v>Homes_2029</v>
      </c>
      <c r="S12" s="62" t="str">
        <f t="shared" si="0"/>
        <v>Homes_2030</v>
      </c>
      <c r="T12" s="62" t="str">
        <f t="shared" si="0"/>
        <v>Homes_2031</v>
      </c>
      <c r="U12" s="62" t="str">
        <f t="shared" si="0"/>
        <v>Homes_2032</v>
      </c>
      <c r="V12" s="62" t="str">
        <f t="shared" si="0"/>
        <v>Homes_2033</v>
      </c>
      <c r="W12" s="62" t="str">
        <f t="shared" si="0"/>
        <v>Homes_2034</v>
      </c>
      <c r="X12" s="62" t="str">
        <f t="shared" si="0"/>
        <v>Homes_2035</v>
      </c>
      <c r="Y12" s="63"/>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row>
    <row r="13" spans="1:69">
      <c r="B13" s="7" t="s">
        <v>806</v>
      </c>
      <c r="C13" s="7" t="s">
        <v>49</v>
      </c>
      <c r="E13" s="35">
        <f>INDEX([1]!tbl_Forecast,MATCH($D$8&amp;$C13&amp;$D$7,[1]!rng_ForecastRowLookup,0),MATCH(E$11,[1]!rng_ForecastColumnLookup,0))</f>
        <v>62685.758999999998</v>
      </c>
      <c r="F13" s="35">
        <f>INDEX([1]!tbl_Forecast,MATCH($D$8&amp;$C13&amp;$D$7,[1]!rng_ForecastRowLookup,0),MATCH(F$11,[1]!rng_ForecastColumnLookup,0))</f>
        <v>59961.781000000003</v>
      </c>
      <c r="G13" s="35">
        <f>INDEX([1]!tbl_Forecast,MATCH($D$8&amp;$C13&amp;$D$7,[1]!rng_ForecastRowLookup,0),MATCH(G$11,[1]!rng_ForecastColumnLookup,0))</f>
        <v>56834.012000000002</v>
      </c>
      <c r="H13" s="35">
        <f>INDEX([1]!tbl_Forecast,MATCH($D$8&amp;$C13&amp;$D$7,[1]!rng_ForecastRowLookup,0),MATCH(H$11,[1]!rng_ForecastColumnLookup,0))</f>
        <v>54985.192999999999</v>
      </c>
      <c r="I13" s="35">
        <f>INDEX([1]!tbl_Forecast,MATCH($D$8&amp;$C13&amp;$D$7,[1]!rng_ForecastRowLookup,0),MATCH(I$11,[1]!rng_ForecastColumnLookup,0))</f>
        <v>53507.474000000002</v>
      </c>
      <c r="J13" s="35">
        <f>INDEX([1]!tbl_Forecast,MATCH($D$8&amp;$C13&amp;$D$7,[1]!rng_ForecastRowLookup,0),MATCH(J$11,[1]!rng_ForecastColumnLookup,0))</f>
        <v>50982.05</v>
      </c>
      <c r="K13" s="35">
        <f>INDEX([1]!tbl_Forecast,MATCH($D$8&amp;$C13&amp;$D$7,[1]!rng_ForecastRowLookup,0),MATCH(K$11,[1]!rng_ForecastColumnLookup,0))</f>
        <v>49561.669000000002</v>
      </c>
      <c r="L13" s="35">
        <f>INDEX([1]!tbl_Forecast,MATCH($D$8&amp;$C13&amp;$D$7,[1]!rng_ForecastRowLookup,0),MATCH(L$11,[1]!rng_ForecastColumnLookup,0))</f>
        <v>49324.517999999996</v>
      </c>
      <c r="M13" s="35">
        <f>INDEX([1]!tbl_Forecast,MATCH($D$8&amp;$C13&amp;$D$7,[1]!rng_ForecastRowLookup,0),MATCH(M$11,[1]!rng_ForecastColumnLookup,0))</f>
        <v>48815.77</v>
      </c>
      <c r="N13" s="35">
        <f>INDEX([1]!tbl_Forecast,MATCH($D$8&amp;$C13&amp;$D$7,[1]!rng_ForecastRowLookup,0),MATCH(N$11,[1]!rng_ForecastColumnLookup,0))</f>
        <v>49683.252</v>
      </c>
      <c r="O13" s="35">
        <f>INDEX([1]!tbl_Forecast,MATCH($D$8&amp;$C13&amp;$D$7,[1]!rng_ForecastRowLookup,0),MATCH(O$11,[1]!rng_ForecastColumnLookup,0))</f>
        <v>50030.137000000002</v>
      </c>
      <c r="P13" s="35">
        <f>INDEX([1]!tbl_Forecast,MATCH($D$8&amp;$C13&amp;$D$7,[1]!rng_ForecastRowLookup,0),MATCH(P$11,[1]!rng_ForecastColumnLookup,0))</f>
        <v>49387.762999999999</v>
      </c>
      <c r="Q13" s="35">
        <f>INDEX([1]!tbl_Forecast,MATCH($D$8&amp;$C13&amp;$D$7,[1]!rng_ForecastRowLookup,0),MATCH(Q$11,[1]!rng_ForecastColumnLookup,0))</f>
        <v>48079.345999999998</v>
      </c>
      <c r="R13" s="35">
        <f>INDEX([1]!tbl_Forecast,MATCH($D$8&amp;$C13&amp;$D$7,[1]!rng_ForecastRowLookup,0),MATCH(R$11,[1]!rng_ForecastColumnLookup,0))</f>
        <v>48129.050999999999</v>
      </c>
      <c r="S13" s="35">
        <f>INDEX([1]!tbl_Forecast,MATCH($D$8&amp;$C13&amp;$D$7,[1]!rng_ForecastRowLookup,0),MATCH(S$11,[1]!rng_ForecastColumnLookup,0))</f>
        <v>48690.569000000003</v>
      </c>
      <c r="T13" s="35">
        <f>INDEX([1]!tbl_Forecast,MATCH($D$8&amp;$C13&amp;$D$7,[1]!rng_ForecastRowLookup,0),MATCH(T$11,[1]!rng_ForecastColumnLookup,0))</f>
        <v>48482.864000000001</v>
      </c>
      <c r="U13" s="35">
        <f>INDEX([1]!tbl_Forecast,MATCH($D$8&amp;$C13&amp;$D$7,[1]!rng_ForecastRowLookup,0),MATCH(U$11,[1]!rng_ForecastColumnLookup,0))</f>
        <v>46879.000999999997</v>
      </c>
      <c r="V13" s="35">
        <f>INDEX([1]!tbl_Forecast,MATCH($D$8&amp;$C13&amp;$D$7,[1]!rng_ForecastRowLookup,0),MATCH(V$11,[1]!rng_ForecastColumnLookup,0))</f>
        <v>46798.777999999998</v>
      </c>
      <c r="W13" s="35">
        <f>INDEX([1]!tbl_Forecast,MATCH($D$8&amp;$C13&amp;$D$7,[1]!rng_ForecastRowLookup,0),MATCH(W$11,[1]!rng_ForecastColumnLookup,0))</f>
        <v>46917.627</v>
      </c>
      <c r="X13" s="35">
        <f>INDEX([1]!tbl_Forecast,MATCH($D$8&amp;$C13&amp;$D$7,[1]!rng_ForecastRowLookup,0),MATCH(X$11,[1]!rng_ForecastColumnLookup,0))</f>
        <v>47236.144999999997</v>
      </c>
      <c r="Y13" s="35"/>
      <c r="AA13" s="35">
        <f>SUM(E13:Y13)</f>
        <v>1016972.7590000002</v>
      </c>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row>
    <row r="14" spans="1:69">
      <c r="E14" s="35"/>
      <c r="F14" s="35"/>
      <c r="G14" s="35"/>
      <c r="H14" s="35"/>
      <c r="I14" s="35"/>
      <c r="J14" s="35"/>
      <c r="K14" s="35"/>
      <c r="L14" s="35"/>
      <c r="M14" s="35"/>
      <c r="N14" s="35"/>
      <c r="O14" s="35"/>
      <c r="P14" s="35"/>
      <c r="Q14" s="35"/>
      <c r="R14" s="35"/>
      <c r="S14" s="35"/>
      <c r="T14" s="35"/>
      <c r="U14" s="35"/>
      <c r="V14" s="35"/>
      <c r="W14" s="35"/>
      <c r="X14" s="35"/>
      <c r="Y14" s="35"/>
      <c r="AA14" s="35"/>
    </row>
    <row r="15" spans="1:69">
      <c r="E15" s="35"/>
      <c r="F15" s="35"/>
      <c r="G15" s="35"/>
      <c r="H15" s="35"/>
      <c r="I15" s="35"/>
      <c r="J15" s="35"/>
      <c r="K15" s="35"/>
      <c r="L15" s="35"/>
      <c r="M15" s="35"/>
      <c r="N15" s="35"/>
      <c r="O15" s="35"/>
      <c r="P15" s="35"/>
      <c r="Q15" s="35"/>
      <c r="R15" s="35"/>
      <c r="S15" s="35"/>
      <c r="T15" s="35"/>
      <c r="U15" s="35"/>
      <c r="V15" s="35"/>
      <c r="W15" s="35"/>
      <c r="X15" s="35"/>
      <c r="Y15" s="35"/>
    </row>
    <row r="16" spans="1:69">
      <c r="B16" s="7" t="s">
        <v>808</v>
      </c>
      <c r="C16" s="7" t="s">
        <v>58</v>
      </c>
      <c r="E16" s="35">
        <f t="shared" ref="E16:X16" si="1">SUM(E13:E14)</f>
        <v>62685.758999999998</v>
      </c>
      <c r="F16" s="35">
        <f t="shared" si="1"/>
        <v>59961.781000000003</v>
      </c>
      <c r="G16" s="35">
        <f t="shared" si="1"/>
        <v>56834.012000000002</v>
      </c>
      <c r="H16" s="35">
        <f t="shared" si="1"/>
        <v>54985.192999999999</v>
      </c>
      <c r="I16" s="35">
        <f t="shared" si="1"/>
        <v>53507.474000000002</v>
      </c>
      <c r="J16" s="35">
        <f t="shared" si="1"/>
        <v>50982.05</v>
      </c>
      <c r="K16" s="35">
        <f t="shared" si="1"/>
        <v>49561.669000000002</v>
      </c>
      <c r="L16" s="35">
        <f t="shared" si="1"/>
        <v>49324.517999999996</v>
      </c>
      <c r="M16" s="35">
        <f t="shared" si="1"/>
        <v>48815.77</v>
      </c>
      <c r="N16" s="35">
        <f t="shared" si="1"/>
        <v>49683.252</v>
      </c>
      <c r="O16" s="35">
        <f t="shared" si="1"/>
        <v>50030.137000000002</v>
      </c>
      <c r="P16" s="35">
        <f t="shared" si="1"/>
        <v>49387.762999999999</v>
      </c>
      <c r="Q16" s="35">
        <f t="shared" si="1"/>
        <v>48079.345999999998</v>
      </c>
      <c r="R16" s="35">
        <f t="shared" si="1"/>
        <v>48129.050999999999</v>
      </c>
      <c r="S16" s="35">
        <f t="shared" si="1"/>
        <v>48690.569000000003</v>
      </c>
      <c r="T16" s="35">
        <f t="shared" si="1"/>
        <v>48482.864000000001</v>
      </c>
      <c r="U16" s="35">
        <f t="shared" si="1"/>
        <v>46879.000999999997</v>
      </c>
      <c r="V16" s="35">
        <f t="shared" si="1"/>
        <v>46798.777999999998</v>
      </c>
      <c r="W16" s="35">
        <f t="shared" si="1"/>
        <v>46917.627</v>
      </c>
      <c r="X16" s="35">
        <f t="shared" si="1"/>
        <v>47236.144999999997</v>
      </c>
      <c r="Y16" s="35"/>
      <c r="AA16" s="35">
        <f>SUM(E16:Y16)</f>
        <v>1016972.7590000002</v>
      </c>
    </row>
    <row r="17" spans="1:27">
      <c r="E17" s="35"/>
      <c r="F17" s="35"/>
      <c r="G17" s="35"/>
      <c r="H17" s="35"/>
      <c r="I17" s="35"/>
      <c r="J17" s="35"/>
      <c r="K17" s="35"/>
      <c r="L17" s="35"/>
      <c r="M17" s="35"/>
      <c r="N17" s="35"/>
      <c r="O17" s="35"/>
      <c r="P17" s="35"/>
      <c r="Q17" s="35"/>
      <c r="R17" s="35"/>
      <c r="S17" s="35"/>
      <c r="T17" s="35"/>
      <c r="U17" s="35"/>
      <c r="V17" s="35"/>
      <c r="W17" s="35"/>
      <c r="X17" s="35"/>
      <c r="Y17" s="35"/>
    </row>
    <row r="18" spans="1:27">
      <c r="E18" s="35"/>
      <c r="F18" s="35"/>
      <c r="G18" s="35"/>
      <c r="H18" s="35"/>
      <c r="I18" s="35"/>
      <c r="J18" s="35"/>
      <c r="K18" s="35"/>
      <c r="L18" s="35"/>
      <c r="M18" s="35"/>
      <c r="N18" s="35"/>
      <c r="O18" s="35"/>
      <c r="P18" s="35"/>
      <c r="Q18" s="35"/>
      <c r="R18" s="35"/>
      <c r="S18" s="35"/>
      <c r="T18" s="35"/>
      <c r="U18" s="35"/>
      <c r="V18" s="35"/>
      <c r="W18" s="35"/>
      <c r="X18" s="35"/>
      <c r="Y18" s="35"/>
    </row>
    <row r="19" spans="1:27" ht="15">
      <c r="A19" s="55" t="str">
        <f>CONCATENATE("# HOMES APPLICABLE BY YEAR FOR MEASURE - ",C20)</f>
        <v># HOMES APPLICABLE BY YEAR FOR MEASURE - ASHP - New</v>
      </c>
      <c r="E19" s="35"/>
      <c r="F19" s="35"/>
      <c r="G19" s="35"/>
      <c r="H19" s="35"/>
      <c r="I19" s="35"/>
      <c r="J19" s="35"/>
      <c r="K19" s="35"/>
      <c r="L19" s="35"/>
      <c r="M19" s="35"/>
      <c r="N19" s="35"/>
      <c r="O19" s="35"/>
      <c r="P19" s="35"/>
      <c r="Q19" s="35"/>
      <c r="R19" s="35"/>
      <c r="S19" s="35"/>
      <c r="T19" s="35"/>
      <c r="U19" s="35"/>
      <c r="V19" s="35"/>
      <c r="W19" s="35"/>
      <c r="X19" s="35"/>
      <c r="Y19" s="35"/>
    </row>
    <row r="20" spans="1:27" ht="15">
      <c r="A20" s="64" t="s">
        <v>59</v>
      </c>
      <c r="B20" s="64" t="s">
        <v>809</v>
      </c>
      <c r="C20" s="64" t="str">
        <f>CONCATENATE(C8," - ",C7)</f>
        <v>ASHP - New</v>
      </c>
      <c r="D20" s="64"/>
    </row>
    <row r="21" spans="1:27">
      <c r="A21" s="56">
        <f>INDEX([2]!ResApplic,MATCH($C$20,[2]APPLIC!$B$9:$B$120,0)+1,MATCH($C21,[2]APPLIC!$C$8:$F$8,0)+1)</f>
        <v>0.88200000000000001</v>
      </c>
      <c r="B21" s="56">
        <f>'HVAC weighting'!B40+'HVAC weighting'!B42</f>
        <v>0.11113965477799331</v>
      </c>
      <c r="C21" s="7" t="str">
        <f>C13</f>
        <v>Single Family</v>
      </c>
      <c r="E21" s="35">
        <f>E13*$A21*$B21</f>
        <v>6144.7825282152216</v>
      </c>
      <c r="F21" s="35">
        <f t="shared" ref="F21:X21" si="2">F13*$A21*$B21</f>
        <v>5877.7641066684291</v>
      </c>
      <c r="G21" s="35">
        <f t="shared" si="2"/>
        <v>5571.1640014755867</v>
      </c>
      <c r="H21" s="35">
        <f t="shared" si="2"/>
        <v>5389.9331945066169</v>
      </c>
      <c r="I21" s="35">
        <f t="shared" si="2"/>
        <v>5245.0795301709641</v>
      </c>
      <c r="J21" s="35">
        <f t="shared" si="2"/>
        <v>4997.5243993232161</v>
      </c>
      <c r="K21" s="35">
        <f t="shared" si="2"/>
        <v>4858.2913025011949</v>
      </c>
      <c r="L21" s="35">
        <f t="shared" si="2"/>
        <v>4835.0445341028289</v>
      </c>
      <c r="M21" s="35">
        <f t="shared" si="2"/>
        <v>4785.1744221103354</v>
      </c>
      <c r="N21" s="35">
        <f t="shared" si="2"/>
        <v>4870.2094974157362</v>
      </c>
      <c r="O21" s="35">
        <f t="shared" si="2"/>
        <v>4904.2129604239763</v>
      </c>
      <c r="P21" s="35">
        <f t="shared" si="2"/>
        <v>4841.2441363282242</v>
      </c>
      <c r="Q21" s="35">
        <f t="shared" si="2"/>
        <v>4712.986330257474</v>
      </c>
      <c r="R21" s="35">
        <f t="shared" si="2"/>
        <v>4717.8586716064065</v>
      </c>
      <c r="S21" s="35">
        <f t="shared" si="2"/>
        <v>4772.9015721107844</v>
      </c>
      <c r="T21" s="35">
        <f t="shared" si="2"/>
        <v>4752.5412530306085</v>
      </c>
      <c r="U21" s="35">
        <f t="shared" si="2"/>
        <v>4595.3223009548929</v>
      </c>
      <c r="V21" s="35">
        <f t="shared" si="2"/>
        <v>4587.4584272996181</v>
      </c>
      <c r="W21" s="35">
        <f t="shared" si="2"/>
        <v>4599.1086213843046</v>
      </c>
      <c r="X21" s="35">
        <f t="shared" si="2"/>
        <v>4630.3314042387328</v>
      </c>
      <c r="Y21" s="35"/>
      <c r="AA21" s="35">
        <f t="shared" ref="AA21" si="3">SUM(E21:Y21)</f>
        <v>99688.933194125158</v>
      </c>
    </row>
    <row r="22" spans="1:27">
      <c r="A22" s="56"/>
      <c r="B22" s="56"/>
      <c r="C22"/>
      <c r="D22"/>
      <c r="E22" s="35"/>
      <c r="F22" s="35"/>
      <c r="G22" s="35"/>
      <c r="H22" s="35"/>
      <c r="I22" s="35"/>
      <c r="J22" s="35"/>
      <c r="K22" s="35"/>
      <c r="L22" s="35"/>
      <c r="M22" s="35"/>
      <c r="N22" s="35"/>
      <c r="O22" s="35"/>
      <c r="P22" s="35"/>
      <c r="Q22" s="35"/>
      <c r="R22" s="35"/>
      <c r="S22" s="35"/>
      <c r="T22" s="35"/>
      <c r="U22" s="35"/>
      <c r="V22" s="35"/>
      <c r="W22" s="35"/>
      <c r="X22" s="35"/>
      <c r="Y22" s="35"/>
      <c r="AA22" s="35"/>
    </row>
    <row r="23" spans="1:27">
      <c r="E23" s="35"/>
      <c r="F23" s="35"/>
      <c r="G23" s="35"/>
      <c r="H23" s="35"/>
      <c r="I23" s="35"/>
      <c r="J23" s="35"/>
      <c r="K23" s="35"/>
      <c r="L23" s="35"/>
      <c r="M23" s="35"/>
      <c r="N23" s="35"/>
      <c r="O23" s="35"/>
      <c r="P23" s="35"/>
      <c r="Q23" s="35"/>
      <c r="R23" s="35"/>
      <c r="S23" s="35"/>
      <c r="T23" s="35"/>
      <c r="U23" s="35"/>
      <c r="V23" s="35"/>
      <c r="W23" s="35"/>
      <c r="X23" s="35"/>
      <c r="Y23" s="35"/>
    </row>
    <row r="24" spans="1:27">
      <c r="E24" s="35">
        <f t="shared" ref="E24:X24" si="4">SUM(E21:E22)</f>
        <v>6144.7825282152216</v>
      </c>
      <c r="F24" s="35">
        <f t="shared" si="4"/>
        <v>5877.7641066684291</v>
      </c>
      <c r="G24" s="35">
        <f t="shared" si="4"/>
        <v>5571.1640014755867</v>
      </c>
      <c r="H24" s="35">
        <f t="shared" si="4"/>
        <v>5389.9331945066169</v>
      </c>
      <c r="I24" s="35">
        <f t="shared" si="4"/>
        <v>5245.0795301709641</v>
      </c>
      <c r="J24" s="35">
        <f t="shared" si="4"/>
        <v>4997.5243993232161</v>
      </c>
      <c r="K24" s="35">
        <f t="shared" si="4"/>
        <v>4858.2913025011949</v>
      </c>
      <c r="L24" s="35">
        <f t="shared" si="4"/>
        <v>4835.0445341028289</v>
      </c>
      <c r="M24" s="35">
        <f t="shared" si="4"/>
        <v>4785.1744221103354</v>
      </c>
      <c r="N24" s="35">
        <f t="shared" si="4"/>
        <v>4870.2094974157362</v>
      </c>
      <c r="O24" s="35">
        <f t="shared" si="4"/>
        <v>4904.2129604239763</v>
      </c>
      <c r="P24" s="35">
        <f t="shared" si="4"/>
        <v>4841.2441363282242</v>
      </c>
      <c r="Q24" s="35">
        <f t="shared" si="4"/>
        <v>4712.986330257474</v>
      </c>
      <c r="R24" s="35">
        <f t="shared" si="4"/>
        <v>4717.8586716064065</v>
      </c>
      <c r="S24" s="35">
        <f t="shared" si="4"/>
        <v>4772.9015721107844</v>
      </c>
      <c r="T24" s="35">
        <f t="shared" si="4"/>
        <v>4752.5412530306085</v>
      </c>
      <c r="U24" s="35">
        <f t="shared" si="4"/>
        <v>4595.3223009548929</v>
      </c>
      <c r="V24" s="35">
        <f t="shared" si="4"/>
        <v>4587.4584272996181</v>
      </c>
      <c r="W24" s="35">
        <f t="shared" si="4"/>
        <v>4599.1086213843046</v>
      </c>
      <c r="X24" s="35">
        <f t="shared" si="4"/>
        <v>4630.3314042387328</v>
      </c>
      <c r="Y24" s="35"/>
      <c r="AA24" s="35">
        <f>SUM(E24:Y24)</f>
        <v>99688.933194125158</v>
      </c>
    </row>
    <row r="25" spans="1:27">
      <c r="E25" s="35"/>
      <c r="F25" s="35"/>
      <c r="G25" s="35"/>
      <c r="H25" s="35"/>
      <c r="I25" s="35"/>
      <c r="J25" s="35"/>
      <c r="K25" s="35"/>
      <c r="L25" s="35"/>
      <c r="M25" s="35"/>
      <c r="N25" s="35"/>
      <c r="O25" s="35"/>
      <c r="P25" s="35"/>
      <c r="Q25" s="35"/>
      <c r="R25" s="35"/>
      <c r="S25" s="35"/>
      <c r="T25" s="35"/>
      <c r="U25" s="35"/>
      <c r="V25" s="35"/>
      <c r="W25" s="35"/>
      <c r="X25" s="35"/>
      <c r="Y25" s="35"/>
    </row>
    <row r="27" spans="1:27" ht="15.75" thickBot="1">
      <c r="A27" s="55" t="str">
        <f>CONCATENATE("# UNITS ACHIEVABLE BY YEAR FOR MEASURE - ",D28)</f>
        <v># UNITS ACHIEVABLE BY YEAR FOR MEASURE - ASHP - New</v>
      </c>
      <c r="D27" s="64" t="s">
        <v>61</v>
      </c>
      <c r="E27" s="7">
        <v>2</v>
      </c>
      <c r="F27" s="7">
        <v>3</v>
      </c>
      <c r="G27" s="7">
        <v>4</v>
      </c>
      <c r="H27" s="7">
        <v>5</v>
      </c>
      <c r="I27" s="7">
        <v>6</v>
      </c>
      <c r="J27" s="7">
        <v>7</v>
      </c>
      <c r="K27" s="7">
        <v>8</v>
      </c>
      <c r="L27" s="7">
        <v>9</v>
      </c>
      <c r="M27" s="7">
        <v>10</v>
      </c>
      <c r="N27" s="7">
        <v>11</v>
      </c>
      <c r="O27" s="7">
        <v>12</v>
      </c>
      <c r="P27" s="7">
        <v>13</v>
      </c>
      <c r="Q27" s="7">
        <v>14</v>
      </c>
      <c r="R27" s="7">
        <v>15</v>
      </c>
      <c r="S27" s="7">
        <v>16</v>
      </c>
      <c r="T27" s="7">
        <v>17</v>
      </c>
      <c r="U27" s="7">
        <v>18</v>
      </c>
      <c r="V27" s="7">
        <v>19</v>
      </c>
      <c r="W27" s="7">
        <v>20</v>
      </c>
      <c r="X27" s="7">
        <v>21</v>
      </c>
    </row>
    <row r="28" spans="1:27" ht="15.75" thickBot="1">
      <c r="D28" s="64" t="str">
        <f>CONCATENATE(C8," - ",C7)</f>
        <v>ASHP - New</v>
      </c>
      <c r="E28" s="68">
        <f>VLOOKUP($D$28,[2]ACHIEV!$B$10:$X$100,MATCH(E$11,$E$11:$Y$11,0)+2,FALSE)</f>
        <v>4.2999999999999997E-2</v>
      </c>
      <c r="F28" s="68">
        <f>VLOOKUP($D$28,[2]ACHIEV!$B$10:$X$100,MATCH(F$11,$E$11:$Y$11,0)+2,FALSE)</f>
        <v>9.5797142280278316E-2</v>
      </c>
      <c r="G28" s="68">
        <f>VLOOKUP($D$28,[2]ACHIEV!$B$10:$X$100,MATCH(G$11,$E$11:$Y$11,0)+2,FALSE)</f>
        <v>0.16040539374775648</v>
      </c>
      <c r="H28" s="68">
        <f>VLOOKUP($D$28,[2]ACHIEV!$B$10:$X$100,MATCH(H$11,$E$11:$Y$11,0)+2,FALSE)</f>
        <v>0.23540539374775649</v>
      </c>
      <c r="I28" s="68">
        <f>VLOOKUP($D$28,[2]ACHIEV!$B$10:$X$100,MATCH(I$11,$E$11:$Y$11,0)+2,FALSE)</f>
        <v>0.32095239121809005</v>
      </c>
      <c r="J28" s="68">
        <f>VLOOKUP($D$28,[2]ACHIEV!$B$10:$X$100,MATCH(J$11,$E$11:$Y$11,0)+2,FALSE)</f>
        <v>0.42096711425629652</v>
      </c>
      <c r="K28" s="68">
        <f>VLOOKUP($D$28,[2]ACHIEV!$B$10:$X$100,MATCH(K$11,$E$11:$Y$11,0)+2,FALSE)</f>
        <v>0.53068481860864725</v>
      </c>
      <c r="L28" s="68">
        <f>VLOOKUP($D$28,[2]ACHIEV!$B$10:$X$100,MATCH(L$11,$E$11:$Y$11,0)+2,FALSE)</f>
        <v>0.642769203728351</v>
      </c>
      <c r="M28" s="68">
        <f>VLOOKUP($D$28,[2]ACHIEV!$B$10:$X$100,MATCH(M$11,$E$11:$Y$11,0)+2,FALSE)</f>
        <v>0.74839528535557953</v>
      </c>
      <c r="N28" s="68">
        <f>VLOOKUP($D$28,[2]ACHIEV!$B$10:$X$100,MATCH(N$11,$E$11:$Y$11,0)+2,FALSE)</f>
        <v>0.83918984935345187</v>
      </c>
      <c r="O28" s="68">
        <f>VLOOKUP($D$28,[2]ACHIEV!$B$10:$X$100,MATCH(O$11,$E$11:$Y$11,0)+2,FALSE)</f>
        <v>0.90945051634530116</v>
      </c>
      <c r="P28" s="68">
        <f>VLOOKUP($D$28,[2]ACHIEV!$B$10:$X$100,MATCH(P$11,$E$11:$Y$11,0)+2,FALSE)</f>
        <v>0.9576688767502457</v>
      </c>
      <c r="Q28" s="68">
        <f>VLOOKUP($D$28,[2]ACHIEV!$B$10:$X$100,MATCH(Q$11,$E$11:$Y$11,0)+2,FALSE)</f>
        <v>0.9865231113648858</v>
      </c>
      <c r="R28" s="68">
        <f>VLOOKUP($D$28,[2]ACHIEV!$B$10:$X$100,MATCH(R$11,$E$11:$Y$11,0)+2,FALSE)</f>
        <v>1.0012970762896924</v>
      </c>
      <c r="S28" s="68">
        <f>VLOOKUP($D$28,[2]ACHIEV!$B$10:$X$100,MATCH(S$11,$E$11:$Y$11,0)+2,FALSE)</f>
        <v>1.0076356106578106</v>
      </c>
      <c r="T28" s="68">
        <f>VLOOKUP($D$28,[2]ACHIEV!$B$10:$X$100,MATCH(T$11,$E$11:$Y$11,0)+2,FALSE)</f>
        <v>1.0098624683774413</v>
      </c>
      <c r="U28" s="68">
        <f>VLOOKUP($D$28,[2]ACHIEV!$B$10:$X$100,MATCH(U$11,$E$11:$Y$11,0)+2,FALSE)</f>
        <v>1.0104871783970797</v>
      </c>
      <c r="V28" s="68">
        <f>VLOOKUP($D$28,[2]ACHIEV!$B$10:$X$100,MATCH(V$11,$E$11:$Y$11,0)+2,FALSE)</f>
        <v>1.010623336815976</v>
      </c>
      <c r="W28" s="68">
        <f>VLOOKUP($D$28,[2]ACHIEV!$B$10:$X$100,MATCH(W$11,$E$11:$Y$11,0)+2,FALSE)</f>
        <v>1.0106457174525985</v>
      </c>
      <c r="X28" s="68">
        <f>VLOOKUP($D$28,[2]ACHIEV!$B$10:$X$100,MATCH(X$11,$E$11:$Y$11,0)+2,FALSE)</f>
        <v>1.0106484038909742</v>
      </c>
      <c r="Y28" s="68"/>
      <c r="AA28" s="404">
        <v>0.85</v>
      </c>
    </row>
    <row r="29" spans="1:27">
      <c r="D29" s="7" t="str">
        <f>C21</f>
        <v>Single Family</v>
      </c>
      <c r="E29" s="35">
        <f>E21*E$28*$AA$28</f>
        <v>224.59180140626631</v>
      </c>
      <c r="F29" s="35">
        <f t="shared" ref="F29:X29" si="5">F21*F$28*$AA$28</f>
        <v>478.61205375396418</v>
      </c>
      <c r="G29" s="35">
        <f t="shared" si="5"/>
        <v>759.59804199651524</v>
      </c>
      <c r="H29" s="35">
        <f t="shared" si="5"/>
        <v>1078.4964440378931</v>
      </c>
      <c r="I29" s="35">
        <f t="shared" si="5"/>
        <v>1430.907694736813</v>
      </c>
      <c r="J29" s="35">
        <f t="shared" si="5"/>
        <v>1788.2244110872468</v>
      </c>
      <c r="K29" s="35">
        <f t="shared" si="5"/>
        <v>2191.4882228234428</v>
      </c>
      <c r="L29" s="35">
        <f t="shared" si="5"/>
        <v>2641.6450663999326</v>
      </c>
      <c r="M29" s="35">
        <f t="shared" si="5"/>
        <v>3044.0216805447617</v>
      </c>
      <c r="N29" s="35">
        <f t="shared" si="5"/>
        <v>3473.9758182876531</v>
      </c>
      <c r="O29" s="35">
        <f t="shared" si="5"/>
        <v>3791.1181577561674</v>
      </c>
      <c r="P29" s="35">
        <f t="shared" si="5"/>
        <v>3940.862508994489</v>
      </c>
      <c r="Q29" s="35">
        <f t="shared" si="5"/>
        <v>3952.0494475939113</v>
      </c>
      <c r="R29" s="35">
        <f t="shared" si="5"/>
        <v>4015.3813800933472</v>
      </c>
      <c r="S29" s="35">
        <f t="shared" si="5"/>
        <v>4087.9437516899534</v>
      </c>
      <c r="T29" s="35">
        <f t="shared" si="5"/>
        <v>4079.5010847234421</v>
      </c>
      <c r="U29" s="35">
        <f t="shared" si="5"/>
        <v>3946.9871258595226</v>
      </c>
      <c r="V29" s="35">
        <f t="shared" si="5"/>
        <v>3940.7636618067932</v>
      </c>
      <c r="W29" s="35">
        <f t="shared" si="5"/>
        <v>3950.8590174561655</v>
      </c>
      <c r="X29" s="35">
        <f t="shared" si="5"/>
        <v>3977.6914867031091</v>
      </c>
      <c r="Y29" s="35"/>
      <c r="AA29" s="35">
        <f t="shared" ref="AA29" si="6">SUM(E29:Y29)</f>
        <v>56794.718857751403</v>
      </c>
    </row>
    <row r="30" spans="1:27">
      <c r="E30" s="35"/>
      <c r="F30" s="35"/>
      <c r="G30" s="35"/>
      <c r="H30" s="35"/>
      <c r="I30" s="35"/>
      <c r="J30" s="35"/>
      <c r="K30" s="35"/>
      <c r="L30" s="35"/>
      <c r="M30" s="35"/>
      <c r="N30" s="35"/>
      <c r="O30" s="35"/>
      <c r="P30" s="35"/>
      <c r="Q30" s="35"/>
      <c r="R30" s="35"/>
      <c r="S30" s="35"/>
      <c r="T30" s="35"/>
      <c r="U30" s="35"/>
      <c r="V30" s="35"/>
      <c r="W30" s="35"/>
      <c r="X30" s="35"/>
      <c r="Y30" s="35"/>
      <c r="AA30" s="35"/>
    </row>
    <row r="31" spans="1:27">
      <c r="E31" s="35"/>
      <c r="F31" s="35"/>
      <c r="G31" s="35"/>
      <c r="H31" s="35"/>
      <c r="I31" s="35"/>
      <c r="J31" s="35"/>
      <c r="K31" s="35"/>
      <c r="L31" s="35"/>
      <c r="M31" s="35"/>
      <c r="N31" s="35"/>
      <c r="O31" s="35"/>
      <c r="P31" s="35"/>
      <c r="Q31" s="35"/>
      <c r="R31" s="35"/>
      <c r="S31" s="35"/>
      <c r="T31" s="35"/>
      <c r="U31" s="35"/>
      <c r="V31" s="35"/>
      <c r="W31" s="35"/>
      <c r="X31" s="35"/>
      <c r="Y31" s="35"/>
    </row>
    <row r="32" spans="1:27">
      <c r="E32" s="35">
        <f t="shared" ref="E32:X32" si="7">SUM(E29:E30)</f>
        <v>224.59180140626631</v>
      </c>
      <c r="F32" s="35">
        <f t="shared" si="7"/>
        <v>478.61205375396418</v>
      </c>
      <c r="G32" s="35">
        <f t="shared" si="7"/>
        <v>759.59804199651524</v>
      </c>
      <c r="H32" s="35">
        <f t="shared" si="7"/>
        <v>1078.4964440378931</v>
      </c>
      <c r="I32" s="35">
        <f t="shared" si="7"/>
        <v>1430.907694736813</v>
      </c>
      <c r="J32" s="35">
        <f t="shared" si="7"/>
        <v>1788.2244110872468</v>
      </c>
      <c r="K32" s="35">
        <f t="shared" si="7"/>
        <v>2191.4882228234428</v>
      </c>
      <c r="L32" s="35">
        <f t="shared" si="7"/>
        <v>2641.6450663999326</v>
      </c>
      <c r="M32" s="35">
        <f t="shared" si="7"/>
        <v>3044.0216805447617</v>
      </c>
      <c r="N32" s="35">
        <f t="shared" si="7"/>
        <v>3473.9758182876531</v>
      </c>
      <c r="O32" s="35">
        <f t="shared" si="7"/>
        <v>3791.1181577561674</v>
      </c>
      <c r="P32" s="35">
        <f t="shared" si="7"/>
        <v>3940.862508994489</v>
      </c>
      <c r="Q32" s="35">
        <f t="shared" si="7"/>
        <v>3952.0494475939113</v>
      </c>
      <c r="R32" s="35">
        <f t="shared" si="7"/>
        <v>4015.3813800933472</v>
      </c>
      <c r="S32" s="35">
        <f t="shared" si="7"/>
        <v>4087.9437516899534</v>
      </c>
      <c r="T32" s="35">
        <f t="shared" si="7"/>
        <v>4079.5010847234421</v>
      </c>
      <c r="U32" s="35">
        <f t="shared" si="7"/>
        <v>3946.9871258595226</v>
      </c>
      <c r="V32" s="35">
        <f t="shared" si="7"/>
        <v>3940.7636618067932</v>
      </c>
      <c r="W32" s="35">
        <f t="shared" si="7"/>
        <v>3950.8590174561655</v>
      </c>
      <c r="X32" s="35">
        <f t="shared" si="7"/>
        <v>3977.6914867031091</v>
      </c>
      <c r="Y32" s="35"/>
      <c r="AA32" s="35">
        <f>SUM(E32:Y32)</f>
        <v>56794.718857751403</v>
      </c>
    </row>
    <row r="34" spans="1:80">
      <c r="AA34"/>
      <c r="AB34"/>
      <c r="AC34"/>
      <c r="AD34"/>
    </row>
    <row r="35" spans="1:80" ht="15">
      <c r="A35" s="55" t="s">
        <v>62</v>
      </c>
      <c r="C35" s="64" t="str">
        <f>C8</f>
        <v>ASHP</v>
      </c>
      <c r="D35" s="64"/>
      <c r="E35" s="7" t="s">
        <v>157</v>
      </c>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row>
    <row r="36" spans="1:80" ht="15">
      <c r="A36" s="64" t="s">
        <v>63</v>
      </c>
      <c r="B36" s="64" t="s">
        <v>810</v>
      </c>
      <c r="C36" s="64">
        <v>1</v>
      </c>
      <c r="D36" s="64"/>
      <c r="E36" s="58">
        <f t="shared" ref="E36:X36" si="8">E11</f>
        <v>2016</v>
      </c>
      <c r="F36" s="59">
        <f t="shared" si="8"/>
        <v>2017</v>
      </c>
      <c r="G36" s="59">
        <f t="shared" si="8"/>
        <v>2018</v>
      </c>
      <c r="H36" s="59">
        <f t="shared" si="8"/>
        <v>2019</v>
      </c>
      <c r="I36" s="59">
        <f t="shared" si="8"/>
        <v>2020</v>
      </c>
      <c r="J36" s="59">
        <f t="shared" si="8"/>
        <v>2021</v>
      </c>
      <c r="K36" s="59">
        <f t="shared" si="8"/>
        <v>2022</v>
      </c>
      <c r="L36" s="59">
        <f t="shared" si="8"/>
        <v>2023</v>
      </c>
      <c r="M36" s="59">
        <f t="shared" si="8"/>
        <v>2024</v>
      </c>
      <c r="N36" s="59">
        <f t="shared" si="8"/>
        <v>2025</v>
      </c>
      <c r="O36" s="59">
        <f t="shared" si="8"/>
        <v>2026</v>
      </c>
      <c r="P36" s="59">
        <f t="shared" si="8"/>
        <v>2027</v>
      </c>
      <c r="Q36" s="59">
        <f t="shared" si="8"/>
        <v>2028</v>
      </c>
      <c r="R36" s="59">
        <f t="shared" si="8"/>
        <v>2029</v>
      </c>
      <c r="S36" s="59">
        <f t="shared" si="8"/>
        <v>2030</v>
      </c>
      <c r="T36" s="59">
        <f t="shared" si="8"/>
        <v>2031</v>
      </c>
      <c r="U36" s="59">
        <f t="shared" si="8"/>
        <v>2032</v>
      </c>
      <c r="V36" s="59">
        <f t="shared" si="8"/>
        <v>2033</v>
      </c>
      <c r="W36" s="59">
        <f t="shared" si="8"/>
        <v>2034</v>
      </c>
      <c r="X36" s="59">
        <f t="shared" si="8"/>
        <v>2035</v>
      </c>
      <c r="Y36" s="60" t="s">
        <v>60</v>
      </c>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row>
    <row r="37" spans="1:80" ht="15">
      <c r="A37" s="64" t="s">
        <v>46</v>
      </c>
      <c r="B37" s="64" t="s">
        <v>64</v>
      </c>
      <c r="C37" s="64" t="s">
        <v>65</v>
      </c>
      <c r="D37" s="64" t="s">
        <v>66</v>
      </c>
      <c r="E37" s="61" t="str">
        <f>CONCATENATE("aMW_",E$11)</f>
        <v>aMW_2016</v>
      </c>
      <c r="F37" s="62" t="str">
        <f t="shared" ref="F37:X37" si="9">CONCATENATE("aMW_",F$11)</f>
        <v>aMW_2017</v>
      </c>
      <c r="G37" s="62" t="str">
        <f t="shared" si="9"/>
        <v>aMW_2018</v>
      </c>
      <c r="H37" s="62" t="str">
        <f t="shared" si="9"/>
        <v>aMW_2019</v>
      </c>
      <c r="I37" s="62" t="str">
        <f t="shared" si="9"/>
        <v>aMW_2020</v>
      </c>
      <c r="J37" s="62" t="str">
        <f t="shared" si="9"/>
        <v>aMW_2021</v>
      </c>
      <c r="K37" s="62" t="str">
        <f t="shared" si="9"/>
        <v>aMW_2022</v>
      </c>
      <c r="L37" s="62" t="str">
        <f t="shared" si="9"/>
        <v>aMW_2023</v>
      </c>
      <c r="M37" s="62" t="str">
        <f t="shared" si="9"/>
        <v>aMW_2024</v>
      </c>
      <c r="N37" s="62" t="str">
        <f t="shared" si="9"/>
        <v>aMW_2025</v>
      </c>
      <c r="O37" s="62" t="str">
        <f t="shared" si="9"/>
        <v>aMW_2026</v>
      </c>
      <c r="P37" s="62" t="str">
        <f t="shared" si="9"/>
        <v>aMW_2027</v>
      </c>
      <c r="Q37" s="62" t="str">
        <f t="shared" si="9"/>
        <v>aMW_2028</v>
      </c>
      <c r="R37" s="62" t="str">
        <f t="shared" si="9"/>
        <v>aMW_2029</v>
      </c>
      <c r="S37" s="62" t="str">
        <f t="shared" si="9"/>
        <v>aMW_2030</v>
      </c>
      <c r="T37" s="62" t="str">
        <f t="shared" si="9"/>
        <v>aMW_2031</v>
      </c>
      <c r="U37" s="62" t="str">
        <f t="shared" si="9"/>
        <v>aMW_2032</v>
      </c>
      <c r="V37" s="62" t="str">
        <f t="shared" si="9"/>
        <v>aMW_2033</v>
      </c>
      <c r="W37" s="62" t="str">
        <f t="shared" si="9"/>
        <v>aMW_2034</v>
      </c>
      <c r="X37" s="62" t="str">
        <f t="shared" si="9"/>
        <v>aMW_2035</v>
      </c>
      <c r="Y37" s="63" t="s">
        <v>60</v>
      </c>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row>
    <row r="38" spans="1:80">
      <c r="A38" s="57">
        <f t="shared" ref="A38:A39" si="10">VLOOKUP($D38,MeasureOutput,3,FALSE)</f>
        <v>604.08127008718748</v>
      </c>
      <c r="B38" s="57">
        <f t="shared" ref="B38:B39" si="11">VLOOKUP($D38,MeasureOutput,11,FALSE)</f>
        <v>931.03029713947728</v>
      </c>
      <c r="C38" s="7" t="s">
        <v>49</v>
      </c>
      <c r="D38" s="7" t="s">
        <v>804</v>
      </c>
      <c r="E38" s="29">
        <f>VLOOKUP($C38,$D$29:$Z$29,E$27,FALSE)*$C$36*$A38/8760/1000</f>
        <v>1.5487637059893464E-2</v>
      </c>
      <c r="F38" s="29">
        <f t="shared" ref="F38:U39" si="12">VLOOKUP($C38,$D$29:$Z$29,F$27,FALSE)*$C$36*$A38/8760/1000</f>
        <v>3.3004632113097253E-2</v>
      </c>
      <c r="G38" s="29">
        <f t="shared" si="12"/>
        <v>5.2381158671803159E-2</v>
      </c>
      <c r="H38" s="29">
        <f t="shared" si="12"/>
        <v>7.4372089235037186E-2</v>
      </c>
      <c r="I38" s="29">
        <f t="shared" si="12"/>
        <v>9.8674033974217312E-2</v>
      </c>
      <c r="J38" s="29">
        <f t="shared" si="12"/>
        <v>0.12331425496010238</v>
      </c>
      <c r="K38" s="29">
        <f t="shared" si="12"/>
        <v>0.15112294395254552</v>
      </c>
      <c r="L38" s="29">
        <f t="shared" si="12"/>
        <v>0.18216533182995706</v>
      </c>
      <c r="M38" s="29">
        <f t="shared" si="12"/>
        <v>0.20991284052013864</v>
      </c>
      <c r="N38" s="29">
        <f t="shared" si="12"/>
        <v>0.23956206901408472</v>
      </c>
      <c r="O38" s="29">
        <f t="shared" si="12"/>
        <v>0.26143190317213971</v>
      </c>
      <c r="P38" s="29">
        <f t="shared" si="12"/>
        <v>0.27175813124113823</v>
      </c>
      <c r="Q38" s="29">
        <f t="shared" si="12"/>
        <v>0.27252957188925775</v>
      </c>
      <c r="R38" s="29">
        <f t="shared" si="12"/>
        <v>0.27689688173187593</v>
      </c>
      <c r="S38" s="29">
        <f t="shared" si="12"/>
        <v>0.28190071387738003</v>
      </c>
      <c r="T38" s="29">
        <f t="shared" si="12"/>
        <v>0.28131851559152921</v>
      </c>
      <c r="U38" s="29">
        <f t="shared" si="12"/>
        <v>0.27218047899623271</v>
      </c>
      <c r="V38" s="29">
        <f t="shared" ref="V38:X39" si="13">VLOOKUP($C38,$D$29:$Z$29,V$27,FALSE)*$C$36*$A38/8760/1000</f>
        <v>0.27175131483306886</v>
      </c>
      <c r="W38" s="29">
        <f t="shared" si="13"/>
        <v>0.27244748095894267</v>
      </c>
      <c r="X38" s="29">
        <f t="shared" si="13"/>
        <v>0.27429782252312868</v>
      </c>
      <c r="Y38" s="29">
        <f>SUM(E38:X38)</f>
        <v>3.9165098061455703</v>
      </c>
      <c r="AA38" s="35">
        <f>SUM(E38:X38)</f>
        <v>3.9165098061455703</v>
      </c>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row>
    <row r="39" spans="1:80">
      <c r="A39" s="57">
        <f t="shared" si="10"/>
        <v>169.0298278611364</v>
      </c>
      <c r="B39" s="57">
        <f t="shared" si="11"/>
        <v>22.457961847090477</v>
      </c>
      <c r="C39" s="7" t="s">
        <v>49</v>
      </c>
      <c r="D39" s="7" t="s">
        <v>802</v>
      </c>
      <c r="E39" s="29">
        <f>VLOOKUP($C39,$D$29:$Z$29,E$27,FALSE)*$C$36*$A39/8760/1000</f>
        <v>4.333643097114581E-3</v>
      </c>
      <c r="F39" s="29">
        <f t="shared" si="12"/>
        <v>9.2351270614494888E-3</v>
      </c>
      <c r="G39" s="29">
        <f t="shared" si="12"/>
        <v>1.4656932224009959E-2</v>
      </c>
      <c r="H39" s="29">
        <f t="shared" si="12"/>
        <v>2.0810281767645298E-2</v>
      </c>
      <c r="I39" s="29">
        <f t="shared" si="12"/>
        <v>2.7610283256454225E-2</v>
      </c>
      <c r="J39" s="29">
        <f t="shared" si="12"/>
        <v>3.4504938856525037E-2</v>
      </c>
      <c r="K39" s="29">
        <f t="shared" si="12"/>
        <v>4.2286173180771033E-2</v>
      </c>
      <c r="L39" s="29">
        <f t="shared" si="12"/>
        <v>5.0972238680799177E-2</v>
      </c>
      <c r="M39" s="29">
        <f t="shared" si="12"/>
        <v>5.8736353957539747E-2</v>
      </c>
      <c r="N39" s="29">
        <f t="shared" si="12"/>
        <v>6.703259526928225E-2</v>
      </c>
      <c r="O39" s="29">
        <f t="shared" si="12"/>
        <v>7.3152060457391949E-2</v>
      </c>
      <c r="P39" s="29">
        <f t="shared" si="12"/>
        <v>7.6041473917779059E-2</v>
      </c>
      <c r="Q39" s="29">
        <f t="shared" si="12"/>
        <v>7.6257333085102519E-2</v>
      </c>
      <c r="R39" s="29">
        <f t="shared" si="12"/>
        <v>7.7479363410272922E-2</v>
      </c>
      <c r="S39" s="29">
        <f t="shared" si="12"/>
        <v>7.8879500987917905E-2</v>
      </c>
      <c r="T39" s="29">
        <f t="shared" si="12"/>
        <v>7.8716594304808526E-2</v>
      </c>
      <c r="U39" s="29">
        <f t="shared" si="12"/>
        <v>7.6159652334949382E-2</v>
      </c>
      <c r="V39" s="29">
        <f t="shared" si="13"/>
        <v>7.60395665977881E-2</v>
      </c>
      <c r="W39" s="29">
        <f t="shared" si="13"/>
        <v>7.6234362970802994E-2</v>
      </c>
      <c r="X39" s="29">
        <f t="shared" si="13"/>
        <v>7.6752112703439984E-2</v>
      </c>
      <c r="Y39" s="29">
        <f t="shared" ref="Y39" si="14">SUM(E39:X39)</f>
        <v>1.0958905881218441</v>
      </c>
      <c r="AA39" s="35">
        <f t="shared" ref="AA39" si="15">SUM(E39:X39)</f>
        <v>1.0958905881218441</v>
      </c>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row>
    <row r="40" spans="1:80">
      <c r="A40" s="57"/>
      <c r="B40" s="57"/>
      <c r="E40" s="29"/>
      <c r="F40" s="29"/>
      <c r="G40" s="29"/>
      <c r="H40" s="29"/>
      <c r="I40" s="29"/>
      <c r="J40" s="29"/>
      <c r="K40" s="29"/>
      <c r="L40" s="29"/>
      <c r="M40" s="29"/>
      <c r="N40" s="29"/>
      <c r="O40" s="29"/>
      <c r="P40" s="29"/>
      <c r="Q40" s="29"/>
      <c r="R40" s="29"/>
      <c r="S40" s="29"/>
      <c r="T40" s="29"/>
      <c r="U40" s="29"/>
      <c r="V40" s="29"/>
      <c r="W40" s="29"/>
      <c r="X40" s="29"/>
      <c r="Y40" s="29"/>
      <c r="AA40" s="35"/>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row>
    <row r="41" spans="1:80">
      <c r="A41" s="57"/>
      <c r="B41" s="57"/>
      <c r="E41" s="29"/>
      <c r="F41" s="29"/>
      <c r="G41" s="29"/>
      <c r="H41" s="29"/>
      <c r="I41" s="29"/>
      <c r="J41" s="29"/>
      <c r="K41" s="29"/>
      <c r="L41" s="29"/>
      <c r="M41" s="29"/>
      <c r="N41" s="29"/>
      <c r="O41" s="29"/>
      <c r="P41" s="29"/>
      <c r="Q41" s="29"/>
      <c r="R41" s="29"/>
      <c r="S41" s="29"/>
      <c r="T41" s="29"/>
      <c r="U41" s="29"/>
      <c r="V41" s="29"/>
      <c r="W41" s="29"/>
      <c r="X41" s="29"/>
      <c r="Y41" s="29"/>
      <c r="AA41" s="35"/>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row>
    <row r="42" spans="1:80">
      <c r="A42" s="57"/>
      <c r="B42" s="57"/>
      <c r="E42" s="29"/>
      <c r="F42" s="29"/>
      <c r="G42" s="29"/>
      <c r="H42" s="29"/>
      <c r="I42" s="29"/>
      <c r="J42" s="29"/>
      <c r="K42" s="29"/>
      <c r="L42" s="29"/>
      <c r="M42" s="29"/>
      <c r="N42" s="29"/>
      <c r="O42" s="29"/>
      <c r="P42" s="29"/>
      <c r="Q42" s="29"/>
      <c r="R42" s="29"/>
      <c r="S42" s="29"/>
      <c r="T42" s="29"/>
      <c r="U42" s="29"/>
      <c r="V42" s="29"/>
      <c r="W42" s="29"/>
      <c r="X42" s="29"/>
      <c r="Y42" s="29"/>
      <c r="AA42" s="35"/>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row>
    <row r="43" spans="1:80">
      <c r="A43" s="57"/>
      <c r="B43" s="57"/>
      <c r="E43" s="29"/>
      <c r="F43" s="29"/>
      <c r="G43" s="29"/>
      <c r="H43" s="29"/>
      <c r="I43" s="29"/>
      <c r="J43" s="29"/>
      <c r="K43" s="29"/>
      <c r="L43" s="29"/>
      <c r="M43" s="29"/>
      <c r="N43" s="29"/>
      <c r="O43" s="29"/>
      <c r="P43" s="29"/>
      <c r="Q43" s="29"/>
      <c r="R43" s="29"/>
      <c r="S43" s="29"/>
      <c r="T43" s="29"/>
      <c r="U43" s="29"/>
      <c r="V43" s="29"/>
      <c r="W43" s="29"/>
      <c r="X43" s="29"/>
      <c r="Y43" s="29"/>
      <c r="AA43" s="35"/>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row>
    <row r="44" spans="1:80">
      <c r="AA44" s="35"/>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row>
    <row r="45" spans="1:80">
      <c r="B45" s="67">
        <f>SUMPRODUCT(B38:B43,AA38:AA43)/SUM(AA38:AA43)</f>
        <v>732.38378198606506</v>
      </c>
      <c r="E45" s="29">
        <f t="shared" ref="E45:Y45" si="16">SUM(E38:E43)</f>
        <v>1.9821280157008046E-2</v>
      </c>
      <c r="F45" s="29">
        <f t="shared" si="16"/>
        <v>4.223975917454674E-2</v>
      </c>
      <c r="G45" s="29">
        <f t="shared" si="16"/>
        <v>6.7038090895813113E-2</v>
      </c>
      <c r="H45" s="29">
        <f t="shared" si="16"/>
        <v>9.5182371002682481E-2</v>
      </c>
      <c r="I45" s="29">
        <f t="shared" si="16"/>
        <v>0.12628431723067154</v>
      </c>
      <c r="J45" s="29">
        <f t="shared" si="16"/>
        <v>0.15781919381662743</v>
      </c>
      <c r="K45" s="29">
        <f t="shared" si="16"/>
        <v>0.19340911713331654</v>
      </c>
      <c r="L45" s="29">
        <f t="shared" si="16"/>
        <v>0.23313757051075623</v>
      </c>
      <c r="M45" s="29">
        <f t="shared" si="16"/>
        <v>0.26864919447767838</v>
      </c>
      <c r="N45" s="29">
        <f t="shared" si="16"/>
        <v>0.30659466428336696</v>
      </c>
      <c r="O45" s="29">
        <f t="shared" si="16"/>
        <v>0.33458396362953169</v>
      </c>
      <c r="P45" s="29">
        <f t="shared" si="16"/>
        <v>0.34779960515891728</v>
      </c>
      <c r="Q45" s="29">
        <f t="shared" si="16"/>
        <v>0.34878690497436027</v>
      </c>
      <c r="R45" s="29">
        <f t="shared" si="16"/>
        <v>0.35437624514214883</v>
      </c>
      <c r="S45" s="29">
        <f t="shared" si="16"/>
        <v>0.36078021486529793</v>
      </c>
      <c r="T45" s="29">
        <f t="shared" si="16"/>
        <v>0.36003510989633775</v>
      </c>
      <c r="U45" s="29">
        <f t="shared" si="16"/>
        <v>0.34834013133118208</v>
      </c>
      <c r="V45" s="29">
        <f t="shared" si="16"/>
        <v>0.34779088143085696</v>
      </c>
      <c r="W45" s="29">
        <f t="shared" si="16"/>
        <v>0.34868184392974566</v>
      </c>
      <c r="X45" s="29">
        <f t="shared" si="16"/>
        <v>0.35104993522656869</v>
      </c>
      <c r="Y45" s="29">
        <f t="shared" si="16"/>
        <v>5.0124003942674147</v>
      </c>
      <c r="AA45" s="35">
        <f t="shared" ref="AA45" si="17">SUM(E45:Y45)</f>
        <v>10.024800788534829</v>
      </c>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row>
    <row r="46" spans="1:80">
      <c r="E46" s="29">
        <f>E45</f>
        <v>1.9821280157008046E-2</v>
      </c>
      <c r="F46" s="29">
        <f>F45+E46</f>
        <v>6.2061039331554782E-2</v>
      </c>
      <c r="G46" s="29">
        <f t="shared" ref="G46:X46" si="18">G45+F46</f>
        <v>0.12909913022736791</v>
      </c>
      <c r="H46" s="29">
        <f t="shared" si="18"/>
        <v>0.22428150123005039</v>
      </c>
      <c r="I46" s="29">
        <f t="shared" si="18"/>
        <v>0.35056581846072193</v>
      </c>
      <c r="J46" s="29">
        <f t="shared" si="18"/>
        <v>0.50838501227734934</v>
      </c>
      <c r="K46" s="29">
        <f t="shared" si="18"/>
        <v>0.70179412941066588</v>
      </c>
      <c r="L46" s="29">
        <f t="shared" si="18"/>
        <v>0.93493169992142211</v>
      </c>
      <c r="M46" s="29">
        <f t="shared" si="18"/>
        <v>1.2035808943991004</v>
      </c>
      <c r="N46" s="29">
        <f t="shared" si="18"/>
        <v>1.5101755586824674</v>
      </c>
      <c r="O46" s="29">
        <f t="shared" si="18"/>
        <v>1.8447595223119992</v>
      </c>
      <c r="P46" s="29">
        <f t="shared" si="18"/>
        <v>2.1925591274709166</v>
      </c>
      <c r="Q46" s="29">
        <f t="shared" si="18"/>
        <v>2.541346032445277</v>
      </c>
      <c r="R46" s="29">
        <f t="shared" si="18"/>
        <v>2.8957222775874261</v>
      </c>
      <c r="S46" s="29">
        <f t="shared" si="18"/>
        <v>3.2565024924527242</v>
      </c>
      <c r="T46" s="29">
        <f t="shared" si="18"/>
        <v>3.6165376023490619</v>
      </c>
      <c r="U46" s="29">
        <f t="shared" si="18"/>
        <v>3.9648777336802441</v>
      </c>
      <c r="V46" s="29">
        <f t="shared" si="18"/>
        <v>4.3126686151111011</v>
      </c>
      <c r="W46" s="29">
        <f t="shared" si="18"/>
        <v>4.6613504590408468</v>
      </c>
      <c r="X46" s="29">
        <f t="shared" si="18"/>
        <v>5.0124003942674156</v>
      </c>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row>
    <row r="47" spans="1:80">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row>
    <row r="48" spans="1:80" ht="15">
      <c r="A48" s="55" t="s">
        <v>67</v>
      </c>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row>
    <row r="49" spans="2:80" ht="15">
      <c r="E49" s="58">
        <f t="shared" ref="E49:X49" si="19">E11</f>
        <v>2016</v>
      </c>
      <c r="F49" s="59">
        <f t="shared" si="19"/>
        <v>2017</v>
      </c>
      <c r="G49" s="59">
        <f t="shared" si="19"/>
        <v>2018</v>
      </c>
      <c r="H49" s="59">
        <f t="shared" si="19"/>
        <v>2019</v>
      </c>
      <c r="I49" s="59">
        <f t="shared" si="19"/>
        <v>2020</v>
      </c>
      <c r="J49" s="59">
        <f t="shared" si="19"/>
        <v>2021</v>
      </c>
      <c r="K49" s="59">
        <f t="shared" si="19"/>
        <v>2022</v>
      </c>
      <c r="L49" s="59">
        <f t="shared" si="19"/>
        <v>2023</v>
      </c>
      <c r="M49" s="59">
        <f t="shared" si="19"/>
        <v>2024</v>
      </c>
      <c r="N49" s="59">
        <f t="shared" si="19"/>
        <v>2025</v>
      </c>
      <c r="O49" s="59">
        <f t="shared" si="19"/>
        <v>2026</v>
      </c>
      <c r="P49" s="59">
        <f t="shared" si="19"/>
        <v>2027</v>
      </c>
      <c r="Q49" s="59">
        <f t="shared" si="19"/>
        <v>2028</v>
      </c>
      <c r="R49" s="59">
        <f t="shared" si="19"/>
        <v>2029</v>
      </c>
      <c r="S49" s="59">
        <f t="shared" si="19"/>
        <v>2030</v>
      </c>
      <c r="T49" s="59">
        <f t="shared" si="19"/>
        <v>2031</v>
      </c>
      <c r="U49" s="59">
        <f t="shared" si="19"/>
        <v>2032</v>
      </c>
      <c r="V49" s="59">
        <f t="shared" si="19"/>
        <v>2033</v>
      </c>
      <c r="W49" s="59">
        <f t="shared" si="19"/>
        <v>2034</v>
      </c>
      <c r="X49" s="59">
        <f t="shared" si="19"/>
        <v>2035</v>
      </c>
      <c r="Y49" s="60" t="s">
        <v>60</v>
      </c>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row>
    <row r="50" spans="2:80" ht="15">
      <c r="C50" s="49" t="s">
        <v>64</v>
      </c>
      <c r="D50" s="49" t="s">
        <v>64</v>
      </c>
      <c r="E50" s="61" t="str">
        <f>CONCATENATE("aMW_",E$11)</f>
        <v>aMW_2016</v>
      </c>
      <c r="F50" s="62" t="str">
        <f t="shared" ref="F50:X50" si="20">CONCATENATE("aMW_",F$11)</f>
        <v>aMW_2017</v>
      </c>
      <c r="G50" s="62" t="str">
        <f t="shared" si="20"/>
        <v>aMW_2018</v>
      </c>
      <c r="H50" s="62" t="str">
        <f t="shared" si="20"/>
        <v>aMW_2019</v>
      </c>
      <c r="I50" s="62" t="str">
        <f t="shared" si="20"/>
        <v>aMW_2020</v>
      </c>
      <c r="J50" s="62" t="str">
        <f t="shared" si="20"/>
        <v>aMW_2021</v>
      </c>
      <c r="K50" s="62" t="str">
        <f t="shared" si="20"/>
        <v>aMW_2022</v>
      </c>
      <c r="L50" s="62" t="str">
        <f t="shared" si="20"/>
        <v>aMW_2023</v>
      </c>
      <c r="M50" s="62" t="str">
        <f t="shared" si="20"/>
        <v>aMW_2024</v>
      </c>
      <c r="N50" s="62" t="str">
        <f t="shared" si="20"/>
        <v>aMW_2025</v>
      </c>
      <c r="O50" s="62" t="str">
        <f t="shared" si="20"/>
        <v>aMW_2026</v>
      </c>
      <c r="P50" s="62" t="str">
        <f t="shared" si="20"/>
        <v>aMW_2027</v>
      </c>
      <c r="Q50" s="62" t="str">
        <f t="shared" si="20"/>
        <v>aMW_2028</v>
      </c>
      <c r="R50" s="62" t="str">
        <f t="shared" si="20"/>
        <v>aMW_2029</v>
      </c>
      <c r="S50" s="62" t="str">
        <f t="shared" si="20"/>
        <v>aMW_2030</v>
      </c>
      <c r="T50" s="62" t="str">
        <f t="shared" si="20"/>
        <v>aMW_2031</v>
      </c>
      <c r="U50" s="62" t="str">
        <f t="shared" si="20"/>
        <v>aMW_2032</v>
      </c>
      <c r="V50" s="62" t="str">
        <f t="shared" si="20"/>
        <v>aMW_2033</v>
      </c>
      <c r="W50" s="62" t="str">
        <f t="shared" si="20"/>
        <v>aMW_2034</v>
      </c>
      <c r="X50" s="62" t="str">
        <f t="shared" si="20"/>
        <v>aMW_2035</v>
      </c>
      <c r="Y50" s="63" t="s">
        <v>60</v>
      </c>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row>
    <row r="51" spans="2:80">
      <c r="B51" s="7" t="s">
        <v>68</v>
      </c>
      <c r="C51" s="50" t="s">
        <v>69</v>
      </c>
      <c r="D51" s="50" t="s">
        <v>70</v>
      </c>
      <c r="E51" s="29">
        <f>DSUM($B$37:$X$43,E$37,$C$50:$D51)</f>
        <v>0</v>
      </c>
      <c r="F51" s="29">
        <f>DSUM($B$37:$X$43,F$37,$C$50:$D51)</f>
        <v>0</v>
      </c>
      <c r="G51" s="29">
        <f>DSUM($B$37:$X$43,G$37,$C$50:$D51)</f>
        <v>0</v>
      </c>
      <c r="H51" s="29">
        <f>DSUM($B$37:$X$43,H$37,$C$50:$D51)</f>
        <v>0</v>
      </c>
      <c r="I51" s="29">
        <f>DSUM($B$37:$X$43,I$37,$C$50:$D51)</f>
        <v>0</v>
      </c>
      <c r="J51" s="29">
        <f>DSUM($B$37:$X$43,J$37,$C$50:$D51)</f>
        <v>0</v>
      </c>
      <c r="K51" s="29">
        <f>DSUM($B$37:$X$43,K$37,$C$50:$D51)</f>
        <v>0</v>
      </c>
      <c r="L51" s="29">
        <f>DSUM($B$37:$X$43,L$37,$C$50:$D51)</f>
        <v>0</v>
      </c>
      <c r="M51" s="29">
        <f>DSUM($B$37:$X$43,M$37,$C$50:$D51)</f>
        <v>0</v>
      </c>
      <c r="N51" s="29">
        <f>DSUM($B$37:$X$43,N$37,$C$50:$D51)</f>
        <v>0</v>
      </c>
      <c r="O51" s="29">
        <f>DSUM($B$37:$X$43,O$37,$C$50:$D51)</f>
        <v>0</v>
      </c>
      <c r="P51" s="29">
        <f>DSUM($B$37:$X$43,P$37,$C$50:$D51)</f>
        <v>0</v>
      </c>
      <c r="Q51" s="29">
        <f>DSUM($B$37:$X$43,Q$37,$C$50:$D51)</f>
        <v>0</v>
      </c>
      <c r="R51" s="29">
        <f>DSUM($B$37:$X$43,R$37,$C$50:$D51)</f>
        <v>0</v>
      </c>
      <c r="S51" s="29">
        <f>DSUM($B$37:$X$43,S$37,$C$50:$D51)</f>
        <v>0</v>
      </c>
      <c r="T51" s="29">
        <f>DSUM($B$37:$X$43,T$37,$C$50:$D51)</f>
        <v>0</v>
      </c>
      <c r="U51" s="29">
        <f>DSUM($B$37:$X$43,U$37,$C$50:$D51)</f>
        <v>0</v>
      </c>
      <c r="V51" s="29">
        <f>DSUM($B$37:$X$43,V$37,$C$50:$D51)</f>
        <v>0</v>
      </c>
      <c r="W51" s="29">
        <f>DSUM($B$37:$X$43,W$37,$C$50:$D51)</f>
        <v>0</v>
      </c>
      <c r="X51" s="29">
        <f>DSUM($B$37:$Y$43,X$37,$C$50:$D51)</f>
        <v>0</v>
      </c>
      <c r="Y51" s="29">
        <f>DSUM($B$37:$Y$43,Y$37,$C$50:$D51)</f>
        <v>0</v>
      </c>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row>
    <row r="52" spans="2:80">
      <c r="B52" s="7" t="s">
        <v>544</v>
      </c>
      <c r="C52" s="50" t="s">
        <v>72</v>
      </c>
      <c r="D52" s="50" t="s">
        <v>73</v>
      </c>
      <c r="E52" s="29">
        <f>DSUM($B$37:$X$43,E$37,$C$50:$D52)</f>
        <v>0</v>
      </c>
      <c r="F52" s="29">
        <f>DSUM($B$37:$X$43,F$37,$C$50:$D52)</f>
        <v>0</v>
      </c>
      <c r="G52" s="29">
        <f>DSUM($B$37:$X$43,G$37,$C$50:$D52)</f>
        <v>0</v>
      </c>
      <c r="H52" s="29">
        <f>DSUM($B$37:$X$43,H$37,$C$50:$D52)</f>
        <v>0</v>
      </c>
      <c r="I52" s="29">
        <f>DSUM($B$37:$X$43,I$37,$C$50:$D52)</f>
        <v>0</v>
      </c>
      <c r="J52" s="29">
        <f>DSUM($B$37:$X$43,J$37,$C$50:$D52)</f>
        <v>0</v>
      </c>
      <c r="K52" s="29">
        <f>DSUM($B$37:$X$43,K$37,$C$50:$D52)</f>
        <v>0</v>
      </c>
      <c r="L52" s="29">
        <f>DSUM($B$37:$X$43,L$37,$C$50:$D52)</f>
        <v>0</v>
      </c>
      <c r="M52" s="29">
        <f>DSUM($B$37:$X$43,M$37,$C$50:$D52)</f>
        <v>0</v>
      </c>
      <c r="N52" s="29">
        <f>DSUM($B$37:$X$43,N$37,$C$50:$D52)</f>
        <v>0</v>
      </c>
      <c r="O52" s="29">
        <f>DSUM($B$37:$X$43,O$37,$C$50:$D52)</f>
        <v>0</v>
      </c>
      <c r="P52" s="29">
        <f>DSUM($B$37:$X$43,P$37,$C$50:$D52)</f>
        <v>0</v>
      </c>
      <c r="Q52" s="29">
        <f>DSUM($B$37:$X$43,Q$37,$C$50:$D52)</f>
        <v>0</v>
      </c>
      <c r="R52" s="29">
        <f>DSUM($B$37:$X$43,R$37,$C$50:$D52)</f>
        <v>0</v>
      </c>
      <c r="S52" s="29">
        <f>DSUM($B$37:$X$43,S$37,$C$50:$D52)</f>
        <v>0</v>
      </c>
      <c r="T52" s="29">
        <f>DSUM($B$37:$X$43,T$37,$C$50:$D52)</f>
        <v>0</v>
      </c>
      <c r="U52" s="29">
        <f>DSUM($B$37:$X$43,U$37,$C$50:$D52)</f>
        <v>0</v>
      </c>
      <c r="V52" s="29">
        <f>DSUM($B$37:$X$43,V$37,$C$50:$D52)</f>
        <v>0</v>
      </c>
      <c r="W52" s="29">
        <f>DSUM($B$37:$X$43,W$37,$C$50:$D52)</f>
        <v>0</v>
      </c>
      <c r="X52" s="29">
        <f>DSUM($B$37:$Y$43,X$37,$C$50:$D52)</f>
        <v>0</v>
      </c>
      <c r="Y52" s="29">
        <f>DSUM($B$37:$Y$43,Y$37,$C$50:$D52)</f>
        <v>0</v>
      </c>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row>
    <row r="53" spans="2:80">
      <c r="B53" s="7" t="s">
        <v>74</v>
      </c>
      <c r="C53" s="50" t="s">
        <v>75</v>
      </c>
      <c r="D53" s="50" t="s">
        <v>76</v>
      </c>
      <c r="E53" s="29">
        <f>DSUM($B$37:$X$43,E$37,$C$50:$D53)</f>
        <v>0</v>
      </c>
      <c r="F53" s="29">
        <f>DSUM($B$37:$X$43,F$37,$C$50:$D53)</f>
        <v>0</v>
      </c>
      <c r="G53" s="29">
        <f>DSUM($B$37:$X$43,G$37,$C$50:$D53)</f>
        <v>0</v>
      </c>
      <c r="H53" s="29">
        <f>DSUM($B$37:$X$43,H$37,$C$50:$D53)</f>
        <v>0</v>
      </c>
      <c r="I53" s="29">
        <f>DSUM($B$37:$X$43,I$37,$C$50:$D53)</f>
        <v>0</v>
      </c>
      <c r="J53" s="29">
        <f>DSUM($B$37:$X$43,J$37,$C$50:$D53)</f>
        <v>0</v>
      </c>
      <c r="K53" s="29">
        <f>DSUM($B$37:$X$43,K$37,$C$50:$D53)</f>
        <v>0</v>
      </c>
      <c r="L53" s="29">
        <f>DSUM($B$37:$X$43,L$37,$C$50:$D53)</f>
        <v>0</v>
      </c>
      <c r="M53" s="29">
        <f>DSUM($B$37:$X$43,M$37,$C$50:$D53)</f>
        <v>0</v>
      </c>
      <c r="N53" s="29">
        <f>DSUM($B$37:$X$43,N$37,$C$50:$D53)</f>
        <v>0</v>
      </c>
      <c r="O53" s="29">
        <f>DSUM($B$37:$X$43,O$37,$C$50:$D53)</f>
        <v>0</v>
      </c>
      <c r="P53" s="29">
        <f>DSUM($B$37:$X$43,P$37,$C$50:$D53)</f>
        <v>0</v>
      </c>
      <c r="Q53" s="29">
        <f>DSUM($B$37:$X$43,Q$37,$C$50:$D53)</f>
        <v>0</v>
      </c>
      <c r="R53" s="29">
        <f>DSUM($B$37:$X$43,R$37,$C$50:$D53)</f>
        <v>0</v>
      </c>
      <c r="S53" s="29">
        <f>DSUM($B$37:$X$43,S$37,$C$50:$D53)</f>
        <v>0</v>
      </c>
      <c r="T53" s="29">
        <f>DSUM($B$37:$X$43,T$37,$C$50:$D53)</f>
        <v>0</v>
      </c>
      <c r="U53" s="29">
        <f>DSUM($B$37:$X$43,U$37,$C$50:$D53)</f>
        <v>0</v>
      </c>
      <c r="V53" s="29">
        <f>DSUM($B$37:$X$43,V$37,$C$50:$D53)</f>
        <v>0</v>
      </c>
      <c r="W53" s="29">
        <f>DSUM($B$37:$X$43,W$37,$C$50:$D53)</f>
        <v>0</v>
      </c>
      <c r="X53" s="29">
        <f>DSUM($B$37:$Y$43,X$37,$C$50:$D53)</f>
        <v>0</v>
      </c>
      <c r="Y53" s="29">
        <f>DSUM($B$37:$Y$43,Y$37,$C$50:$D53)</f>
        <v>0</v>
      </c>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row>
    <row r="54" spans="2:80">
      <c r="B54" s="7" t="s">
        <v>77</v>
      </c>
      <c r="C54" s="50" t="s">
        <v>78</v>
      </c>
      <c r="D54" s="50" t="s">
        <v>79</v>
      </c>
      <c r="E54" s="29">
        <f>DSUM($B$37:$X$43,E$37,$C$50:$D54)</f>
        <v>4.333643097114581E-3</v>
      </c>
      <c r="F54" s="29">
        <f>DSUM($B$37:$X$43,F$37,$C$50:$D54)</f>
        <v>9.2351270614494888E-3</v>
      </c>
      <c r="G54" s="29">
        <f>DSUM($B$37:$X$43,G$37,$C$50:$D54)</f>
        <v>1.4656932224009959E-2</v>
      </c>
      <c r="H54" s="29">
        <f>DSUM($B$37:$X$43,H$37,$C$50:$D54)</f>
        <v>2.0810281767645298E-2</v>
      </c>
      <c r="I54" s="29">
        <f>DSUM($B$37:$X$43,I$37,$C$50:$D54)</f>
        <v>2.7610283256454225E-2</v>
      </c>
      <c r="J54" s="29">
        <f>DSUM($B$37:$X$43,J$37,$C$50:$D54)</f>
        <v>3.4504938856525037E-2</v>
      </c>
      <c r="K54" s="29">
        <f>DSUM($B$37:$X$43,K$37,$C$50:$D54)</f>
        <v>4.2286173180771033E-2</v>
      </c>
      <c r="L54" s="29">
        <f>DSUM($B$37:$X$43,L$37,$C$50:$D54)</f>
        <v>5.0972238680799177E-2</v>
      </c>
      <c r="M54" s="29">
        <f>DSUM($B$37:$X$43,M$37,$C$50:$D54)</f>
        <v>5.8736353957539747E-2</v>
      </c>
      <c r="N54" s="29">
        <f>DSUM($B$37:$X$43,N$37,$C$50:$D54)</f>
        <v>6.703259526928225E-2</v>
      </c>
      <c r="O54" s="29">
        <f>DSUM($B$37:$X$43,O$37,$C$50:$D54)</f>
        <v>7.3152060457391949E-2</v>
      </c>
      <c r="P54" s="29">
        <f>DSUM($B$37:$X$43,P$37,$C$50:$D54)</f>
        <v>7.6041473917779059E-2</v>
      </c>
      <c r="Q54" s="29">
        <f>DSUM($B$37:$X$43,Q$37,$C$50:$D54)</f>
        <v>7.6257333085102519E-2</v>
      </c>
      <c r="R54" s="29">
        <f>DSUM($B$37:$X$43,R$37,$C$50:$D54)</f>
        <v>7.7479363410272922E-2</v>
      </c>
      <c r="S54" s="29">
        <f>DSUM($B$37:$X$43,S$37,$C$50:$D54)</f>
        <v>7.8879500987917905E-2</v>
      </c>
      <c r="T54" s="29">
        <f>DSUM($B$37:$X$43,T$37,$C$50:$D54)</f>
        <v>7.8716594304808526E-2</v>
      </c>
      <c r="U54" s="29">
        <f>DSUM($B$37:$X$43,U$37,$C$50:$D54)</f>
        <v>7.6159652334949382E-2</v>
      </c>
      <c r="V54" s="29">
        <f>DSUM($B$37:$X$43,V$37,$C$50:$D54)</f>
        <v>7.60395665977881E-2</v>
      </c>
      <c r="W54" s="29">
        <f>DSUM($B$37:$X$43,W$37,$C$50:$D54)</f>
        <v>7.6234362970802994E-2</v>
      </c>
      <c r="X54" s="29">
        <f>DSUM($B$37:$Y$43,X$37,$C$50:$D54)</f>
        <v>7.6752112703439984E-2</v>
      </c>
      <c r="Y54" s="29">
        <f>DSUM($B$37:$Y$43,Y$37,$C$50:$D54)</f>
        <v>1.0958905881218441</v>
      </c>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row>
    <row r="55" spans="2:80">
      <c r="B55" s="7" t="s">
        <v>80</v>
      </c>
      <c r="C55" s="50" t="s">
        <v>81</v>
      </c>
      <c r="D55" s="50" t="s">
        <v>82</v>
      </c>
      <c r="E55" s="29">
        <f>DSUM($B$37:$X$43,E$37,$C$50:$D55)</f>
        <v>4.333643097114581E-3</v>
      </c>
      <c r="F55" s="29">
        <f>DSUM($B$37:$X$43,F$37,$C$50:$D55)</f>
        <v>9.2351270614494888E-3</v>
      </c>
      <c r="G55" s="29">
        <f>DSUM($B$37:$X$43,G$37,$C$50:$D55)</f>
        <v>1.4656932224009959E-2</v>
      </c>
      <c r="H55" s="29">
        <f>DSUM($B$37:$X$43,H$37,$C$50:$D55)</f>
        <v>2.0810281767645298E-2</v>
      </c>
      <c r="I55" s="29">
        <f>DSUM($B$37:$X$43,I$37,$C$50:$D55)</f>
        <v>2.7610283256454225E-2</v>
      </c>
      <c r="J55" s="29">
        <f>DSUM($B$37:$X$43,J$37,$C$50:$D55)</f>
        <v>3.4504938856525037E-2</v>
      </c>
      <c r="K55" s="29">
        <f>DSUM($B$37:$X$43,K$37,$C$50:$D55)</f>
        <v>4.2286173180771033E-2</v>
      </c>
      <c r="L55" s="29">
        <f>DSUM($B$37:$X$43,L$37,$C$50:$D55)</f>
        <v>5.0972238680799177E-2</v>
      </c>
      <c r="M55" s="29">
        <f>DSUM($B$37:$X$43,M$37,$C$50:$D55)</f>
        <v>5.8736353957539747E-2</v>
      </c>
      <c r="N55" s="29">
        <f>DSUM($B$37:$X$43,N$37,$C$50:$D55)</f>
        <v>6.703259526928225E-2</v>
      </c>
      <c r="O55" s="29">
        <f>DSUM($B$37:$X$43,O$37,$C$50:$D55)</f>
        <v>7.3152060457391949E-2</v>
      </c>
      <c r="P55" s="29">
        <f>DSUM($B$37:$X$43,P$37,$C$50:$D55)</f>
        <v>7.6041473917779059E-2</v>
      </c>
      <c r="Q55" s="29">
        <f>DSUM($B$37:$X$43,Q$37,$C$50:$D55)</f>
        <v>7.6257333085102519E-2</v>
      </c>
      <c r="R55" s="29">
        <f>DSUM($B$37:$X$43,R$37,$C$50:$D55)</f>
        <v>7.7479363410272922E-2</v>
      </c>
      <c r="S55" s="29">
        <f>DSUM($B$37:$X$43,S$37,$C$50:$D55)</f>
        <v>7.8879500987917905E-2</v>
      </c>
      <c r="T55" s="29">
        <f>DSUM($B$37:$X$43,T$37,$C$50:$D55)</f>
        <v>7.8716594304808526E-2</v>
      </c>
      <c r="U55" s="29">
        <f>DSUM($B$37:$X$43,U$37,$C$50:$D55)</f>
        <v>7.6159652334949382E-2</v>
      </c>
      <c r="V55" s="29">
        <f>DSUM($B$37:$X$43,V$37,$C$50:$D55)</f>
        <v>7.60395665977881E-2</v>
      </c>
      <c r="W55" s="29">
        <f>DSUM($B$37:$X$43,W$37,$C$50:$D55)</f>
        <v>7.6234362970802994E-2</v>
      </c>
      <c r="X55" s="29">
        <f>DSUM($B$37:$Y$43,X$37,$C$50:$D55)</f>
        <v>7.6752112703439984E-2</v>
      </c>
      <c r="Y55" s="29">
        <f>DSUM($B$37:$Y$43,Y$37,$C$50:$D55)</f>
        <v>1.0958905881218441</v>
      </c>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row>
    <row r="56" spans="2:80">
      <c r="B56" s="7" t="s">
        <v>83</v>
      </c>
      <c r="C56" s="50" t="s">
        <v>84</v>
      </c>
      <c r="D56" s="50" t="s">
        <v>85</v>
      </c>
      <c r="E56" s="29">
        <f>DSUM($B$37:$X$43,E$37,$C$50:$D56)</f>
        <v>4.333643097114581E-3</v>
      </c>
      <c r="F56" s="29">
        <f>DSUM($B$37:$X$43,F$37,$C$50:$D56)</f>
        <v>9.2351270614494888E-3</v>
      </c>
      <c r="G56" s="29">
        <f>DSUM($B$37:$X$43,G$37,$C$50:$D56)</f>
        <v>1.4656932224009959E-2</v>
      </c>
      <c r="H56" s="29">
        <f>DSUM($B$37:$X$43,H$37,$C$50:$D56)</f>
        <v>2.0810281767645298E-2</v>
      </c>
      <c r="I56" s="29">
        <f>DSUM($B$37:$X$43,I$37,$C$50:$D56)</f>
        <v>2.7610283256454225E-2</v>
      </c>
      <c r="J56" s="29">
        <f>DSUM($B$37:$X$43,J$37,$C$50:$D56)</f>
        <v>3.4504938856525037E-2</v>
      </c>
      <c r="K56" s="29">
        <f>DSUM($B$37:$X$43,K$37,$C$50:$D56)</f>
        <v>4.2286173180771033E-2</v>
      </c>
      <c r="L56" s="29">
        <f>DSUM($B$37:$X$43,L$37,$C$50:$D56)</f>
        <v>5.0972238680799177E-2</v>
      </c>
      <c r="M56" s="29">
        <f>DSUM($B$37:$X$43,M$37,$C$50:$D56)</f>
        <v>5.8736353957539747E-2</v>
      </c>
      <c r="N56" s="29">
        <f>DSUM($B$37:$X$43,N$37,$C$50:$D56)</f>
        <v>6.703259526928225E-2</v>
      </c>
      <c r="O56" s="29">
        <f>DSUM($B$37:$X$43,O$37,$C$50:$D56)</f>
        <v>7.3152060457391949E-2</v>
      </c>
      <c r="P56" s="29">
        <f>DSUM($B$37:$X$43,P$37,$C$50:$D56)</f>
        <v>7.6041473917779059E-2</v>
      </c>
      <c r="Q56" s="29">
        <f>DSUM($B$37:$X$43,Q$37,$C$50:$D56)</f>
        <v>7.6257333085102519E-2</v>
      </c>
      <c r="R56" s="29">
        <f>DSUM($B$37:$X$43,R$37,$C$50:$D56)</f>
        <v>7.7479363410272922E-2</v>
      </c>
      <c r="S56" s="29">
        <f>DSUM($B$37:$X$43,S$37,$C$50:$D56)</f>
        <v>7.8879500987917905E-2</v>
      </c>
      <c r="T56" s="29">
        <f>DSUM($B$37:$X$43,T$37,$C$50:$D56)</f>
        <v>7.8716594304808526E-2</v>
      </c>
      <c r="U56" s="29">
        <f>DSUM($B$37:$X$43,U$37,$C$50:$D56)</f>
        <v>7.6159652334949382E-2</v>
      </c>
      <c r="V56" s="29">
        <f>DSUM($B$37:$X$43,V$37,$C$50:$D56)</f>
        <v>7.60395665977881E-2</v>
      </c>
      <c r="W56" s="29">
        <f>DSUM($B$37:$X$43,W$37,$C$50:$D56)</f>
        <v>7.6234362970802994E-2</v>
      </c>
      <c r="X56" s="29">
        <f>DSUM($B$37:$Y$43,X$37,$C$50:$D56)</f>
        <v>7.6752112703439984E-2</v>
      </c>
      <c r="Y56" s="29">
        <f>DSUM($B$37:$Y$43,Y$37,$C$50:$D56)</f>
        <v>1.0958905881218441</v>
      </c>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row>
    <row r="57" spans="2:80">
      <c r="B57" s="7" t="s">
        <v>86</v>
      </c>
      <c r="C57" s="50" t="s">
        <v>87</v>
      </c>
      <c r="D57" s="50" t="s">
        <v>88</v>
      </c>
      <c r="E57" s="29">
        <f>DSUM($B$37:$X$43,E$37,$C$50:$D57)</f>
        <v>4.333643097114581E-3</v>
      </c>
      <c r="F57" s="29">
        <f>DSUM($B$37:$X$43,F$37,$C$50:$D57)</f>
        <v>9.2351270614494888E-3</v>
      </c>
      <c r="G57" s="29">
        <f>DSUM($B$37:$X$43,G$37,$C$50:$D57)</f>
        <v>1.4656932224009959E-2</v>
      </c>
      <c r="H57" s="29">
        <f>DSUM($B$37:$X$43,H$37,$C$50:$D57)</f>
        <v>2.0810281767645298E-2</v>
      </c>
      <c r="I57" s="29">
        <f>DSUM($B$37:$X$43,I$37,$C$50:$D57)</f>
        <v>2.7610283256454225E-2</v>
      </c>
      <c r="J57" s="29">
        <f>DSUM($B$37:$X$43,J$37,$C$50:$D57)</f>
        <v>3.4504938856525037E-2</v>
      </c>
      <c r="K57" s="29">
        <f>DSUM($B$37:$X$43,K$37,$C$50:$D57)</f>
        <v>4.2286173180771033E-2</v>
      </c>
      <c r="L57" s="29">
        <f>DSUM($B$37:$X$43,L$37,$C$50:$D57)</f>
        <v>5.0972238680799177E-2</v>
      </c>
      <c r="M57" s="29">
        <f>DSUM($B$37:$X$43,M$37,$C$50:$D57)</f>
        <v>5.8736353957539747E-2</v>
      </c>
      <c r="N57" s="29">
        <f>DSUM($B$37:$X$43,N$37,$C$50:$D57)</f>
        <v>6.703259526928225E-2</v>
      </c>
      <c r="O57" s="29">
        <f>DSUM($B$37:$X$43,O$37,$C$50:$D57)</f>
        <v>7.3152060457391949E-2</v>
      </c>
      <c r="P57" s="29">
        <f>DSUM($B$37:$X$43,P$37,$C$50:$D57)</f>
        <v>7.6041473917779059E-2</v>
      </c>
      <c r="Q57" s="29">
        <f>DSUM($B$37:$X$43,Q$37,$C$50:$D57)</f>
        <v>7.6257333085102519E-2</v>
      </c>
      <c r="R57" s="29">
        <f>DSUM($B$37:$X$43,R$37,$C$50:$D57)</f>
        <v>7.7479363410272922E-2</v>
      </c>
      <c r="S57" s="29">
        <f>DSUM($B$37:$X$43,S$37,$C$50:$D57)</f>
        <v>7.8879500987917905E-2</v>
      </c>
      <c r="T57" s="29">
        <f>DSUM($B$37:$X$43,T$37,$C$50:$D57)</f>
        <v>7.8716594304808526E-2</v>
      </c>
      <c r="U57" s="29">
        <f>DSUM($B$37:$X$43,U$37,$C$50:$D57)</f>
        <v>7.6159652334949382E-2</v>
      </c>
      <c r="V57" s="29">
        <f>DSUM($B$37:$X$43,V$37,$C$50:$D57)</f>
        <v>7.60395665977881E-2</v>
      </c>
      <c r="W57" s="29">
        <f>DSUM($B$37:$X$43,W$37,$C$50:$D57)</f>
        <v>7.6234362970802994E-2</v>
      </c>
      <c r="X57" s="29">
        <f>DSUM($B$37:$Y$43,X$37,$C$50:$D57)</f>
        <v>7.6752112703439984E-2</v>
      </c>
      <c r="Y57" s="29">
        <f>DSUM($B$37:$Y$43,Y$37,$C$50:$D57)</f>
        <v>1.0958905881218441</v>
      </c>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row>
    <row r="58" spans="2:80">
      <c r="B58" s="7" t="s">
        <v>89</v>
      </c>
      <c r="C58" s="50" t="s">
        <v>90</v>
      </c>
      <c r="D58" s="50" t="s">
        <v>91</v>
      </c>
      <c r="E58" s="29">
        <f>DSUM($B$37:$X$43,E$37,$C$50:$D58)</f>
        <v>4.333643097114581E-3</v>
      </c>
      <c r="F58" s="29">
        <f>DSUM($B$37:$X$43,F$37,$C$50:$D58)</f>
        <v>9.2351270614494888E-3</v>
      </c>
      <c r="G58" s="29">
        <f>DSUM($B$37:$X$43,G$37,$C$50:$D58)</f>
        <v>1.4656932224009959E-2</v>
      </c>
      <c r="H58" s="29">
        <f>DSUM($B$37:$X$43,H$37,$C$50:$D58)</f>
        <v>2.0810281767645298E-2</v>
      </c>
      <c r="I58" s="29">
        <f>DSUM($B$37:$X$43,I$37,$C$50:$D58)</f>
        <v>2.7610283256454225E-2</v>
      </c>
      <c r="J58" s="29">
        <f>DSUM($B$37:$X$43,J$37,$C$50:$D58)</f>
        <v>3.4504938856525037E-2</v>
      </c>
      <c r="K58" s="29">
        <f>DSUM($B$37:$X$43,K$37,$C$50:$D58)</f>
        <v>4.2286173180771033E-2</v>
      </c>
      <c r="L58" s="29">
        <f>DSUM($B$37:$X$43,L$37,$C$50:$D58)</f>
        <v>5.0972238680799177E-2</v>
      </c>
      <c r="M58" s="29">
        <f>DSUM($B$37:$X$43,M$37,$C$50:$D58)</f>
        <v>5.8736353957539747E-2</v>
      </c>
      <c r="N58" s="29">
        <f>DSUM($B$37:$X$43,N$37,$C$50:$D58)</f>
        <v>6.703259526928225E-2</v>
      </c>
      <c r="O58" s="29">
        <f>DSUM($B$37:$X$43,O$37,$C$50:$D58)</f>
        <v>7.3152060457391949E-2</v>
      </c>
      <c r="P58" s="29">
        <f>DSUM($B$37:$X$43,P$37,$C$50:$D58)</f>
        <v>7.6041473917779059E-2</v>
      </c>
      <c r="Q58" s="29">
        <f>DSUM($B$37:$X$43,Q$37,$C$50:$D58)</f>
        <v>7.6257333085102519E-2</v>
      </c>
      <c r="R58" s="29">
        <f>DSUM($B$37:$X$43,R$37,$C$50:$D58)</f>
        <v>7.7479363410272922E-2</v>
      </c>
      <c r="S58" s="29">
        <f>DSUM($B$37:$X$43,S$37,$C$50:$D58)</f>
        <v>7.8879500987917905E-2</v>
      </c>
      <c r="T58" s="29">
        <f>DSUM($B$37:$X$43,T$37,$C$50:$D58)</f>
        <v>7.8716594304808526E-2</v>
      </c>
      <c r="U58" s="29">
        <f>DSUM($B$37:$X$43,U$37,$C$50:$D58)</f>
        <v>7.6159652334949382E-2</v>
      </c>
      <c r="V58" s="29">
        <f>DSUM($B$37:$X$43,V$37,$C$50:$D58)</f>
        <v>7.60395665977881E-2</v>
      </c>
      <c r="W58" s="29">
        <f>DSUM($B$37:$X$43,W$37,$C$50:$D58)</f>
        <v>7.6234362970802994E-2</v>
      </c>
      <c r="X58" s="29">
        <f>DSUM($B$37:$Y$43,X$37,$C$50:$D58)</f>
        <v>7.6752112703439984E-2</v>
      </c>
      <c r="Y58" s="29">
        <f>DSUM($B$37:$Y$43,Y$37,$C$50:$D58)</f>
        <v>1.0958905881218441</v>
      </c>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row>
    <row r="59" spans="2:80">
      <c r="B59" s="7" t="s">
        <v>92</v>
      </c>
      <c r="C59" s="50" t="s">
        <v>93</v>
      </c>
      <c r="D59" s="50" t="s">
        <v>94</v>
      </c>
      <c r="E59" s="29">
        <f>DSUM($B$37:$X$43,E$37,$C$50:$D59)</f>
        <v>4.333643097114581E-3</v>
      </c>
      <c r="F59" s="29">
        <f>DSUM($B$37:$X$43,F$37,$C$50:$D59)</f>
        <v>9.2351270614494888E-3</v>
      </c>
      <c r="G59" s="29">
        <f>DSUM($B$37:$X$43,G$37,$C$50:$D59)</f>
        <v>1.4656932224009959E-2</v>
      </c>
      <c r="H59" s="29">
        <f>DSUM($B$37:$X$43,H$37,$C$50:$D59)</f>
        <v>2.0810281767645298E-2</v>
      </c>
      <c r="I59" s="29">
        <f>DSUM($B$37:$X$43,I$37,$C$50:$D59)</f>
        <v>2.7610283256454225E-2</v>
      </c>
      <c r="J59" s="29">
        <f>DSUM($B$37:$X$43,J$37,$C$50:$D59)</f>
        <v>3.4504938856525037E-2</v>
      </c>
      <c r="K59" s="29">
        <f>DSUM($B$37:$X$43,K$37,$C$50:$D59)</f>
        <v>4.2286173180771033E-2</v>
      </c>
      <c r="L59" s="29">
        <f>DSUM($B$37:$X$43,L$37,$C$50:$D59)</f>
        <v>5.0972238680799177E-2</v>
      </c>
      <c r="M59" s="29">
        <f>DSUM($B$37:$X$43,M$37,$C$50:$D59)</f>
        <v>5.8736353957539747E-2</v>
      </c>
      <c r="N59" s="29">
        <f>DSUM($B$37:$X$43,N$37,$C$50:$D59)</f>
        <v>6.703259526928225E-2</v>
      </c>
      <c r="O59" s="29">
        <f>DSUM($B$37:$X$43,O$37,$C$50:$D59)</f>
        <v>7.3152060457391949E-2</v>
      </c>
      <c r="P59" s="29">
        <f>DSUM($B$37:$X$43,P$37,$C$50:$D59)</f>
        <v>7.6041473917779059E-2</v>
      </c>
      <c r="Q59" s="29">
        <f>DSUM($B$37:$X$43,Q$37,$C$50:$D59)</f>
        <v>7.6257333085102519E-2</v>
      </c>
      <c r="R59" s="29">
        <f>DSUM($B$37:$X$43,R$37,$C$50:$D59)</f>
        <v>7.7479363410272922E-2</v>
      </c>
      <c r="S59" s="29">
        <f>DSUM($B$37:$X$43,S$37,$C$50:$D59)</f>
        <v>7.8879500987917905E-2</v>
      </c>
      <c r="T59" s="29">
        <f>DSUM($B$37:$X$43,T$37,$C$50:$D59)</f>
        <v>7.8716594304808526E-2</v>
      </c>
      <c r="U59" s="29">
        <f>DSUM($B$37:$X$43,U$37,$C$50:$D59)</f>
        <v>7.6159652334949382E-2</v>
      </c>
      <c r="V59" s="29">
        <f>DSUM($B$37:$X$43,V$37,$C$50:$D59)</f>
        <v>7.60395665977881E-2</v>
      </c>
      <c r="W59" s="29">
        <f>DSUM($B$37:$X$43,W$37,$C$50:$D59)</f>
        <v>7.6234362970802994E-2</v>
      </c>
      <c r="X59" s="29">
        <f>DSUM($B$37:$Y$43,X$37,$C$50:$D59)</f>
        <v>7.6752112703439984E-2</v>
      </c>
      <c r="Y59" s="29">
        <f>DSUM($B$37:$Y$43,Y$37,$C$50:$D59)</f>
        <v>1.0958905881218441</v>
      </c>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row>
    <row r="60" spans="2:80">
      <c r="B60" s="7" t="s">
        <v>95</v>
      </c>
      <c r="C60" s="50" t="s">
        <v>96</v>
      </c>
      <c r="D60" s="50" t="s">
        <v>97</v>
      </c>
      <c r="E60" s="29">
        <f>DSUM($B$37:$X$43,E$37,$C$50:$D60)</f>
        <v>4.333643097114581E-3</v>
      </c>
      <c r="F60" s="29">
        <f>DSUM($B$37:$X$43,F$37,$C$50:$D60)</f>
        <v>9.2351270614494888E-3</v>
      </c>
      <c r="G60" s="29">
        <f>DSUM($B$37:$X$43,G$37,$C$50:$D60)</f>
        <v>1.4656932224009959E-2</v>
      </c>
      <c r="H60" s="29">
        <f>DSUM($B$37:$X$43,H$37,$C$50:$D60)</f>
        <v>2.0810281767645298E-2</v>
      </c>
      <c r="I60" s="29">
        <f>DSUM($B$37:$X$43,I$37,$C$50:$D60)</f>
        <v>2.7610283256454225E-2</v>
      </c>
      <c r="J60" s="29">
        <f>DSUM($B$37:$X$43,J$37,$C$50:$D60)</f>
        <v>3.4504938856525037E-2</v>
      </c>
      <c r="K60" s="29">
        <f>DSUM($B$37:$X$43,K$37,$C$50:$D60)</f>
        <v>4.2286173180771033E-2</v>
      </c>
      <c r="L60" s="29">
        <f>DSUM($B$37:$X$43,L$37,$C$50:$D60)</f>
        <v>5.0972238680799177E-2</v>
      </c>
      <c r="M60" s="29">
        <f>DSUM($B$37:$X$43,M$37,$C$50:$D60)</f>
        <v>5.8736353957539747E-2</v>
      </c>
      <c r="N60" s="29">
        <f>DSUM($B$37:$X$43,N$37,$C$50:$D60)</f>
        <v>6.703259526928225E-2</v>
      </c>
      <c r="O60" s="29">
        <f>DSUM($B$37:$X$43,O$37,$C$50:$D60)</f>
        <v>7.3152060457391949E-2</v>
      </c>
      <c r="P60" s="29">
        <f>DSUM($B$37:$X$43,P$37,$C$50:$D60)</f>
        <v>7.6041473917779059E-2</v>
      </c>
      <c r="Q60" s="29">
        <f>DSUM($B$37:$X$43,Q$37,$C$50:$D60)</f>
        <v>7.6257333085102519E-2</v>
      </c>
      <c r="R60" s="29">
        <f>DSUM($B$37:$X$43,R$37,$C$50:$D60)</f>
        <v>7.7479363410272922E-2</v>
      </c>
      <c r="S60" s="29">
        <f>DSUM($B$37:$X$43,S$37,$C$50:$D60)</f>
        <v>7.8879500987917905E-2</v>
      </c>
      <c r="T60" s="29">
        <f>DSUM($B$37:$X$43,T$37,$C$50:$D60)</f>
        <v>7.8716594304808526E-2</v>
      </c>
      <c r="U60" s="29">
        <f>DSUM($B$37:$X$43,U$37,$C$50:$D60)</f>
        <v>7.6159652334949382E-2</v>
      </c>
      <c r="V60" s="29">
        <f>DSUM($B$37:$X$43,V$37,$C$50:$D60)</f>
        <v>7.60395665977881E-2</v>
      </c>
      <c r="W60" s="29">
        <f>DSUM($B$37:$X$43,W$37,$C$50:$D60)</f>
        <v>7.6234362970802994E-2</v>
      </c>
      <c r="X60" s="29">
        <f>DSUM($B$37:$Y$43,X$37,$C$50:$D60)</f>
        <v>7.6752112703439984E-2</v>
      </c>
      <c r="Y60" s="29">
        <f>DSUM($B$37:$Y$43,Y$37,$C$50:$D60)</f>
        <v>1.0958905881218441</v>
      </c>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row>
    <row r="61" spans="2:80">
      <c r="B61" s="7" t="s">
        <v>98</v>
      </c>
      <c r="C61" s="50" t="s">
        <v>99</v>
      </c>
      <c r="D61" s="50" t="s">
        <v>100</v>
      </c>
      <c r="E61" s="29">
        <f>DSUM($B$37:$X$43,E$37,$C$50:$D61)</f>
        <v>4.333643097114581E-3</v>
      </c>
      <c r="F61" s="29">
        <f>DSUM($B$37:$X$43,F$37,$C$50:$D61)</f>
        <v>9.2351270614494888E-3</v>
      </c>
      <c r="G61" s="29">
        <f>DSUM($B$37:$X$43,G$37,$C$50:$D61)</f>
        <v>1.4656932224009959E-2</v>
      </c>
      <c r="H61" s="29">
        <f>DSUM($B$37:$X$43,H$37,$C$50:$D61)</f>
        <v>2.0810281767645298E-2</v>
      </c>
      <c r="I61" s="29">
        <f>DSUM($B$37:$X$43,I$37,$C$50:$D61)</f>
        <v>2.7610283256454225E-2</v>
      </c>
      <c r="J61" s="29">
        <f>DSUM($B$37:$X$43,J$37,$C$50:$D61)</f>
        <v>3.4504938856525037E-2</v>
      </c>
      <c r="K61" s="29">
        <f>DSUM($B$37:$X$43,K$37,$C$50:$D61)</f>
        <v>4.2286173180771033E-2</v>
      </c>
      <c r="L61" s="29">
        <f>DSUM($B$37:$X$43,L$37,$C$50:$D61)</f>
        <v>5.0972238680799177E-2</v>
      </c>
      <c r="M61" s="29">
        <f>DSUM($B$37:$X$43,M$37,$C$50:$D61)</f>
        <v>5.8736353957539747E-2</v>
      </c>
      <c r="N61" s="29">
        <f>DSUM($B$37:$X$43,N$37,$C$50:$D61)</f>
        <v>6.703259526928225E-2</v>
      </c>
      <c r="O61" s="29">
        <f>DSUM($B$37:$X$43,O$37,$C$50:$D61)</f>
        <v>7.3152060457391949E-2</v>
      </c>
      <c r="P61" s="29">
        <f>DSUM($B$37:$X$43,P$37,$C$50:$D61)</f>
        <v>7.6041473917779059E-2</v>
      </c>
      <c r="Q61" s="29">
        <f>DSUM($B$37:$X$43,Q$37,$C$50:$D61)</f>
        <v>7.6257333085102519E-2</v>
      </c>
      <c r="R61" s="29">
        <f>DSUM($B$37:$X$43,R$37,$C$50:$D61)</f>
        <v>7.7479363410272922E-2</v>
      </c>
      <c r="S61" s="29">
        <f>DSUM($B$37:$X$43,S$37,$C$50:$D61)</f>
        <v>7.8879500987917905E-2</v>
      </c>
      <c r="T61" s="29">
        <f>DSUM($B$37:$X$43,T$37,$C$50:$D61)</f>
        <v>7.8716594304808526E-2</v>
      </c>
      <c r="U61" s="29">
        <f>DSUM($B$37:$X$43,U$37,$C$50:$D61)</f>
        <v>7.6159652334949382E-2</v>
      </c>
      <c r="V61" s="29">
        <f>DSUM($B$37:$X$43,V$37,$C$50:$D61)</f>
        <v>7.60395665977881E-2</v>
      </c>
      <c r="W61" s="29">
        <f>DSUM($B$37:$X$43,W$37,$C$50:$D61)</f>
        <v>7.6234362970802994E-2</v>
      </c>
      <c r="X61" s="29">
        <f>DSUM($B$37:$Y$43,X$37,$C$50:$D61)</f>
        <v>7.6752112703439984E-2</v>
      </c>
      <c r="Y61" s="29">
        <f>DSUM($B$37:$Y$43,Y$37,$C$50:$D61)</f>
        <v>1.0958905881218441</v>
      </c>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row>
    <row r="62" spans="2:80">
      <c r="B62" s="7" t="s">
        <v>101</v>
      </c>
      <c r="C62" s="50" t="s">
        <v>102</v>
      </c>
      <c r="D62" s="50" t="s">
        <v>103</v>
      </c>
      <c r="E62" s="29">
        <f>DSUM($B$37:$X$43,E$37,$C$50:$D62)</f>
        <v>4.333643097114581E-3</v>
      </c>
      <c r="F62" s="29">
        <f>DSUM($B$37:$X$43,F$37,$C$50:$D62)</f>
        <v>9.2351270614494888E-3</v>
      </c>
      <c r="G62" s="29">
        <f>DSUM($B$37:$X$43,G$37,$C$50:$D62)</f>
        <v>1.4656932224009959E-2</v>
      </c>
      <c r="H62" s="29">
        <f>DSUM($B$37:$X$43,H$37,$C$50:$D62)</f>
        <v>2.0810281767645298E-2</v>
      </c>
      <c r="I62" s="29">
        <f>DSUM($B$37:$X$43,I$37,$C$50:$D62)</f>
        <v>2.7610283256454225E-2</v>
      </c>
      <c r="J62" s="29">
        <f>DSUM($B$37:$X$43,J$37,$C$50:$D62)</f>
        <v>3.4504938856525037E-2</v>
      </c>
      <c r="K62" s="29">
        <f>DSUM($B$37:$X$43,K$37,$C$50:$D62)</f>
        <v>4.2286173180771033E-2</v>
      </c>
      <c r="L62" s="29">
        <f>DSUM($B$37:$X$43,L$37,$C$50:$D62)</f>
        <v>5.0972238680799177E-2</v>
      </c>
      <c r="M62" s="29">
        <f>DSUM($B$37:$X$43,M$37,$C$50:$D62)</f>
        <v>5.8736353957539747E-2</v>
      </c>
      <c r="N62" s="29">
        <f>DSUM($B$37:$X$43,N$37,$C$50:$D62)</f>
        <v>6.703259526928225E-2</v>
      </c>
      <c r="O62" s="29">
        <f>DSUM($B$37:$X$43,O$37,$C$50:$D62)</f>
        <v>7.3152060457391949E-2</v>
      </c>
      <c r="P62" s="29">
        <f>DSUM($B$37:$X$43,P$37,$C$50:$D62)</f>
        <v>7.6041473917779059E-2</v>
      </c>
      <c r="Q62" s="29">
        <f>DSUM($B$37:$X$43,Q$37,$C$50:$D62)</f>
        <v>7.6257333085102519E-2</v>
      </c>
      <c r="R62" s="29">
        <f>DSUM($B$37:$X$43,R$37,$C$50:$D62)</f>
        <v>7.7479363410272922E-2</v>
      </c>
      <c r="S62" s="29">
        <f>DSUM($B$37:$X$43,S$37,$C$50:$D62)</f>
        <v>7.8879500987917905E-2</v>
      </c>
      <c r="T62" s="29">
        <f>DSUM($B$37:$X$43,T$37,$C$50:$D62)</f>
        <v>7.8716594304808526E-2</v>
      </c>
      <c r="U62" s="29">
        <f>DSUM($B$37:$X$43,U$37,$C$50:$D62)</f>
        <v>7.6159652334949382E-2</v>
      </c>
      <c r="V62" s="29">
        <f>DSUM($B$37:$X$43,V$37,$C$50:$D62)</f>
        <v>7.60395665977881E-2</v>
      </c>
      <c r="W62" s="29">
        <f>DSUM($B$37:$X$43,W$37,$C$50:$D62)</f>
        <v>7.6234362970802994E-2</v>
      </c>
      <c r="X62" s="29">
        <f>DSUM($B$37:$Y$43,X$37,$C$50:$D62)</f>
        <v>7.6752112703439984E-2</v>
      </c>
      <c r="Y62" s="29">
        <f>DSUM($B$37:$Y$43,Y$37,$C$50:$D62)</f>
        <v>1.0958905881218441</v>
      </c>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row>
    <row r="63" spans="2:80">
      <c r="B63" s="7" t="s">
        <v>104</v>
      </c>
      <c r="C63" s="50" t="s">
        <v>105</v>
      </c>
      <c r="D63" s="50" t="s">
        <v>106</v>
      </c>
      <c r="E63" s="29">
        <f>DSUM($B$37:$X$43,E$37,$C$50:$D63)</f>
        <v>4.333643097114581E-3</v>
      </c>
      <c r="F63" s="29">
        <f>DSUM($B$37:$X$43,F$37,$C$50:$D63)</f>
        <v>9.2351270614494888E-3</v>
      </c>
      <c r="G63" s="29">
        <f>DSUM($B$37:$X$43,G$37,$C$50:$D63)</f>
        <v>1.4656932224009959E-2</v>
      </c>
      <c r="H63" s="29">
        <f>DSUM($B$37:$X$43,H$37,$C$50:$D63)</f>
        <v>2.0810281767645298E-2</v>
      </c>
      <c r="I63" s="29">
        <f>DSUM($B$37:$X$43,I$37,$C$50:$D63)</f>
        <v>2.7610283256454225E-2</v>
      </c>
      <c r="J63" s="29">
        <f>DSUM($B$37:$X$43,J$37,$C$50:$D63)</f>
        <v>3.4504938856525037E-2</v>
      </c>
      <c r="K63" s="29">
        <f>DSUM($B$37:$X$43,K$37,$C$50:$D63)</f>
        <v>4.2286173180771033E-2</v>
      </c>
      <c r="L63" s="29">
        <f>DSUM($B$37:$X$43,L$37,$C$50:$D63)</f>
        <v>5.0972238680799177E-2</v>
      </c>
      <c r="M63" s="29">
        <f>DSUM($B$37:$X$43,M$37,$C$50:$D63)</f>
        <v>5.8736353957539747E-2</v>
      </c>
      <c r="N63" s="29">
        <f>DSUM($B$37:$X$43,N$37,$C$50:$D63)</f>
        <v>6.703259526928225E-2</v>
      </c>
      <c r="O63" s="29">
        <f>DSUM($B$37:$X$43,O$37,$C$50:$D63)</f>
        <v>7.3152060457391949E-2</v>
      </c>
      <c r="P63" s="29">
        <f>DSUM($B$37:$X$43,P$37,$C$50:$D63)</f>
        <v>7.6041473917779059E-2</v>
      </c>
      <c r="Q63" s="29">
        <f>DSUM($B$37:$X$43,Q$37,$C$50:$D63)</f>
        <v>7.6257333085102519E-2</v>
      </c>
      <c r="R63" s="29">
        <f>DSUM($B$37:$X$43,R$37,$C$50:$D63)</f>
        <v>7.7479363410272922E-2</v>
      </c>
      <c r="S63" s="29">
        <f>DSUM($B$37:$X$43,S$37,$C$50:$D63)</f>
        <v>7.8879500987917905E-2</v>
      </c>
      <c r="T63" s="29">
        <f>DSUM($B$37:$X$43,T$37,$C$50:$D63)</f>
        <v>7.8716594304808526E-2</v>
      </c>
      <c r="U63" s="29">
        <f>DSUM($B$37:$X$43,U$37,$C$50:$D63)</f>
        <v>7.6159652334949382E-2</v>
      </c>
      <c r="V63" s="29">
        <f>DSUM($B$37:$X$43,V$37,$C$50:$D63)</f>
        <v>7.60395665977881E-2</v>
      </c>
      <c r="W63" s="29">
        <f>DSUM($B$37:$X$43,W$37,$C$50:$D63)</f>
        <v>7.6234362970802994E-2</v>
      </c>
      <c r="X63" s="29">
        <f>DSUM($B$37:$Y$43,X$37,$C$50:$D63)</f>
        <v>7.6752112703439984E-2</v>
      </c>
      <c r="Y63" s="29">
        <f>DSUM($B$37:$Y$43,Y$37,$C$50:$D63)</f>
        <v>1.0958905881218441</v>
      </c>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row>
    <row r="64" spans="2:80">
      <c r="B64" s="7" t="s">
        <v>107</v>
      </c>
      <c r="C64" s="50" t="s">
        <v>108</v>
      </c>
      <c r="D64" s="50" t="s">
        <v>109</v>
      </c>
      <c r="E64" s="29">
        <f>DSUM($B$37:$X$43,E$37,$C$50:$D64)</f>
        <v>4.333643097114581E-3</v>
      </c>
      <c r="F64" s="29">
        <f>DSUM($B$37:$X$43,F$37,$C$50:$D64)</f>
        <v>9.2351270614494888E-3</v>
      </c>
      <c r="G64" s="29">
        <f>DSUM($B$37:$X$43,G$37,$C$50:$D64)</f>
        <v>1.4656932224009959E-2</v>
      </c>
      <c r="H64" s="29">
        <f>DSUM($B$37:$X$43,H$37,$C$50:$D64)</f>
        <v>2.0810281767645298E-2</v>
      </c>
      <c r="I64" s="29">
        <f>DSUM($B$37:$X$43,I$37,$C$50:$D64)</f>
        <v>2.7610283256454225E-2</v>
      </c>
      <c r="J64" s="29">
        <f>DSUM($B$37:$X$43,J$37,$C$50:$D64)</f>
        <v>3.4504938856525037E-2</v>
      </c>
      <c r="K64" s="29">
        <f>DSUM($B$37:$X$43,K$37,$C$50:$D64)</f>
        <v>4.2286173180771033E-2</v>
      </c>
      <c r="L64" s="29">
        <f>DSUM($B$37:$X$43,L$37,$C$50:$D64)</f>
        <v>5.0972238680799177E-2</v>
      </c>
      <c r="M64" s="29">
        <f>DSUM($B$37:$X$43,M$37,$C$50:$D64)</f>
        <v>5.8736353957539747E-2</v>
      </c>
      <c r="N64" s="29">
        <f>DSUM($B$37:$X$43,N$37,$C$50:$D64)</f>
        <v>6.703259526928225E-2</v>
      </c>
      <c r="O64" s="29">
        <f>DSUM($B$37:$X$43,O$37,$C$50:$D64)</f>
        <v>7.3152060457391949E-2</v>
      </c>
      <c r="P64" s="29">
        <f>DSUM($B$37:$X$43,P$37,$C$50:$D64)</f>
        <v>7.6041473917779059E-2</v>
      </c>
      <c r="Q64" s="29">
        <f>DSUM($B$37:$X$43,Q$37,$C$50:$D64)</f>
        <v>7.6257333085102519E-2</v>
      </c>
      <c r="R64" s="29">
        <f>DSUM($B$37:$X$43,R$37,$C$50:$D64)</f>
        <v>7.7479363410272922E-2</v>
      </c>
      <c r="S64" s="29">
        <f>DSUM($B$37:$X$43,S$37,$C$50:$D64)</f>
        <v>7.8879500987917905E-2</v>
      </c>
      <c r="T64" s="29">
        <f>DSUM($B$37:$X$43,T$37,$C$50:$D64)</f>
        <v>7.8716594304808526E-2</v>
      </c>
      <c r="U64" s="29">
        <f>DSUM($B$37:$X$43,U$37,$C$50:$D64)</f>
        <v>7.6159652334949382E-2</v>
      </c>
      <c r="V64" s="29">
        <f>DSUM($B$37:$X$43,V$37,$C$50:$D64)</f>
        <v>7.60395665977881E-2</v>
      </c>
      <c r="W64" s="29">
        <f>DSUM($B$37:$X$43,W$37,$C$50:$D64)</f>
        <v>7.6234362970802994E-2</v>
      </c>
      <c r="X64" s="29">
        <f>DSUM($B$37:$Y$43,X$37,$C$50:$D64)</f>
        <v>7.6752112703439984E-2</v>
      </c>
      <c r="Y64" s="29">
        <f>DSUM($B$37:$Y$43,Y$37,$C$50:$D64)</f>
        <v>1.0958905881218441</v>
      </c>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row>
    <row r="65" spans="2:80">
      <c r="B65" s="7" t="s">
        <v>110</v>
      </c>
      <c r="C65" s="50" t="s">
        <v>111</v>
      </c>
      <c r="D65" s="50" t="s">
        <v>112</v>
      </c>
      <c r="E65" s="29">
        <f>DSUM($B$37:$X$43,E$37,$C$50:$D65)</f>
        <v>4.333643097114581E-3</v>
      </c>
      <c r="F65" s="29">
        <f>DSUM($B$37:$X$43,F$37,$C$50:$D65)</f>
        <v>9.2351270614494888E-3</v>
      </c>
      <c r="G65" s="29">
        <f>DSUM($B$37:$X$43,G$37,$C$50:$D65)</f>
        <v>1.4656932224009959E-2</v>
      </c>
      <c r="H65" s="29">
        <f>DSUM($B$37:$X$43,H$37,$C$50:$D65)</f>
        <v>2.0810281767645298E-2</v>
      </c>
      <c r="I65" s="29">
        <f>DSUM($B$37:$X$43,I$37,$C$50:$D65)</f>
        <v>2.7610283256454225E-2</v>
      </c>
      <c r="J65" s="29">
        <f>DSUM($B$37:$X$43,J$37,$C$50:$D65)</f>
        <v>3.4504938856525037E-2</v>
      </c>
      <c r="K65" s="29">
        <f>DSUM($B$37:$X$43,K$37,$C$50:$D65)</f>
        <v>4.2286173180771033E-2</v>
      </c>
      <c r="L65" s="29">
        <f>DSUM($B$37:$X$43,L$37,$C$50:$D65)</f>
        <v>5.0972238680799177E-2</v>
      </c>
      <c r="M65" s="29">
        <f>DSUM($B$37:$X$43,M$37,$C$50:$D65)</f>
        <v>5.8736353957539747E-2</v>
      </c>
      <c r="N65" s="29">
        <f>DSUM($B$37:$X$43,N$37,$C$50:$D65)</f>
        <v>6.703259526928225E-2</v>
      </c>
      <c r="O65" s="29">
        <f>DSUM($B$37:$X$43,O$37,$C$50:$D65)</f>
        <v>7.3152060457391949E-2</v>
      </c>
      <c r="P65" s="29">
        <f>DSUM($B$37:$X$43,P$37,$C$50:$D65)</f>
        <v>7.6041473917779059E-2</v>
      </c>
      <c r="Q65" s="29">
        <f>DSUM($B$37:$X$43,Q$37,$C$50:$D65)</f>
        <v>7.6257333085102519E-2</v>
      </c>
      <c r="R65" s="29">
        <f>DSUM($B$37:$X$43,R$37,$C$50:$D65)</f>
        <v>7.7479363410272922E-2</v>
      </c>
      <c r="S65" s="29">
        <f>DSUM($B$37:$X$43,S$37,$C$50:$D65)</f>
        <v>7.8879500987917905E-2</v>
      </c>
      <c r="T65" s="29">
        <f>DSUM($B$37:$X$43,T$37,$C$50:$D65)</f>
        <v>7.8716594304808526E-2</v>
      </c>
      <c r="U65" s="29">
        <f>DSUM($B$37:$X$43,U$37,$C$50:$D65)</f>
        <v>7.6159652334949382E-2</v>
      </c>
      <c r="V65" s="29">
        <f>DSUM($B$37:$X$43,V$37,$C$50:$D65)</f>
        <v>7.60395665977881E-2</v>
      </c>
      <c r="W65" s="29">
        <f>DSUM($B$37:$X$43,W$37,$C$50:$D65)</f>
        <v>7.6234362970802994E-2</v>
      </c>
      <c r="X65" s="29">
        <f>DSUM($B$37:$Y$43,X$37,$C$50:$D65)</f>
        <v>7.6752112703439984E-2</v>
      </c>
      <c r="Y65" s="29">
        <f>DSUM($B$37:$Y$43,Y$37,$C$50:$D65)</f>
        <v>1.0958905881218441</v>
      </c>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row>
    <row r="66" spans="2:80">
      <c r="B66" s="7" t="s">
        <v>113</v>
      </c>
      <c r="C66" s="50" t="s">
        <v>114</v>
      </c>
      <c r="D66" s="50" t="s">
        <v>115</v>
      </c>
      <c r="E66" s="29">
        <f>DSUM($B$37:$X$43,E$37,$C$50:$D66)</f>
        <v>4.333643097114581E-3</v>
      </c>
      <c r="F66" s="29">
        <f>DSUM($B$37:$X$43,F$37,$C$50:$D66)</f>
        <v>9.2351270614494888E-3</v>
      </c>
      <c r="G66" s="29">
        <f>DSUM($B$37:$X$43,G$37,$C$50:$D66)</f>
        <v>1.4656932224009959E-2</v>
      </c>
      <c r="H66" s="29">
        <f>DSUM($B$37:$X$43,H$37,$C$50:$D66)</f>
        <v>2.0810281767645298E-2</v>
      </c>
      <c r="I66" s="29">
        <f>DSUM($B$37:$X$43,I$37,$C$50:$D66)</f>
        <v>2.7610283256454225E-2</v>
      </c>
      <c r="J66" s="29">
        <f>DSUM($B$37:$X$43,J$37,$C$50:$D66)</f>
        <v>3.4504938856525037E-2</v>
      </c>
      <c r="K66" s="29">
        <f>DSUM($B$37:$X$43,K$37,$C$50:$D66)</f>
        <v>4.2286173180771033E-2</v>
      </c>
      <c r="L66" s="29">
        <f>DSUM($B$37:$X$43,L$37,$C$50:$D66)</f>
        <v>5.0972238680799177E-2</v>
      </c>
      <c r="M66" s="29">
        <f>DSUM($B$37:$X$43,M$37,$C$50:$D66)</f>
        <v>5.8736353957539747E-2</v>
      </c>
      <c r="N66" s="29">
        <f>DSUM($B$37:$X$43,N$37,$C$50:$D66)</f>
        <v>6.703259526928225E-2</v>
      </c>
      <c r="O66" s="29">
        <f>DSUM($B$37:$X$43,O$37,$C$50:$D66)</f>
        <v>7.3152060457391949E-2</v>
      </c>
      <c r="P66" s="29">
        <f>DSUM($B$37:$X$43,P$37,$C$50:$D66)</f>
        <v>7.6041473917779059E-2</v>
      </c>
      <c r="Q66" s="29">
        <f>DSUM($B$37:$X$43,Q$37,$C$50:$D66)</f>
        <v>7.6257333085102519E-2</v>
      </c>
      <c r="R66" s="29">
        <f>DSUM($B$37:$X$43,R$37,$C$50:$D66)</f>
        <v>7.7479363410272922E-2</v>
      </c>
      <c r="S66" s="29">
        <f>DSUM($B$37:$X$43,S$37,$C$50:$D66)</f>
        <v>7.8879500987917905E-2</v>
      </c>
      <c r="T66" s="29">
        <f>DSUM($B$37:$X$43,T$37,$C$50:$D66)</f>
        <v>7.8716594304808526E-2</v>
      </c>
      <c r="U66" s="29">
        <f>DSUM($B$37:$X$43,U$37,$C$50:$D66)</f>
        <v>7.6159652334949382E-2</v>
      </c>
      <c r="V66" s="29">
        <f>DSUM($B$37:$X$43,V$37,$C$50:$D66)</f>
        <v>7.60395665977881E-2</v>
      </c>
      <c r="W66" s="29">
        <f>DSUM($B$37:$X$43,W$37,$C$50:$D66)</f>
        <v>7.6234362970802994E-2</v>
      </c>
      <c r="X66" s="29">
        <f>DSUM($B$37:$Y$43,X$37,$C$50:$D66)</f>
        <v>7.6752112703439984E-2</v>
      </c>
      <c r="Y66" s="29">
        <f>DSUM($B$37:$Y$43,Y$37,$C$50:$D66)</f>
        <v>1.0958905881218441</v>
      </c>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row>
    <row r="67" spans="2:80">
      <c r="B67" s="7" t="s">
        <v>116</v>
      </c>
      <c r="C67" s="50" t="s">
        <v>117</v>
      </c>
      <c r="D67" s="50" t="s">
        <v>118</v>
      </c>
      <c r="E67" s="29">
        <f>DSUM($B$37:$X$43,E$37,$C$50:$D67)</f>
        <v>4.333643097114581E-3</v>
      </c>
      <c r="F67" s="29">
        <f>DSUM($B$37:$X$43,F$37,$C$50:$D67)</f>
        <v>9.2351270614494888E-3</v>
      </c>
      <c r="G67" s="29">
        <f>DSUM($B$37:$X$43,G$37,$C$50:$D67)</f>
        <v>1.4656932224009959E-2</v>
      </c>
      <c r="H67" s="29">
        <f>DSUM($B$37:$X$43,H$37,$C$50:$D67)</f>
        <v>2.0810281767645298E-2</v>
      </c>
      <c r="I67" s="29">
        <f>DSUM($B$37:$X$43,I$37,$C$50:$D67)</f>
        <v>2.7610283256454225E-2</v>
      </c>
      <c r="J67" s="29">
        <f>DSUM($B$37:$X$43,J$37,$C$50:$D67)</f>
        <v>3.4504938856525037E-2</v>
      </c>
      <c r="K67" s="29">
        <f>DSUM($B$37:$X$43,K$37,$C$50:$D67)</f>
        <v>4.2286173180771033E-2</v>
      </c>
      <c r="L67" s="29">
        <f>DSUM($B$37:$X$43,L$37,$C$50:$D67)</f>
        <v>5.0972238680799177E-2</v>
      </c>
      <c r="M67" s="29">
        <f>DSUM($B$37:$X$43,M$37,$C$50:$D67)</f>
        <v>5.8736353957539747E-2</v>
      </c>
      <c r="N67" s="29">
        <f>DSUM($B$37:$X$43,N$37,$C$50:$D67)</f>
        <v>6.703259526928225E-2</v>
      </c>
      <c r="O67" s="29">
        <f>DSUM($B$37:$X$43,O$37,$C$50:$D67)</f>
        <v>7.3152060457391949E-2</v>
      </c>
      <c r="P67" s="29">
        <f>DSUM($B$37:$X$43,P$37,$C$50:$D67)</f>
        <v>7.6041473917779059E-2</v>
      </c>
      <c r="Q67" s="29">
        <f>DSUM($B$37:$X$43,Q$37,$C$50:$D67)</f>
        <v>7.6257333085102519E-2</v>
      </c>
      <c r="R67" s="29">
        <f>DSUM($B$37:$X$43,R$37,$C$50:$D67)</f>
        <v>7.7479363410272922E-2</v>
      </c>
      <c r="S67" s="29">
        <f>DSUM($B$37:$X$43,S$37,$C$50:$D67)</f>
        <v>7.8879500987917905E-2</v>
      </c>
      <c r="T67" s="29">
        <f>DSUM($B$37:$X$43,T$37,$C$50:$D67)</f>
        <v>7.8716594304808526E-2</v>
      </c>
      <c r="U67" s="29">
        <f>DSUM($B$37:$X$43,U$37,$C$50:$D67)</f>
        <v>7.6159652334949382E-2</v>
      </c>
      <c r="V67" s="29">
        <f>DSUM($B$37:$X$43,V$37,$C$50:$D67)</f>
        <v>7.60395665977881E-2</v>
      </c>
      <c r="W67" s="29">
        <f>DSUM($B$37:$X$43,W$37,$C$50:$D67)</f>
        <v>7.6234362970802994E-2</v>
      </c>
      <c r="X67" s="29">
        <f>DSUM($B$37:$Y$43,X$37,$C$50:$D67)</f>
        <v>7.6752112703439984E-2</v>
      </c>
      <c r="Y67" s="29">
        <f>DSUM($B$37:$Y$43,Y$37,$C$50:$D67)</f>
        <v>1.0958905881218441</v>
      </c>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row>
    <row r="68" spans="2:80">
      <c r="B68" s="7" t="s">
        <v>119</v>
      </c>
      <c r="C68" s="50" t="s">
        <v>120</v>
      </c>
      <c r="D68" s="50" t="s">
        <v>121</v>
      </c>
      <c r="E68" s="29">
        <f>DSUM($B$37:$X$43,E$37,$C$50:$D68)</f>
        <v>4.333643097114581E-3</v>
      </c>
      <c r="F68" s="29">
        <f>DSUM($B$37:$X$43,F$37,$C$50:$D68)</f>
        <v>9.2351270614494888E-3</v>
      </c>
      <c r="G68" s="29">
        <f>DSUM($B$37:$X$43,G$37,$C$50:$D68)</f>
        <v>1.4656932224009959E-2</v>
      </c>
      <c r="H68" s="29">
        <f>DSUM($B$37:$X$43,H$37,$C$50:$D68)</f>
        <v>2.0810281767645298E-2</v>
      </c>
      <c r="I68" s="29">
        <f>DSUM($B$37:$X$43,I$37,$C$50:$D68)</f>
        <v>2.7610283256454225E-2</v>
      </c>
      <c r="J68" s="29">
        <f>DSUM($B$37:$X$43,J$37,$C$50:$D68)</f>
        <v>3.4504938856525037E-2</v>
      </c>
      <c r="K68" s="29">
        <f>DSUM($B$37:$X$43,K$37,$C$50:$D68)</f>
        <v>4.2286173180771033E-2</v>
      </c>
      <c r="L68" s="29">
        <f>DSUM($B$37:$X$43,L$37,$C$50:$D68)</f>
        <v>5.0972238680799177E-2</v>
      </c>
      <c r="M68" s="29">
        <f>DSUM($B$37:$X$43,M$37,$C$50:$D68)</f>
        <v>5.8736353957539747E-2</v>
      </c>
      <c r="N68" s="29">
        <f>DSUM($B$37:$X$43,N$37,$C$50:$D68)</f>
        <v>6.703259526928225E-2</v>
      </c>
      <c r="O68" s="29">
        <f>DSUM($B$37:$X$43,O$37,$C$50:$D68)</f>
        <v>7.3152060457391949E-2</v>
      </c>
      <c r="P68" s="29">
        <f>DSUM($B$37:$X$43,P$37,$C$50:$D68)</f>
        <v>7.6041473917779059E-2</v>
      </c>
      <c r="Q68" s="29">
        <f>DSUM($B$37:$X$43,Q$37,$C$50:$D68)</f>
        <v>7.6257333085102519E-2</v>
      </c>
      <c r="R68" s="29">
        <f>DSUM($B$37:$X$43,R$37,$C$50:$D68)</f>
        <v>7.7479363410272922E-2</v>
      </c>
      <c r="S68" s="29">
        <f>DSUM($B$37:$X$43,S$37,$C$50:$D68)</f>
        <v>7.8879500987917905E-2</v>
      </c>
      <c r="T68" s="29">
        <f>DSUM($B$37:$X$43,T$37,$C$50:$D68)</f>
        <v>7.8716594304808526E-2</v>
      </c>
      <c r="U68" s="29">
        <f>DSUM($B$37:$X$43,U$37,$C$50:$D68)</f>
        <v>7.6159652334949382E-2</v>
      </c>
      <c r="V68" s="29">
        <f>DSUM($B$37:$X$43,V$37,$C$50:$D68)</f>
        <v>7.60395665977881E-2</v>
      </c>
      <c r="W68" s="29">
        <f>DSUM($B$37:$X$43,W$37,$C$50:$D68)</f>
        <v>7.6234362970802994E-2</v>
      </c>
      <c r="X68" s="29">
        <f>DSUM($B$37:$Y$43,X$37,$C$50:$D68)</f>
        <v>7.6752112703439984E-2</v>
      </c>
      <c r="Y68" s="29">
        <f>DSUM($B$37:$Y$43,Y$37,$C$50:$D68)</f>
        <v>1.0958905881218441</v>
      </c>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row>
    <row r="69" spans="2:80">
      <c r="B69" s="7" t="s">
        <v>122</v>
      </c>
      <c r="C69" s="50" t="s">
        <v>123</v>
      </c>
      <c r="D69" s="50" t="s">
        <v>124</v>
      </c>
      <c r="E69" s="29">
        <f>DSUM($B$37:$X$43,E$37,$C$50:$D69)</f>
        <v>4.333643097114581E-3</v>
      </c>
      <c r="F69" s="29">
        <f>DSUM($B$37:$X$43,F$37,$C$50:$D69)</f>
        <v>9.2351270614494888E-3</v>
      </c>
      <c r="G69" s="29">
        <f>DSUM($B$37:$X$43,G$37,$C$50:$D69)</f>
        <v>1.4656932224009959E-2</v>
      </c>
      <c r="H69" s="29">
        <f>DSUM($B$37:$X$43,H$37,$C$50:$D69)</f>
        <v>2.0810281767645298E-2</v>
      </c>
      <c r="I69" s="29">
        <f>DSUM($B$37:$X$43,I$37,$C$50:$D69)</f>
        <v>2.7610283256454225E-2</v>
      </c>
      <c r="J69" s="29">
        <f>DSUM($B$37:$X$43,J$37,$C$50:$D69)</f>
        <v>3.4504938856525037E-2</v>
      </c>
      <c r="K69" s="29">
        <f>DSUM($B$37:$X$43,K$37,$C$50:$D69)</f>
        <v>4.2286173180771033E-2</v>
      </c>
      <c r="L69" s="29">
        <f>DSUM($B$37:$X$43,L$37,$C$50:$D69)</f>
        <v>5.0972238680799177E-2</v>
      </c>
      <c r="M69" s="29">
        <f>DSUM($B$37:$X$43,M$37,$C$50:$D69)</f>
        <v>5.8736353957539747E-2</v>
      </c>
      <c r="N69" s="29">
        <f>DSUM($B$37:$X$43,N$37,$C$50:$D69)</f>
        <v>6.703259526928225E-2</v>
      </c>
      <c r="O69" s="29">
        <f>DSUM($B$37:$X$43,O$37,$C$50:$D69)</f>
        <v>7.3152060457391949E-2</v>
      </c>
      <c r="P69" s="29">
        <f>DSUM($B$37:$X$43,P$37,$C$50:$D69)</f>
        <v>7.6041473917779059E-2</v>
      </c>
      <c r="Q69" s="29">
        <f>DSUM($B$37:$X$43,Q$37,$C$50:$D69)</f>
        <v>7.6257333085102519E-2</v>
      </c>
      <c r="R69" s="29">
        <f>DSUM($B$37:$X$43,R$37,$C$50:$D69)</f>
        <v>7.7479363410272922E-2</v>
      </c>
      <c r="S69" s="29">
        <f>DSUM($B$37:$X$43,S$37,$C$50:$D69)</f>
        <v>7.8879500987917905E-2</v>
      </c>
      <c r="T69" s="29">
        <f>DSUM($B$37:$X$43,T$37,$C$50:$D69)</f>
        <v>7.8716594304808526E-2</v>
      </c>
      <c r="U69" s="29">
        <f>DSUM($B$37:$X$43,U$37,$C$50:$D69)</f>
        <v>7.6159652334949382E-2</v>
      </c>
      <c r="V69" s="29">
        <f>DSUM($B$37:$X$43,V$37,$C$50:$D69)</f>
        <v>7.60395665977881E-2</v>
      </c>
      <c r="W69" s="29">
        <f>DSUM($B$37:$X$43,W$37,$C$50:$D69)</f>
        <v>7.6234362970802994E-2</v>
      </c>
      <c r="X69" s="29">
        <f>DSUM($B$37:$Y$43,X$37,$C$50:$D69)</f>
        <v>7.6752112703439984E-2</v>
      </c>
      <c r="Y69" s="29">
        <f>DSUM($B$37:$Y$43,Y$37,$C$50:$D69)</f>
        <v>1.0958905881218441</v>
      </c>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row>
    <row r="70" spans="2:80">
      <c r="B70" s="7" t="s">
        <v>125</v>
      </c>
      <c r="C70" s="50" t="s">
        <v>126</v>
      </c>
      <c r="D70" s="50" t="s">
        <v>127</v>
      </c>
      <c r="E70" s="29">
        <f>DSUM($B$37:$X$43,E$37,$C$50:$D70)</f>
        <v>4.333643097114581E-3</v>
      </c>
      <c r="F70" s="29">
        <f>DSUM($B$37:$X$43,F$37,$C$50:$D70)</f>
        <v>9.2351270614494888E-3</v>
      </c>
      <c r="G70" s="29">
        <f>DSUM($B$37:$X$43,G$37,$C$50:$D70)</f>
        <v>1.4656932224009959E-2</v>
      </c>
      <c r="H70" s="29">
        <f>DSUM($B$37:$X$43,H$37,$C$50:$D70)</f>
        <v>2.0810281767645298E-2</v>
      </c>
      <c r="I70" s="29">
        <f>DSUM($B$37:$X$43,I$37,$C$50:$D70)</f>
        <v>2.7610283256454225E-2</v>
      </c>
      <c r="J70" s="29">
        <f>DSUM($B$37:$X$43,J$37,$C$50:$D70)</f>
        <v>3.4504938856525037E-2</v>
      </c>
      <c r="K70" s="29">
        <f>DSUM($B$37:$X$43,K$37,$C$50:$D70)</f>
        <v>4.2286173180771033E-2</v>
      </c>
      <c r="L70" s="29">
        <f>DSUM($B$37:$X$43,L$37,$C$50:$D70)</f>
        <v>5.0972238680799177E-2</v>
      </c>
      <c r="M70" s="29">
        <f>DSUM($B$37:$X$43,M$37,$C$50:$D70)</f>
        <v>5.8736353957539747E-2</v>
      </c>
      <c r="N70" s="29">
        <f>DSUM($B$37:$X$43,N$37,$C$50:$D70)</f>
        <v>6.703259526928225E-2</v>
      </c>
      <c r="O70" s="29">
        <f>DSUM($B$37:$X$43,O$37,$C$50:$D70)</f>
        <v>7.3152060457391949E-2</v>
      </c>
      <c r="P70" s="29">
        <f>DSUM($B$37:$X$43,P$37,$C$50:$D70)</f>
        <v>7.6041473917779059E-2</v>
      </c>
      <c r="Q70" s="29">
        <f>DSUM($B$37:$X$43,Q$37,$C$50:$D70)</f>
        <v>7.6257333085102519E-2</v>
      </c>
      <c r="R70" s="29">
        <f>DSUM($B$37:$X$43,R$37,$C$50:$D70)</f>
        <v>7.7479363410272922E-2</v>
      </c>
      <c r="S70" s="29">
        <f>DSUM($B$37:$X$43,S$37,$C$50:$D70)</f>
        <v>7.8879500987917905E-2</v>
      </c>
      <c r="T70" s="29">
        <f>DSUM($B$37:$X$43,T$37,$C$50:$D70)</f>
        <v>7.8716594304808526E-2</v>
      </c>
      <c r="U70" s="29">
        <f>DSUM($B$37:$X$43,U$37,$C$50:$D70)</f>
        <v>7.6159652334949382E-2</v>
      </c>
      <c r="V70" s="29">
        <f>DSUM($B$37:$X$43,V$37,$C$50:$D70)</f>
        <v>7.60395665977881E-2</v>
      </c>
      <c r="W70" s="29">
        <f>DSUM($B$37:$X$43,W$37,$C$50:$D70)</f>
        <v>7.6234362970802994E-2</v>
      </c>
      <c r="X70" s="29">
        <f>DSUM($B$37:$Y$43,X$37,$C$50:$D70)</f>
        <v>7.6752112703439984E-2</v>
      </c>
      <c r="Y70" s="29">
        <f>DSUM($B$37:$Y$43,Y$37,$C$50:$D70)</f>
        <v>1.0958905881218441</v>
      </c>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row>
    <row r="71" spans="2:80">
      <c r="B71" s="7" t="s">
        <v>128</v>
      </c>
      <c r="C71" s="50" t="s">
        <v>129</v>
      </c>
      <c r="D71" s="50" t="s">
        <v>130</v>
      </c>
      <c r="E71" s="29">
        <f>DSUM($B$37:$X$43,E$37,$C$50:$D71)</f>
        <v>4.333643097114581E-3</v>
      </c>
      <c r="F71" s="29">
        <f>DSUM($B$37:$X$43,F$37,$C$50:$D71)</f>
        <v>9.2351270614494888E-3</v>
      </c>
      <c r="G71" s="29">
        <f>DSUM($B$37:$X$43,G$37,$C$50:$D71)</f>
        <v>1.4656932224009959E-2</v>
      </c>
      <c r="H71" s="29">
        <f>DSUM($B$37:$X$43,H$37,$C$50:$D71)</f>
        <v>2.0810281767645298E-2</v>
      </c>
      <c r="I71" s="29">
        <f>DSUM($B$37:$X$43,I$37,$C$50:$D71)</f>
        <v>2.7610283256454225E-2</v>
      </c>
      <c r="J71" s="29">
        <f>DSUM($B$37:$X$43,J$37,$C$50:$D71)</f>
        <v>3.4504938856525037E-2</v>
      </c>
      <c r="K71" s="29">
        <f>DSUM($B$37:$X$43,K$37,$C$50:$D71)</f>
        <v>4.2286173180771033E-2</v>
      </c>
      <c r="L71" s="29">
        <f>DSUM($B$37:$X$43,L$37,$C$50:$D71)</f>
        <v>5.0972238680799177E-2</v>
      </c>
      <c r="M71" s="29">
        <f>DSUM($B$37:$X$43,M$37,$C$50:$D71)</f>
        <v>5.8736353957539747E-2</v>
      </c>
      <c r="N71" s="29">
        <f>DSUM($B$37:$X$43,N$37,$C$50:$D71)</f>
        <v>6.703259526928225E-2</v>
      </c>
      <c r="O71" s="29">
        <f>DSUM($B$37:$X$43,O$37,$C$50:$D71)</f>
        <v>7.3152060457391949E-2</v>
      </c>
      <c r="P71" s="29">
        <f>DSUM($B$37:$X$43,P$37,$C$50:$D71)</f>
        <v>7.6041473917779059E-2</v>
      </c>
      <c r="Q71" s="29">
        <f>DSUM($B$37:$X$43,Q$37,$C$50:$D71)</f>
        <v>7.6257333085102519E-2</v>
      </c>
      <c r="R71" s="29">
        <f>DSUM($B$37:$X$43,R$37,$C$50:$D71)</f>
        <v>7.7479363410272922E-2</v>
      </c>
      <c r="S71" s="29">
        <f>DSUM($B$37:$X$43,S$37,$C$50:$D71)</f>
        <v>7.8879500987917905E-2</v>
      </c>
      <c r="T71" s="29">
        <f>DSUM($B$37:$X$43,T$37,$C$50:$D71)</f>
        <v>7.8716594304808526E-2</v>
      </c>
      <c r="U71" s="29">
        <f>DSUM($B$37:$X$43,U$37,$C$50:$D71)</f>
        <v>7.6159652334949382E-2</v>
      </c>
      <c r="V71" s="29">
        <f>DSUM($B$37:$X$43,V$37,$C$50:$D71)</f>
        <v>7.60395665977881E-2</v>
      </c>
      <c r="W71" s="29">
        <f>DSUM($B$37:$X$43,W$37,$C$50:$D71)</f>
        <v>7.6234362970802994E-2</v>
      </c>
      <c r="X71" s="29">
        <f>DSUM($B$37:$Y$43,X$37,$C$50:$D71)</f>
        <v>7.6752112703439984E-2</v>
      </c>
      <c r="Y71" s="29">
        <f>DSUM($B$37:$Y$43,Y$37,$C$50:$D71)</f>
        <v>1.0958905881218441</v>
      </c>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row>
    <row r="72" spans="2:80">
      <c r="B72" s="7" t="s">
        <v>372</v>
      </c>
      <c r="C72" s="50" t="s">
        <v>132</v>
      </c>
      <c r="D72" s="50" t="s">
        <v>362</v>
      </c>
      <c r="E72" s="29">
        <f>DSUM($B$37:$X$43,E$37,$C$50:$D72)</f>
        <v>4.333643097114581E-3</v>
      </c>
      <c r="F72" s="29">
        <f>DSUM($B$37:$X$43,F$37,$C$50:$D72)</f>
        <v>9.2351270614494888E-3</v>
      </c>
      <c r="G72" s="29">
        <f>DSUM($B$37:$X$43,G$37,$C$50:$D72)</f>
        <v>1.4656932224009959E-2</v>
      </c>
      <c r="H72" s="29">
        <f>DSUM($B$37:$X$43,H$37,$C$50:$D72)</f>
        <v>2.0810281767645298E-2</v>
      </c>
      <c r="I72" s="29">
        <f>DSUM($B$37:$X$43,I$37,$C$50:$D72)</f>
        <v>2.7610283256454225E-2</v>
      </c>
      <c r="J72" s="29">
        <f>DSUM($B$37:$X$43,J$37,$C$50:$D72)</f>
        <v>3.4504938856525037E-2</v>
      </c>
      <c r="K72" s="29">
        <f>DSUM($B$37:$X$43,K$37,$C$50:$D72)</f>
        <v>4.2286173180771033E-2</v>
      </c>
      <c r="L72" s="29">
        <f>DSUM($B$37:$X$43,L$37,$C$50:$D72)</f>
        <v>5.0972238680799177E-2</v>
      </c>
      <c r="M72" s="29">
        <f>DSUM($B$37:$X$43,M$37,$C$50:$D72)</f>
        <v>5.8736353957539747E-2</v>
      </c>
      <c r="N72" s="29">
        <f>DSUM($B$37:$X$43,N$37,$C$50:$D72)</f>
        <v>6.703259526928225E-2</v>
      </c>
      <c r="O72" s="29">
        <f>DSUM($B$37:$X$43,O$37,$C$50:$D72)</f>
        <v>7.3152060457391949E-2</v>
      </c>
      <c r="P72" s="29">
        <f>DSUM($B$37:$X$43,P$37,$C$50:$D72)</f>
        <v>7.6041473917779059E-2</v>
      </c>
      <c r="Q72" s="29">
        <f>DSUM($B$37:$X$43,Q$37,$C$50:$D72)</f>
        <v>7.6257333085102519E-2</v>
      </c>
      <c r="R72" s="29">
        <f>DSUM($B$37:$X$43,R$37,$C$50:$D72)</f>
        <v>7.7479363410272922E-2</v>
      </c>
      <c r="S72" s="29">
        <f>DSUM($B$37:$X$43,S$37,$C$50:$D72)</f>
        <v>7.8879500987917905E-2</v>
      </c>
      <c r="T72" s="29">
        <f>DSUM($B$37:$X$43,T$37,$C$50:$D72)</f>
        <v>7.8716594304808526E-2</v>
      </c>
      <c r="U72" s="29">
        <f>DSUM($B$37:$X$43,U$37,$C$50:$D72)</f>
        <v>7.6159652334949382E-2</v>
      </c>
      <c r="V72" s="29">
        <f>DSUM($B$37:$X$43,V$37,$C$50:$D72)</f>
        <v>7.60395665977881E-2</v>
      </c>
      <c r="W72" s="29">
        <f>DSUM($B$37:$X$43,W$37,$C$50:$D72)</f>
        <v>7.6234362970802994E-2</v>
      </c>
      <c r="X72" s="29">
        <f>DSUM($B$37:$Y$43,X$37,$C$50:$D72)</f>
        <v>7.6752112703439984E-2</v>
      </c>
      <c r="Y72" s="29">
        <f>DSUM($B$37:$Y$43,Y$37,$C$50:$D72)</f>
        <v>1.0958905881218441</v>
      </c>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row>
    <row r="73" spans="2:80">
      <c r="B73" s="7" t="s">
        <v>373</v>
      </c>
      <c r="C73" s="50" t="s">
        <v>352</v>
      </c>
      <c r="D73" s="50" t="s">
        <v>363</v>
      </c>
      <c r="E73" s="29">
        <f>DSUM($B$37:$X$43,E$37,$C$50:$D73)</f>
        <v>4.333643097114581E-3</v>
      </c>
      <c r="F73" s="29">
        <f>DSUM($B$37:$X$43,F$37,$C$50:$D73)</f>
        <v>9.2351270614494888E-3</v>
      </c>
      <c r="G73" s="29">
        <f>DSUM($B$37:$X$43,G$37,$C$50:$D73)</f>
        <v>1.4656932224009959E-2</v>
      </c>
      <c r="H73" s="29">
        <f>DSUM($B$37:$X$43,H$37,$C$50:$D73)</f>
        <v>2.0810281767645298E-2</v>
      </c>
      <c r="I73" s="29">
        <f>DSUM($B$37:$X$43,I$37,$C$50:$D73)</f>
        <v>2.7610283256454225E-2</v>
      </c>
      <c r="J73" s="29">
        <f>DSUM($B$37:$X$43,J$37,$C$50:$D73)</f>
        <v>3.4504938856525037E-2</v>
      </c>
      <c r="K73" s="29">
        <f>DSUM($B$37:$X$43,K$37,$C$50:$D73)</f>
        <v>4.2286173180771033E-2</v>
      </c>
      <c r="L73" s="29">
        <f>DSUM($B$37:$X$43,L$37,$C$50:$D73)</f>
        <v>5.0972238680799177E-2</v>
      </c>
      <c r="M73" s="29">
        <f>DSUM($B$37:$X$43,M$37,$C$50:$D73)</f>
        <v>5.8736353957539747E-2</v>
      </c>
      <c r="N73" s="29">
        <f>DSUM($B$37:$X$43,N$37,$C$50:$D73)</f>
        <v>6.703259526928225E-2</v>
      </c>
      <c r="O73" s="29">
        <f>DSUM($B$37:$X$43,O$37,$C$50:$D73)</f>
        <v>7.3152060457391949E-2</v>
      </c>
      <c r="P73" s="29">
        <f>DSUM($B$37:$X$43,P$37,$C$50:$D73)</f>
        <v>7.6041473917779059E-2</v>
      </c>
      <c r="Q73" s="29">
        <f>DSUM($B$37:$X$43,Q$37,$C$50:$D73)</f>
        <v>7.6257333085102519E-2</v>
      </c>
      <c r="R73" s="29">
        <f>DSUM($B$37:$X$43,R$37,$C$50:$D73)</f>
        <v>7.7479363410272922E-2</v>
      </c>
      <c r="S73" s="29">
        <f>DSUM($B$37:$X$43,S$37,$C$50:$D73)</f>
        <v>7.8879500987917905E-2</v>
      </c>
      <c r="T73" s="29">
        <f>DSUM($B$37:$X$43,T$37,$C$50:$D73)</f>
        <v>7.8716594304808526E-2</v>
      </c>
      <c r="U73" s="29">
        <f>DSUM($B$37:$X$43,U$37,$C$50:$D73)</f>
        <v>7.6159652334949382E-2</v>
      </c>
      <c r="V73" s="29">
        <f>DSUM($B$37:$X$43,V$37,$C$50:$D73)</f>
        <v>7.60395665977881E-2</v>
      </c>
      <c r="W73" s="29">
        <f>DSUM($B$37:$X$43,W$37,$C$50:$D73)</f>
        <v>7.6234362970802994E-2</v>
      </c>
      <c r="X73" s="29">
        <f>DSUM($B$37:$Y$43,X$37,$C$50:$D73)</f>
        <v>7.6752112703439984E-2</v>
      </c>
      <c r="Y73" s="29">
        <f>DSUM($B$37:$Y$43,Y$37,$C$50:$D73)</f>
        <v>1.0958905881218441</v>
      </c>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row>
    <row r="74" spans="2:80">
      <c r="B74" s="7" t="s">
        <v>374</v>
      </c>
      <c r="C74" s="50" t="s">
        <v>353</v>
      </c>
      <c r="D74" s="50" t="s">
        <v>364</v>
      </c>
      <c r="E74" s="29">
        <f>DSUM($B$37:$X$43,E$37,$C$50:$D74)</f>
        <v>4.333643097114581E-3</v>
      </c>
      <c r="F74" s="29">
        <f>DSUM($B$37:$X$43,F$37,$C$50:$D74)</f>
        <v>9.2351270614494888E-3</v>
      </c>
      <c r="G74" s="29">
        <f>DSUM($B$37:$X$43,G$37,$C$50:$D74)</f>
        <v>1.4656932224009959E-2</v>
      </c>
      <c r="H74" s="29">
        <f>DSUM($B$37:$X$43,H$37,$C$50:$D74)</f>
        <v>2.0810281767645298E-2</v>
      </c>
      <c r="I74" s="29">
        <f>DSUM($B$37:$X$43,I$37,$C$50:$D74)</f>
        <v>2.7610283256454225E-2</v>
      </c>
      <c r="J74" s="29">
        <f>DSUM($B$37:$X$43,J$37,$C$50:$D74)</f>
        <v>3.4504938856525037E-2</v>
      </c>
      <c r="K74" s="29">
        <f>DSUM($B$37:$X$43,K$37,$C$50:$D74)</f>
        <v>4.2286173180771033E-2</v>
      </c>
      <c r="L74" s="29">
        <f>DSUM($B$37:$X$43,L$37,$C$50:$D74)</f>
        <v>5.0972238680799177E-2</v>
      </c>
      <c r="M74" s="29">
        <f>DSUM($B$37:$X$43,M$37,$C$50:$D74)</f>
        <v>5.8736353957539747E-2</v>
      </c>
      <c r="N74" s="29">
        <f>DSUM($B$37:$X$43,N$37,$C$50:$D74)</f>
        <v>6.703259526928225E-2</v>
      </c>
      <c r="O74" s="29">
        <f>DSUM($B$37:$X$43,O$37,$C$50:$D74)</f>
        <v>7.3152060457391949E-2</v>
      </c>
      <c r="P74" s="29">
        <f>DSUM($B$37:$X$43,P$37,$C$50:$D74)</f>
        <v>7.6041473917779059E-2</v>
      </c>
      <c r="Q74" s="29">
        <f>DSUM($B$37:$X$43,Q$37,$C$50:$D74)</f>
        <v>7.6257333085102519E-2</v>
      </c>
      <c r="R74" s="29">
        <f>DSUM($B$37:$X$43,R$37,$C$50:$D74)</f>
        <v>7.7479363410272922E-2</v>
      </c>
      <c r="S74" s="29">
        <f>DSUM($B$37:$X$43,S$37,$C$50:$D74)</f>
        <v>7.8879500987917905E-2</v>
      </c>
      <c r="T74" s="29">
        <f>DSUM($B$37:$X$43,T$37,$C$50:$D74)</f>
        <v>7.8716594304808526E-2</v>
      </c>
      <c r="U74" s="29">
        <f>DSUM($B$37:$X$43,U$37,$C$50:$D74)</f>
        <v>7.6159652334949382E-2</v>
      </c>
      <c r="V74" s="29">
        <f>DSUM($B$37:$X$43,V$37,$C$50:$D74)</f>
        <v>7.60395665977881E-2</v>
      </c>
      <c r="W74" s="29">
        <f>DSUM($B$37:$X$43,W$37,$C$50:$D74)</f>
        <v>7.6234362970802994E-2</v>
      </c>
      <c r="X74" s="29">
        <f>DSUM($B$37:$Y$43,X$37,$C$50:$D74)</f>
        <v>7.6752112703439984E-2</v>
      </c>
      <c r="Y74" s="29">
        <f>DSUM($B$37:$Y$43,Y$37,$C$50:$D74)</f>
        <v>1.0958905881218441</v>
      </c>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row>
    <row r="75" spans="2:80">
      <c r="B75" s="7" t="s">
        <v>375</v>
      </c>
      <c r="C75" s="50" t="s">
        <v>354</v>
      </c>
      <c r="D75" s="50" t="s">
        <v>365</v>
      </c>
      <c r="E75" s="29">
        <f>DSUM($B$37:$X$43,E$37,$C$50:$D75)</f>
        <v>4.333643097114581E-3</v>
      </c>
      <c r="F75" s="29">
        <f>DSUM($B$37:$X$43,F$37,$C$50:$D75)</f>
        <v>9.2351270614494888E-3</v>
      </c>
      <c r="G75" s="29">
        <f>DSUM($B$37:$X$43,G$37,$C$50:$D75)</f>
        <v>1.4656932224009959E-2</v>
      </c>
      <c r="H75" s="29">
        <f>DSUM($B$37:$X$43,H$37,$C$50:$D75)</f>
        <v>2.0810281767645298E-2</v>
      </c>
      <c r="I75" s="29">
        <f>DSUM($B$37:$X$43,I$37,$C$50:$D75)</f>
        <v>2.7610283256454225E-2</v>
      </c>
      <c r="J75" s="29">
        <f>DSUM($B$37:$X$43,J$37,$C$50:$D75)</f>
        <v>3.4504938856525037E-2</v>
      </c>
      <c r="K75" s="29">
        <f>DSUM($B$37:$X$43,K$37,$C$50:$D75)</f>
        <v>4.2286173180771033E-2</v>
      </c>
      <c r="L75" s="29">
        <f>DSUM($B$37:$X$43,L$37,$C$50:$D75)</f>
        <v>5.0972238680799177E-2</v>
      </c>
      <c r="M75" s="29">
        <f>DSUM($B$37:$X$43,M$37,$C$50:$D75)</f>
        <v>5.8736353957539747E-2</v>
      </c>
      <c r="N75" s="29">
        <f>DSUM($B$37:$X$43,N$37,$C$50:$D75)</f>
        <v>6.703259526928225E-2</v>
      </c>
      <c r="O75" s="29">
        <f>DSUM($B$37:$X$43,O$37,$C$50:$D75)</f>
        <v>7.3152060457391949E-2</v>
      </c>
      <c r="P75" s="29">
        <f>DSUM($B$37:$X$43,P$37,$C$50:$D75)</f>
        <v>7.6041473917779059E-2</v>
      </c>
      <c r="Q75" s="29">
        <f>DSUM($B$37:$X$43,Q$37,$C$50:$D75)</f>
        <v>7.6257333085102519E-2</v>
      </c>
      <c r="R75" s="29">
        <f>DSUM($B$37:$X$43,R$37,$C$50:$D75)</f>
        <v>7.7479363410272922E-2</v>
      </c>
      <c r="S75" s="29">
        <f>DSUM($B$37:$X$43,S$37,$C$50:$D75)</f>
        <v>7.8879500987917905E-2</v>
      </c>
      <c r="T75" s="29">
        <f>DSUM($B$37:$X$43,T$37,$C$50:$D75)</f>
        <v>7.8716594304808526E-2</v>
      </c>
      <c r="U75" s="29">
        <f>DSUM($B$37:$X$43,U$37,$C$50:$D75)</f>
        <v>7.6159652334949382E-2</v>
      </c>
      <c r="V75" s="29">
        <f>DSUM($B$37:$X$43,V$37,$C$50:$D75)</f>
        <v>7.60395665977881E-2</v>
      </c>
      <c r="W75" s="29">
        <f>DSUM($B$37:$X$43,W$37,$C$50:$D75)</f>
        <v>7.6234362970802994E-2</v>
      </c>
      <c r="X75" s="29">
        <f>DSUM($B$37:$Y$43,X$37,$C$50:$D75)</f>
        <v>7.6752112703439984E-2</v>
      </c>
      <c r="Y75" s="29">
        <f>DSUM($B$37:$Y$43,Y$37,$C$50:$D75)</f>
        <v>1.0958905881218441</v>
      </c>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row>
    <row r="76" spans="2:80">
      <c r="B76" s="7" t="s">
        <v>376</v>
      </c>
      <c r="C76" s="50" t="s">
        <v>355</v>
      </c>
      <c r="D76" s="50" t="s">
        <v>366</v>
      </c>
      <c r="E76" s="29">
        <f>DSUM($B$37:$X$43,E$37,$C$50:$D76)</f>
        <v>4.333643097114581E-3</v>
      </c>
      <c r="F76" s="29">
        <f>DSUM($B$37:$X$43,F$37,$C$50:$D76)</f>
        <v>9.2351270614494888E-3</v>
      </c>
      <c r="G76" s="29">
        <f>DSUM($B$37:$X$43,G$37,$C$50:$D76)</f>
        <v>1.4656932224009959E-2</v>
      </c>
      <c r="H76" s="29">
        <f>DSUM($B$37:$X$43,H$37,$C$50:$D76)</f>
        <v>2.0810281767645298E-2</v>
      </c>
      <c r="I76" s="29">
        <f>DSUM($B$37:$X$43,I$37,$C$50:$D76)</f>
        <v>2.7610283256454225E-2</v>
      </c>
      <c r="J76" s="29">
        <f>DSUM($B$37:$X$43,J$37,$C$50:$D76)</f>
        <v>3.4504938856525037E-2</v>
      </c>
      <c r="K76" s="29">
        <f>DSUM($B$37:$X$43,K$37,$C$50:$D76)</f>
        <v>4.2286173180771033E-2</v>
      </c>
      <c r="L76" s="29">
        <f>DSUM($B$37:$X$43,L$37,$C$50:$D76)</f>
        <v>5.0972238680799177E-2</v>
      </c>
      <c r="M76" s="29">
        <f>DSUM($B$37:$X$43,M$37,$C$50:$D76)</f>
        <v>5.8736353957539747E-2</v>
      </c>
      <c r="N76" s="29">
        <f>DSUM($B$37:$X$43,N$37,$C$50:$D76)</f>
        <v>6.703259526928225E-2</v>
      </c>
      <c r="O76" s="29">
        <f>DSUM($B$37:$X$43,O$37,$C$50:$D76)</f>
        <v>7.3152060457391949E-2</v>
      </c>
      <c r="P76" s="29">
        <f>DSUM($B$37:$X$43,P$37,$C$50:$D76)</f>
        <v>7.6041473917779059E-2</v>
      </c>
      <c r="Q76" s="29">
        <f>DSUM($B$37:$X$43,Q$37,$C$50:$D76)</f>
        <v>7.6257333085102519E-2</v>
      </c>
      <c r="R76" s="29">
        <f>DSUM($B$37:$X$43,R$37,$C$50:$D76)</f>
        <v>7.7479363410272922E-2</v>
      </c>
      <c r="S76" s="29">
        <f>DSUM($B$37:$X$43,S$37,$C$50:$D76)</f>
        <v>7.8879500987917905E-2</v>
      </c>
      <c r="T76" s="29">
        <f>DSUM($B$37:$X$43,T$37,$C$50:$D76)</f>
        <v>7.8716594304808526E-2</v>
      </c>
      <c r="U76" s="29">
        <f>DSUM($B$37:$X$43,U$37,$C$50:$D76)</f>
        <v>7.6159652334949382E-2</v>
      </c>
      <c r="V76" s="29">
        <f>DSUM($B$37:$X$43,V$37,$C$50:$D76)</f>
        <v>7.60395665977881E-2</v>
      </c>
      <c r="W76" s="29">
        <f>DSUM($B$37:$X$43,W$37,$C$50:$D76)</f>
        <v>7.6234362970802994E-2</v>
      </c>
      <c r="X76" s="29">
        <f>DSUM($B$37:$Y$43,X$37,$C$50:$D76)</f>
        <v>7.6752112703439984E-2</v>
      </c>
      <c r="Y76" s="29">
        <f>DSUM($B$37:$Y$43,Y$37,$C$50:$D76)</f>
        <v>1.0958905881218441</v>
      </c>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row>
    <row r="77" spans="2:80">
      <c r="B77" s="7" t="s">
        <v>377</v>
      </c>
      <c r="C77" s="50" t="s">
        <v>356</v>
      </c>
      <c r="D77" s="50" t="s">
        <v>367</v>
      </c>
      <c r="E77" s="29">
        <f>DSUM($B$37:$X$43,E$37,$C$50:$D77)</f>
        <v>4.333643097114581E-3</v>
      </c>
      <c r="F77" s="29">
        <f>DSUM($B$37:$X$43,F$37,$C$50:$D77)</f>
        <v>9.2351270614494888E-3</v>
      </c>
      <c r="G77" s="29">
        <f>DSUM($B$37:$X$43,G$37,$C$50:$D77)</f>
        <v>1.4656932224009959E-2</v>
      </c>
      <c r="H77" s="29">
        <f>DSUM($B$37:$X$43,H$37,$C$50:$D77)</f>
        <v>2.0810281767645298E-2</v>
      </c>
      <c r="I77" s="29">
        <f>DSUM($B$37:$X$43,I$37,$C$50:$D77)</f>
        <v>2.7610283256454225E-2</v>
      </c>
      <c r="J77" s="29">
        <f>DSUM($B$37:$X$43,J$37,$C$50:$D77)</f>
        <v>3.4504938856525037E-2</v>
      </c>
      <c r="K77" s="29">
        <f>DSUM($B$37:$X$43,K$37,$C$50:$D77)</f>
        <v>4.2286173180771033E-2</v>
      </c>
      <c r="L77" s="29">
        <f>DSUM($B$37:$X$43,L$37,$C$50:$D77)</f>
        <v>5.0972238680799177E-2</v>
      </c>
      <c r="M77" s="29">
        <f>DSUM($B$37:$X$43,M$37,$C$50:$D77)</f>
        <v>5.8736353957539747E-2</v>
      </c>
      <c r="N77" s="29">
        <f>DSUM($B$37:$X$43,N$37,$C$50:$D77)</f>
        <v>6.703259526928225E-2</v>
      </c>
      <c r="O77" s="29">
        <f>DSUM($B$37:$X$43,O$37,$C$50:$D77)</f>
        <v>7.3152060457391949E-2</v>
      </c>
      <c r="P77" s="29">
        <f>DSUM($B$37:$X$43,P$37,$C$50:$D77)</f>
        <v>7.6041473917779059E-2</v>
      </c>
      <c r="Q77" s="29">
        <f>DSUM($B$37:$X$43,Q$37,$C$50:$D77)</f>
        <v>7.6257333085102519E-2</v>
      </c>
      <c r="R77" s="29">
        <f>DSUM($B$37:$X$43,R$37,$C$50:$D77)</f>
        <v>7.7479363410272922E-2</v>
      </c>
      <c r="S77" s="29">
        <f>DSUM($B$37:$X$43,S$37,$C$50:$D77)</f>
        <v>7.8879500987917905E-2</v>
      </c>
      <c r="T77" s="29">
        <f>DSUM($B$37:$X$43,T$37,$C$50:$D77)</f>
        <v>7.8716594304808526E-2</v>
      </c>
      <c r="U77" s="29">
        <f>DSUM($B$37:$X$43,U$37,$C$50:$D77)</f>
        <v>7.6159652334949382E-2</v>
      </c>
      <c r="V77" s="29">
        <f>DSUM($B$37:$X$43,V$37,$C$50:$D77)</f>
        <v>7.60395665977881E-2</v>
      </c>
      <c r="W77" s="29">
        <f>DSUM($B$37:$X$43,W$37,$C$50:$D77)</f>
        <v>7.6234362970802994E-2</v>
      </c>
      <c r="X77" s="29">
        <f>DSUM($B$37:$Y$43,X$37,$C$50:$D77)</f>
        <v>7.6752112703439984E-2</v>
      </c>
      <c r="Y77" s="29">
        <f>DSUM($B$37:$Y$43,Y$37,$C$50:$D77)</f>
        <v>1.0958905881218441</v>
      </c>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row>
    <row r="78" spans="2:80">
      <c r="B78" s="7" t="s">
        <v>378</v>
      </c>
      <c r="C78" s="50" t="s">
        <v>357</v>
      </c>
      <c r="D78" s="50" t="s">
        <v>368</v>
      </c>
      <c r="E78" s="29">
        <f>DSUM($B$37:$X$43,E$37,$C$50:$D78)</f>
        <v>4.333643097114581E-3</v>
      </c>
      <c r="F78" s="29">
        <f>DSUM($B$37:$X$43,F$37,$C$50:$D78)</f>
        <v>9.2351270614494888E-3</v>
      </c>
      <c r="G78" s="29">
        <f>DSUM($B$37:$X$43,G$37,$C$50:$D78)</f>
        <v>1.4656932224009959E-2</v>
      </c>
      <c r="H78" s="29">
        <f>DSUM($B$37:$X$43,H$37,$C$50:$D78)</f>
        <v>2.0810281767645298E-2</v>
      </c>
      <c r="I78" s="29">
        <f>DSUM($B$37:$X$43,I$37,$C$50:$D78)</f>
        <v>2.7610283256454225E-2</v>
      </c>
      <c r="J78" s="29">
        <f>DSUM($B$37:$X$43,J$37,$C$50:$D78)</f>
        <v>3.4504938856525037E-2</v>
      </c>
      <c r="K78" s="29">
        <f>DSUM($B$37:$X$43,K$37,$C$50:$D78)</f>
        <v>4.2286173180771033E-2</v>
      </c>
      <c r="L78" s="29">
        <f>DSUM($B$37:$X$43,L$37,$C$50:$D78)</f>
        <v>5.0972238680799177E-2</v>
      </c>
      <c r="M78" s="29">
        <f>DSUM($B$37:$X$43,M$37,$C$50:$D78)</f>
        <v>5.8736353957539747E-2</v>
      </c>
      <c r="N78" s="29">
        <f>DSUM($B$37:$X$43,N$37,$C$50:$D78)</f>
        <v>6.703259526928225E-2</v>
      </c>
      <c r="O78" s="29">
        <f>DSUM($B$37:$X$43,O$37,$C$50:$D78)</f>
        <v>7.3152060457391949E-2</v>
      </c>
      <c r="P78" s="29">
        <f>DSUM($B$37:$X$43,P$37,$C$50:$D78)</f>
        <v>7.6041473917779059E-2</v>
      </c>
      <c r="Q78" s="29">
        <f>DSUM($B$37:$X$43,Q$37,$C$50:$D78)</f>
        <v>7.6257333085102519E-2</v>
      </c>
      <c r="R78" s="29">
        <f>DSUM($B$37:$X$43,R$37,$C$50:$D78)</f>
        <v>7.7479363410272922E-2</v>
      </c>
      <c r="S78" s="29">
        <f>DSUM($B$37:$X$43,S$37,$C$50:$D78)</f>
        <v>7.8879500987917905E-2</v>
      </c>
      <c r="T78" s="29">
        <f>DSUM($B$37:$X$43,T$37,$C$50:$D78)</f>
        <v>7.8716594304808526E-2</v>
      </c>
      <c r="U78" s="29">
        <f>DSUM($B$37:$X$43,U$37,$C$50:$D78)</f>
        <v>7.6159652334949382E-2</v>
      </c>
      <c r="V78" s="29">
        <f>DSUM($B$37:$X$43,V$37,$C$50:$D78)</f>
        <v>7.60395665977881E-2</v>
      </c>
      <c r="W78" s="29">
        <f>DSUM($B$37:$X$43,W$37,$C$50:$D78)</f>
        <v>7.6234362970802994E-2</v>
      </c>
      <c r="X78" s="29">
        <f>DSUM($B$37:$Y$43,X$37,$C$50:$D78)</f>
        <v>7.6752112703439984E-2</v>
      </c>
      <c r="Y78" s="29">
        <f>DSUM($B$37:$Y$43,Y$37,$C$50:$D78)</f>
        <v>1.0958905881218441</v>
      </c>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row>
    <row r="79" spans="2:80">
      <c r="B79" s="7" t="s">
        <v>379</v>
      </c>
      <c r="C79" s="50" t="s">
        <v>358</v>
      </c>
      <c r="D79" s="50" t="s">
        <v>369</v>
      </c>
      <c r="E79" s="29">
        <f>DSUM($B$37:$X$43,E$37,$C$50:$D79)</f>
        <v>4.333643097114581E-3</v>
      </c>
      <c r="F79" s="29">
        <f>DSUM($B$37:$X$43,F$37,$C$50:$D79)</f>
        <v>9.2351270614494888E-3</v>
      </c>
      <c r="G79" s="29">
        <f>DSUM($B$37:$X$43,G$37,$C$50:$D79)</f>
        <v>1.4656932224009959E-2</v>
      </c>
      <c r="H79" s="29">
        <f>DSUM($B$37:$X$43,H$37,$C$50:$D79)</f>
        <v>2.0810281767645298E-2</v>
      </c>
      <c r="I79" s="29">
        <f>DSUM($B$37:$X$43,I$37,$C$50:$D79)</f>
        <v>2.7610283256454225E-2</v>
      </c>
      <c r="J79" s="29">
        <f>DSUM($B$37:$X$43,J$37,$C$50:$D79)</f>
        <v>3.4504938856525037E-2</v>
      </c>
      <c r="K79" s="29">
        <f>DSUM($B$37:$X$43,K$37,$C$50:$D79)</f>
        <v>4.2286173180771033E-2</v>
      </c>
      <c r="L79" s="29">
        <f>DSUM($B$37:$X$43,L$37,$C$50:$D79)</f>
        <v>5.0972238680799177E-2</v>
      </c>
      <c r="M79" s="29">
        <f>DSUM($B$37:$X$43,M$37,$C$50:$D79)</f>
        <v>5.8736353957539747E-2</v>
      </c>
      <c r="N79" s="29">
        <f>DSUM($B$37:$X$43,N$37,$C$50:$D79)</f>
        <v>6.703259526928225E-2</v>
      </c>
      <c r="O79" s="29">
        <f>DSUM($B$37:$X$43,O$37,$C$50:$D79)</f>
        <v>7.3152060457391949E-2</v>
      </c>
      <c r="P79" s="29">
        <f>DSUM($B$37:$X$43,P$37,$C$50:$D79)</f>
        <v>7.6041473917779059E-2</v>
      </c>
      <c r="Q79" s="29">
        <f>DSUM($B$37:$X$43,Q$37,$C$50:$D79)</f>
        <v>7.6257333085102519E-2</v>
      </c>
      <c r="R79" s="29">
        <f>DSUM($B$37:$X$43,R$37,$C$50:$D79)</f>
        <v>7.7479363410272922E-2</v>
      </c>
      <c r="S79" s="29">
        <f>DSUM($B$37:$X$43,S$37,$C$50:$D79)</f>
        <v>7.8879500987917905E-2</v>
      </c>
      <c r="T79" s="29">
        <f>DSUM($B$37:$X$43,T$37,$C$50:$D79)</f>
        <v>7.8716594304808526E-2</v>
      </c>
      <c r="U79" s="29">
        <f>DSUM($B$37:$X$43,U$37,$C$50:$D79)</f>
        <v>7.6159652334949382E-2</v>
      </c>
      <c r="V79" s="29">
        <f>DSUM($B$37:$X$43,V$37,$C$50:$D79)</f>
        <v>7.60395665977881E-2</v>
      </c>
      <c r="W79" s="29">
        <f>DSUM($B$37:$X$43,W$37,$C$50:$D79)</f>
        <v>7.6234362970802994E-2</v>
      </c>
      <c r="X79" s="29">
        <f>DSUM($B$37:$Y$43,X$37,$C$50:$D79)</f>
        <v>7.6752112703439984E-2</v>
      </c>
      <c r="Y79" s="29">
        <f>DSUM($B$37:$Y$43,Y$37,$C$50:$D79)</f>
        <v>1.0958905881218441</v>
      </c>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row>
    <row r="80" spans="2:80">
      <c r="B80" s="7" t="s">
        <v>380</v>
      </c>
      <c r="C80" s="50" t="s">
        <v>359</v>
      </c>
      <c r="D80" s="50" t="s">
        <v>370</v>
      </c>
      <c r="E80" s="29">
        <f>DSUM($B$37:$X$43,E$37,$C$50:$D80)</f>
        <v>4.333643097114581E-3</v>
      </c>
      <c r="F80" s="29">
        <f>DSUM($B$37:$X$43,F$37,$C$50:$D80)</f>
        <v>9.2351270614494888E-3</v>
      </c>
      <c r="G80" s="29">
        <f>DSUM($B$37:$X$43,G$37,$C$50:$D80)</f>
        <v>1.4656932224009959E-2</v>
      </c>
      <c r="H80" s="29">
        <f>DSUM($B$37:$X$43,H$37,$C$50:$D80)</f>
        <v>2.0810281767645298E-2</v>
      </c>
      <c r="I80" s="29">
        <f>DSUM($B$37:$X$43,I$37,$C$50:$D80)</f>
        <v>2.7610283256454225E-2</v>
      </c>
      <c r="J80" s="29">
        <f>DSUM($B$37:$X$43,J$37,$C$50:$D80)</f>
        <v>3.4504938856525037E-2</v>
      </c>
      <c r="K80" s="29">
        <f>DSUM($B$37:$X$43,K$37,$C$50:$D80)</f>
        <v>4.2286173180771033E-2</v>
      </c>
      <c r="L80" s="29">
        <f>DSUM($B$37:$X$43,L$37,$C$50:$D80)</f>
        <v>5.0972238680799177E-2</v>
      </c>
      <c r="M80" s="29">
        <f>DSUM($B$37:$X$43,M$37,$C$50:$D80)</f>
        <v>5.8736353957539747E-2</v>
      </c>
      <c r="N80" s="29">
        <f>DSUM($B$37:$X$43,N$37,$C$50:$D80)</f>
        <v>6.703259526928225E-2</v>
      </c>
      <c r="O80" s="29">
        <f>DSUM($B$37:$X$43,O$37,$C$50:$D80)</f>
        <v>7.3152060457391949E-2</v>
      </c>
      <c r="P80" s="29">
        <f>DSUM($B$37:$X$43,P$37,$C$50:$D80)</f>
        <v>7.6041473917779059E-2</v>
      </c>
      <c r="Q80" s="29">
        <f>DSUM($B$37:$X$43,Q$37,$C$50:$D80)</f>
        <v>7.6257333085102519E-2</v>
      </c>
      <c r="R80" s="29">
        <f>DSUM($B$37:$X$43,R$37,$C$50:$D80)</f>
        <v>7.7479363410272922E-2</v>
      </c>
      <c r="S80" s="29">
        <f>DSUM($B$37:$X$43,S$37,$C$50:$D80)</f>
        <v>7.8879500987917905E-2</v>
      </c>
      <c r="T80" s="29">
        <f>DSUM($B$37:$X$43,T$37,$C$50:$D80)</f>
        <v>7.8716594304808526E-2</v>
      </c>
      <c r="U80" s="29">
        <f>DSUM($B$37:$X$43,U$37,$C$50:$D80)</f>
        <v>7.6159652334949382E-2</v>
      </c>
      <c r="V80" s="29">
        <f>DSUM($B$37:$X$43,V$37,$C$50:$D80)</f>
        <v>7.60395665977881E-2</v>
      </c>
      <c r="W80" s="29">
        <f>DSUM($B$37:$X$43,W$37,$C$50:$D80)</f>
        <v>7.6234362970802994E-2</v>
      </c>
      <c r="X80" s="29">
        <f>DSUM($B$37:$Y$43,X$37,$C$50:$D80)</f>
        <v>7.6752112703439984E-2</v>
      </c>
      <c r="Y80" s="29">
        <f>DSUM($B$37:$Y$43,Y$37,$C$50:$D80)</f>
        <v>1.0958905881218441</v>
      </c>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row>
    <row r="81" spans="1:80">
      <c r="B81" s="7" t="s">
        <v>381</v>
      </c>
      <c r="C81" s="50" t="s">
        <v>360</v>
      </c>
      <c r="D81" s="50" t="s">
        <v>371</v>
      </c>
      <c r="E81" s="29">
        <f>DSUM($B$37:$X$43,E$37,$C$50:$D81)</f>
        <v>4.333643097114581E-3</v>
      </c>
      <c r="F81" s="29">
        <f>DSUM($B$37:$X$43,F$37,$C$50:$D81)</f>
        <v>9.2351270614494888E-3</v>
      </c>
      <c r="G81" s="29">
        <f>DSUM($B$37:$X$43,G$37,$C$50:$D81)</f>
        <v>1.4656932224009959E-2</v>
      </c>
      <c r="H81" s="29">
        <f>DSUM($B$37:$X$43,H$37,$C$50:$D81)</f>
        <v>2.0810281767645298E-2</v>
      </c>
      <c r="I81" s="29">
        <f>DSUM($B$37:$X$43,I$37,$C$50:$D81)</f>
        <v>2.7610283256454225E-2</v>
      </c>
      <c r="J81" s="29">
        <f>DSUM($B$37:$X$43,J$37,$C$50:$D81)</f>
        <v>3.4504938856525037E-2</v>
      </c>
      <c r="K81" s="29">
        <f>DSUM($B$37:$X$43,K$37,$C$50:$D81)</f>
        <v>4.2286173180771033E-2</v>
      </c>
      <c r="L81" s="29">
        <f>DSUM($B$37:$X$43,L$37,$C$50:$D81)</f>
        <v>5.0972238680799177E-2</v>
      </c>
      <c r="M81" s="29">
        <f>DSUM($B$37:$X$43,M$37,$C$50:$D81)</f>
        <v>5.8736353957539747E-2</v>
      </c>
      <c r="N81" s="29">
        <f>DSUM($B$37:$X$43,N$37,$C$50:$D81)</f>
        <v>6.703259526928225E-2</v>
      </c>
      <c r="O81" s="29">
        <f>DSUM($B$37:$X$43,O$37,$C$50:$D81)</f>
        <v>7.3152060457391949E-2</v>
      </c>
      <c r="P81" s="29">
        <f>DSUM($B$37:$X$43,P$37,$C$50:$D81)</f>
        <v>7.6041473917779059E-2</v>
      </c>
      <c r="Q81" s="29">
        <f>DSUM($B$37:$X$43,Q$37,$C$50:$D81)</f>
        <v>7.6257333085102519E-2</v>
      </c>
      <c r="R81" s="29">
        <f>DSUM($B$37:$X$43,R$37,$C$50:$D81)</f>
        <v>7.7479363410272922E-2</v>
      </c>
      <c r="S81" s="29">
        <f>DSUM($B$37:$X$43,S$37,$C$50:$D81)</f>
        <v>7.8879500987917905E-2</v>
      </c>
      <c r="T81" s="29">
        <f>DSUM($B$37:$X$43,T$37,$C$50:$D81)</f>
        <v>7.8716594304808526E-2</v>
      </c>
      <c r="U81" s="29">
        <f>DSUM($B$37:$X$43,U$37,$C$50:$D81)</f>
        <v>7.6159652334949382E-2</v>
      </c>
      <c r="V81" s="29">
        <f>DSUM($B$37:$X$43,V$37,$C$50:$D81)</f>
        <v>7.60395665977881E-2</v>
      </c>
      <c r="W81" s="29">
        <f>DSUM($B$37:$X$43,W$37,$C$50:$D81)</f>
        <v>7.6234362970802994E-2</v>
      </c>
      <c r="X81" s="29">
        <f>DSUM($B$37:$Y$43,X$37,$C$50:$D81)</f>
        <v>7.6752112703439984E-2</v>
      </c>
      <c r="Y81" s="29">
        <f>DSUM($B$37:$Y$43,Y$37,$C$50:$D81)</f>
        <v>1.0958905881218441</v>
      </c>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row>
    <row r="82" spans="1:80">
      <c r="B82" s="7" t="s">
        <v>382</v>
      </c>
      <c r="C82" s="50" t="s">
        <v>361</v>
      </c>
      <c r="D82" s="50" t="s">
        <v>133</v>
      </c>
      <c r="E82" s="29">
        <f>DSUM($B$37:$X$43,E$37,$C$50:$D82)</f>
        <v>1.9821280157008046E-2</v>
      </c>
      <c r="F82" s="29">
        <f>DSUM($B$37:$X$43,F$37,$C$50:$D82)</f>
        <v>4.223975917454674E-2</v>
      </c>
      <c r="G82" s="29">
        <f>DSUM($B$37:$X$43,G$37,$C$50:$D82)</f>
        <v>6.7038090895813113E-2</v>
      </c>
      <c r="H82" s="29">
        <f>DSUM($B$37:$X$43,H$37,$C$50:$D82)</f>
        <v>9.5182371002682481E-2</v>
      </c>
      <c r="I82" s="29">
        <f>DSUM($B$37:$X$43,I$37,$C$50:$D82)</f>
        <v>0.12628431723067154</v>
      </c>
      <c r="J82" s="29">
        <f>DSUM($B$37:$X$43,J$37,$C$50:$D82)</f>
        <v>0.15781919381662743</v>
      </c>
      <c r="K82" s="29">
        <f>DSUM($B$37:$X$43,K$37,$C$50:$D82)</f>
        <v>0.19340911713331654</v>
      </c>
      <c r="L82" s="29">
        <f>DSUM($B$37:$X$43,L$37,$C$50:$D82)</f>
        <v>0.23313757051075623</v>
      </c>
      <c r="M82" s="29">
        <f>DSUM($B$37:$X$43,M$37,$C$50:$D82)</f>
        <v>0.26864919447767838</v>
      </c>
      <c r="N82" s="29">
        <f>DSUM($B$37:$X$43,N$37,$C$50:$D82)</f>
        <v>0.30659466428336696</v>
      </c>
      <c r="O82" s="29">
        <f>DSUM($B$37:$X$43,O$37,$C$50:$D82)</f>
        <v>0.33458396362953169</v>
      </c>
      <c r="P82" s="29">
        <f>DSUM($B$37:$X$43,P$37,$C$50:$D82)</f>
        <v>0.34779960515891728</v>
      </c>
      <c r="Q82" s="29">
        <f>DSUM($B$37:$X$43,Q$37,$C$50:$D82)</f>
        <v>0.34878690497436027</v>
      </c>
      <c r="R82" s="29">
        <f>DSUM($B$37:$X$43,R$37,$C$50:$D82)</f>
        <v>0.35437624514214883</v>
      </c>
      <c r="S82" s="29">
        <f>DSUM($B$37:$X$43,S$37,$C$50:$D82)</f>
        <v>0.36078021486529793</v>
      </c>
      <c r="T82" s="29">
        <f>DSUM($B$37:$X$43,T$37,$C$50:$D82)</f>
        <v>0.36003510989633775</v>
      </c>
      <c r="U82" s="29">
        <f>DSUM($B$37:$X$43,U$37,$C$50:$D82)</f>
        <v>0.34834013133118208</v>
      </c>
      <c r="V82" s="29">
        <f>DSUM($B$37:$X$43,V$37,$C$50:$D82)</f>
        <v>0.34779088143085696</v>
      </c>
      <c r="W82" s="29">
        <f>DSUM($B$37:$X$43,W$37,$C$50:$D82)</f>
        <v>0.34868184392974566</v>
      </c>
      <c r="X82" s="29">
        <f>DSUM($B$37:$Y$43,X$37,$C$50:$D82)</f>
        <v>0.35104993522656869</v>
      </c>
      <c r="Y82" s="29">
        <f>DSUM($B$37:$Y$43,Y$37,$C$50:$D82)</f>
        <v>5.0124003942674147</v>
      </c>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row>
    <row r="83" spans="1:80">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row>
    <row r="84" spans="1:80">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row>
    <row r="85" spans="1:80" ht="15">
      <c r="A85" s="55" t="s">
        <v>134</v>
      </c>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row>
    <row r="86" spans="1:80" ht="15">
      <c r="C86" s="64" t="s">
        <v>811</v>
      </c>
      <c r="D86" s="64"/>
      <c r="E86" s="58">
        <f t="shared" ref="E86:X86" si="21">E11</f>
        <v>2016</v>
      </c>
      <c r="F86" s="59">
        <f t="shared" si="21"/>
        <v>2017</v>
      </c>
      <c r="G86" s="59">
        <f t="shared" si="21"/>
        <v>2018</v>
      </c>
      <c r="H86" s="59">
        <f t="shared" si="21"/>
        <v>2019</v>
      </c>
      <c r="I86" s="59">
        <f t="shared" si="21"/>
        <v>2020</v>
      </c>
      <c r="J86" s="59">
        <f t="shared" si="21"/>
        <v>2021</v>
      </c>
      <c r="K86" s="59">
        <f t="shared" si="21"/>
        <v>2022</v>
      </c>
      <c r="L86" s="59">
        <f t="shared" si="21"/>
        <v>2023</v>
      </c>
      <c r="M86" s="59">
        <f t="shared" si="21"/>
        <v>2024</v>
      </c>
      <c r="N86" s="59">
        <f t="shared" si="21"/>
        <v>2025</v>
      </c>
      <c r="O86" s="59">
        <f t="shared" si="21"/>
        <v>2026</v>
      </c>
      <c r="P86" s="59">
        <f t="shared" si="21"/>
        <v>2027</v>
      </c>
      <c r="Q86" s="59">
        <f t="shared" si="21"/>
        <v>2028</v>
      </c>
      <c r="R86" s="59">
        <f t="shared" si="21"/>
        <v>2029</v>
      </c>
      <c r="S86" s="59">
        <f t="shared" si="21"/>
        <v>2030</v>
      </c>
      <c r="T86" s="59">
        <f t="shared" si="21"/>
        <v>2031</v>
      </c>
      <c r="U86" s="59">
        <f t="shared" si="21"/>
        <v>2032</v>
      </c>
      <c r="V86" s="59">
        <f t="shared" si="21"/>
        <v>2033</v>
      </c>
      <c r="W86" s="59">
        <f t="shared" si="21"/>
        <v>2034</v>
      </c>
      <c r="X86" s="59">
        <f t="shared" si="21"/>
        <v>2035</v>
      </c>
      <c r="Y86" s="60" t="s">
        <v>60</v>
      </c>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row>
    <row r="87" spans="1:80" ht="15">
      <c r="C87" s="64" t="str">
        <f>C8</f>
        <v>ASHP</v>
      </c>
      <c r="D87" s="64"/>
      <c r="E87" s="61" t="str">
        <f>CONCATENATE("aMW_",E$11)</f>
        <v>aMW_2016</v>
      </c>
      <c r="F87" s="62" t="str">
        <f t="shared" ref="F87:X87" si="22">CONCATENATE("aMW_",F$11)</f>
        <v>aMW_2017</v>
      </c>
      <c r="G87" s="62" t="str">
        <f t="shared" si="22"/>
        <v>aMW_2018</v>
      </c>
      <c r="H87" s="62" t="str">
        <f t="shared" si="22"/>
        <v>aMW_2019</v>
      </c>
      <c r="I87" s="62" t="str">
        <f t="shared" si="22"/>
        <v>aMW_2020</v>
      </c>
      <c r="J87" s="62" t="str">
        <f t="shared" si="22"/>
        <v>aMW_2021</v>
      </c>
      <c r="K87" s="62" t="str">
        <f t="shared" si="22"/>
        <v>aMW_2022</v>
      </c>
      <c r="L87" s="62" t="str">
        <f t="shared" si="22"/>
        <v>aMW_2023</v>
      </c>
      <c r="M87" s="62" t="str">
        <f t="shared" si="22"/>
        <v>aMW_2024</v>
      </c>
      <c r="N87" s="62" t="str">
        <f t="shared" si="22"/>
        <v>aMW_2025</v>
      </c>
      <c r="O87" s="62" t="str">
        <f t="shared" si="22"/>
        <v>aMW_2026</v>
      </c>
      <c r="P87" s="62" t="str">
        <f t="shared" si="22"/>
        <v>aMW_2027</v>
      </c>
      <c r="Q87" s="62" t="str">
        <f t="shared" si="22"/>
        <v>aMW_2028</v>
      </c>
      <c r="R87" s="62" t="str">
        <f t="shared" si="22"/>
        <v>aMW_2029</v>
      </c>
      <c r="S87" s="62" t="str">
        <f t="shared" si="22"/>
        <v>aMW_2030</v>
      </c>
      <c r="T87" s="62" t="str">
        <f t="shared" si="22"/>
        <v>aMW_2031</v>
      </c>
      <c r="U87" s="62" t="str">
        <f t="shared" si="22"/>
        <v>aMW_2032</v>
      </c>
      <c r="V87" s="62" t="str">
        <f t="shared" si="22"/>
        <v>aMW_2033</v>
      </c>
      <c r="W87" s="62" t="str">
        <f t="shared" si="22"/>
        <v>aMW_2034</v>
      </c>
      <c r="X87" s="62" t="str">
        <f t="shared" si="22"/>
        <v>aMW_2035</v>
      </c>
      <c r="Y87" s="63" t="s">
        <v>60</v>
      </c>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row>
    <row r="88" spans="1:80">
      <c r="C88" s="7" t="s">
        <v>68</v>
      </c>
      <c r="E88" s="29">
        <f t="shared" ref="E88:X88" si="23">E51</f>
        <v>0</v>
      </c>
      <c r="F88" s="29">
        <f t="shared" si="23"/>
        <v>0</v>
      </c>
      <c r="G88" s="29">
        <f t="shared" si="23"/>
        <v>0</v>
      </c>
      <c r="H88" s="29">
        <f t="shared" si="23"/>
        <v>0</v>
      </c>
      <c r="I88" s="29">
        <f t="shared" si="23"/>
        <v>0</v>
      </c>
      <c r="J88" s="29">
        <f t="shared" si="23"/>
        <v>0</v>
      </c>
      <c r="K88" s="29">
        <f t="shared" si="23"/>
        <v>0</v>
      </c>
      <c r="L88" s="29">
        <f t="shared" si="23"/>
        <v>0</v>
      </c>
      <c r="M88" s="29">
        <f t="shared" si="23"/>
        <v>0</v>
      </c>
      <c r="N88" s="29">
        <f t="shared" si="23"/>
        <v>0</v>
      </c>
      <c r="O88" s="29">
        <f t="shared" si="23"/>
        <v>0</v>
      </c>
      <c r="P88" s="29">
        <f t="shared" si="23"/>
        <v>0</v>
      </c>
      <c r="Q88" s="29">
        <f t="shared" si="23"/>
        <v>0</v>
      </c>
      <c r="R88" s="29">
        <f t="shared" si="23"/>
        <v>0</v>
      </c>
      <c r="S88" s="29">
        <f t="shared" si="23"/>
        <v>0</v>
      </c>
      <c r="T88" s="29">
        <f t="shared" si="23"/>
        <v>0</v>
      </c>
      <c r="U88" s="29">
        <f t="shared" si="23"/>
        <v>0</v>
      </c>
      <c r="V88" s="29">
        <f t="shared" si="23"/>
        <v>0</v>
      </c>
      <c r="W88" s="29">
        <f t="shared" si="23"/>
        <v>0</v>
      </c>
      <c r="X88" s="29">
        <f t="shared" si="23"/>
        <v>0</v>
      </c>
      <c r="Y88" s="29">
        <f>SUM(E88:X88)</f>
        <v>0</v>
      </c>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row>
    <row r="89" spans="1:80">
      <c r="C89" s="7" t="s">
        <v>544</v>
      </c>
      <c r="E89" s="29">
        <f t="shared" ref="E89:X101" si="24">E52-E51</f>
        <v>0</v>
      </c>
      <c r="F89" s="29">
        <f t="shared" si="24"/>
        <v>0</v>
      </c>
      <c r="G89" s="29">
        <f t="shared" si="24"/>
        <v>0</v>
      </c>
      <c r="H89" s="29">
        <f t="shared" si="24"/>
        <v>0</v>
      </c>
      <c r="I89" s="29">
        <f t="shared" si="24"/>
        <v>0</v>
      </c>
      <c r="J89" s="29">
        <f t="shared" si="24"/>
        <v>0</v>
      </c>
      <c r="K89" s="29">
        <f t="shared" si="24"/>
        <v>0</v>
      </c>
      <c r="L89" s="29">
        <f t="shared" si="24"/>
        <v>0</v>
      </c>
      <c r="M89" s="29">
        <f t="shared" si="24"/>
        <v>0</v>
      </c>
      <c r="N89" s="29">
        <f t="shared" si="24"/>
        <v>0</v>
      </c>
      <c r="O89" s="29">
        <f t="shared" si="24"/>
        <v>0</v>
      </c>
      <c r="P89" s="29">
        <f t="shared" si="24"/>
        <v>0</v>
      </c>
      <c r="Q89" s="29">
        <f t="shared" si="24"/>
        <v>0</v>
      </c>
      <c r="R89" s="29">
        <f t="shared" si="24"/>
        <v>0</v>
      </c>
      <c r="S89" s="29">
        <f t="shared" si="24"/>
        <v>0</v>
      </c>
      <c r="T89" s="29">
        <f t="shared" si="24"/>
        <v>0</v>
      </c>
      <c r="U89" s="29">
        <f t="shared" si="24"/>
        <v>0</v>
      </c>
      <c r="V89" s="29">
        <f t="shared" si="24"/>
        <v>0</v>
      </c>
      <c r="W89" s="29">
        <f t="shared" si="24"/>
        <v>0</v>
      </c>
      <c r="X89" s="29">
        <f t="shared" si="24"/>
        <v>0</v>
      </c>
      <c r="Y89" s="29">
        <f t="shared" ref="Y89:Y118" si="25">SUM(E89:X89)</f>
        <v>0</v>
      </c>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row>
    <row r="90" spans="1:80">
      <c r="C90" s="7" t="s">
        <v>74</v>
      </c>
      <c r="E90" s="29">
        <f t="shared" si="24"/>
        <v>0</v>
      </c>
      <c r="F90" s="29">
        <f t="shared" si="24"/>
        <v>0</v>
      </c>
      <c r="G90" s="29">
        <f t="shared" si="24"/>
        <v>0</v>
      </c>
      <c r="H90" s="29">
        <f t="shared" si="24"/>
        <v>0</v>
      </c>
      <c r="I90" s="29">
        <f t="shared" si="24"/>
        <v>0</v>
      </c>
      <c r="J90" s="29">
        <f t="shared" si="24"/>
        <v>0</v>
      </c>
      <c r="K90" s="29">
        <f t="shared" si="24"/>
        <v>0</v>
      </c>
      <c r="L90" s="29">
        <f t="shared" si="24"/>
        <v>0</v>
      </c>
      <c r="M90" s="29">
        <f t="shared" si="24"/>
        <v>0</v>
      </c>
      <c r="N90" s="29">
        <f t="shared" si="24"/>
        <v>0</v>
      </c>
      <c r="O90" s="29">
        <f t="shared" si="24"/>
        <v>0</v>
      </c>
      <c r="P90" s="29">
        <f t="shared" si="24"/>
        <v>0</v>
      </c>
      <c r="Q90" s="29">
        <f t="shared" si="24"/>
        <v>0</v>
      </c>
      <c r="R90" s="29">
        <f t="shared" si="24"/>
        <v>0</v>
      </c>
      <c r="S90" s="29">
        <f t="shared" si="24"/>
        <v>0</v>
      </c>
      <c r="T90" s="29">
        <f t="shared" si="24"/>
        <v>0</v>
      </c>
      <c r="U90" s="29">
        <f t="shared" si="24"/>
        <v>0</v>
      </c>
      <c r="V90" s="29">
        <f t="shared" si="24"/>
        <v>0</v>
      </c>
      <c r="W90" s="29">
        <f t="shared" si="24"/>
        <v>0</v>
      </c>
      <c r="X90" s="29">
        <f t="shared" si="24"/>
        <v>0</v>
      </c>
      <c r="Y90" s="29">
        <f t="shared" si="25"/>
        <v>0</v>
      </c>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row>
    <row r="91" spans="1:80">
      <c r="C91" s="7" t="s">
        <v>77</v>
      </c>
      <c r="E91" s="29">
        <f t="shared" si="24"/>
        <v>4.333643097114581E-3</v>
      </c>
      <c r="F91" s="29">
        <f t="shared" si="24"/>
        <v>9.2351270614494888E-3</v>
      </c>
      <c r="G91" s="29">
        <f t="shared" si="24"/>
        <v>1.4656932224009959E-2</v>
      </c>
      <c r="H91" s="29">
        <f t="shared" si="24"/>
        <v>2.0810281767645298E-2</v>
      </c>
      <c r="I91" s="29">
        <f t="shared" si="24"/>
        <v>2.7610283256454225E-2</v>
      </c>
      <c r="J91" s="29">
        <f t="shared" si="24"/>
        <v>3.4504938856525037E-2</v>
      </c>
      <c r="K91" s="29">
        <f t="shared" si="24"/>
        <v>4.2286173180771033E-2</v>
      </c>
      <c r="L91" s="29">
        <f t="shared" si="24"/>
        <v>5.0972238680799177E-2</v>
      </c>
      <c r="M91" s="29">
        <f t="shared" si="24"/>
        <v>5.8736353957539747E-2</v>
      </c>
      <c r="N91" s="29">
        <f t="shared" si="24"/>
        <v>6.703259526928225E-2</v>
      </c>
      <c r="O91" s="29">
        <f t="shared" si="24"/>
        <v>7.3152060457391949E-2</v>
      </c>
      <c r="P91" s="29">
        <f t="shared" si="24"/>
        <v>7.6041473917779059E-2</v>
      </c>
      <c r="Q91" s="29">
        <f t="shared" si="24"/>
        <v>7.6257333085102519E-2</v>
      </c>
      <c r="R91" s="29">
        <f t="shared" si="24"/>
        <v>7.7479363410272922E-2</v>
      </c>
      <c r="S91" s="29">
        <f t="shared" si="24"/>
        <v>7.8879500987917905E-2</v>
      </c>
      <c r="T91" s="29">
        <f t="shared" si="24"/>
        <v>7.8716594304808526E-2</v>
      </c>
      <c r="U91" s="29">
        <f t="shared" si="24"/>
        <v>7.6159652334949382E-2</v>
      </c>
      <c r="V91" s="29">
        <f t="shared" si="24"/>
        <v>7.60395665977881E-2</v>
      </c>
      <c r="W91" s="29">
        <f t="shared" si="24"/>
        <v>7.6234362970802994E-2</v>
      </c>
      <c r="X91" s="29">
        <f t="shared" si="24"/>
        <v>7.6752112703439984E-2</v>
      </c>
      <c r="Y91" s="29">
        <f t="shared" si="25"/>
        <v>1.0958905881218441</v>
      </c>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row>
    <row r="92" spans="1:80">
      <c r="C92" s="7" t="s">
        <v>80</v>
      </c>
      <c r="E92" s="29">
        <f t="shared" si="24"/>
        <v>0</v>
      </c>
      <c r="F92" s="29">
        <f t="shared" si="24"/>
        <v>0</v>
      </c>
      <c r="G92" s="29">
        <f t="shared" si="24"/>
        <v>0</v>
      </c>
      <c r="H92" s="29">
        <f t="shared" si="24"/>
        <v>0</v>
      </c>
      <c r="I92" s="29">
        <f t="shared" si="24"/>
        <v>0</v>
      </c>
      <c r="J92" s="29">
        <f t="shared" si="24"/>
        <v>0</v>
      </c>
      <c r="K92" s="29">
        <f t="shared" si="24"/>
        <v>0</v>
      </c>
      <c r="L92" s="29">
        <f t="shared" si="24"/>
        <v>0</v>
      </c>
      <c r="M92" s="29">
        <f t="shared" si="24"/>
        <v>0</v>
      </c>
      <c r="N92" s="29">
        <f t="shared" si="24"/>
        <v>0</v>
      </c>
      <c r="O92" s="29">
        <f t="shared" si="24"/>
        <v>0</v>
      </c>
      <c r="P92" s="29">
        <f t="shared" si="24"/>
        <v>0</v>
      </c>
      <c r="Q92" s="29">
        <f t="shared" si="24"/>
        <v>0</v>
      </c>
      <c r="R92" s="29">
        <f t="shared" si="24"/>
        <v>0</v>
      </c>
      <c r="S92" s="29">
        <f t="shared" si="24"/>
        <v>0</v>
      </c>
      <c r="T92" s="29">
        <f t="shared" si="24"/>
        <v>0</v>
      </c>
      <c r="U92" s="29">
        <f t="shared" si="24"/>
        <v>0</v>
      </c>
      <c r="V92" s="29">
        <f t="shared" si="24"/>
        <v>0</v>
      </c>
      <c r="W92" s="29">
        <f t="shared" si="24"/>
        <v>0</v>
      </c>
      <c r="X92" s="29">
        <f t="shared" si="24"/>
        <v>0</v>
      </c>
      <c r="Y92" s="29">
        <f t="shared" si="25"/>
        <v>0</v>
      </c>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row>
    <row r="93" spans="1:80">
      <c r="C93" s="7" t="s">
        <v>83</v>
      </c>
      <c r="E93" s="29">
        <f t="shared" si="24"/>
        <v>0</v>
      </c>
      <c r="F93" s="29">
        <f t="shared" si="24"/>
        <v>0</v>
      </c>
      <c r="G93" s="29">
        <f t="shared" si="24"/>
        <v>0</v>
      </c>
      <c r="H93" s="29">
        <f t="shared" si="24"/>
        <v>0</v>
      </c>
      <c r="I93" s="29">
        <f t="shared" si="24"/>
        <v>0</v>
      </c>
      <c r="J93" s="29">
        <f t="shared" si="24"/>
        <v>0</v>
      </c>
      <c r="K93" s="29">
        <f t="shared" si="24"/>
        <v>0</v>
      </c>
      <c r="L93" s="29">
        <f t="shared" si="24"/>
        <v>0</v>
      </c>
      <c r="M93" s="29">
        <f t="shared" si="24"/>
        <v>0</v>
      </c>
      <c r="N93" s="29">
        <f t="shared" si="24"/>
        <v>0</v>
      </c>
      <c r="O93" s="29">
        <f t="shared" si="24"/>
        <v>0</v>
      </c>
      <c r="P93" s="29">
        <f t="shared" si="24"/>
        <v>0</v>
      </c>
      <c r="Q93" s="29">
        <f t="shared" si="24"/>
        <v>0</v>
      </c>
      <c r="R93" s="29">
        <f t="shared" si="24"/>
        <v>0</v>
      </c>
      <c r="S93" s="29">
        <f t="shared" si="24"/>
        <v>0</v>
      </c>
      <c r="T93" s="29">
        <f t="shared" si="24"/>
        <v>0</v>
      </c>
      <c r="U93" s="29">
        <f t="shared" si="24"/>
        <v>0</v>
      </c>
      <c r="V93" s="29">
        <f t="shared" si="24"/>
        <v>0</v>
      </c>
      <c r="W93" s="29">
        <f t="shared" si="24"/>
        <v>0</v>
      </c>
      <c r="X93" s="29">
        <f t="shared" si="24"/>
        <v>0</v>
      </c>
      <c r="Y93" s="29">
        <f t="shared" si="25"/>
        <v>0</v>
      </c>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row>
    <row r="94" spans="1:80">
      <c r="C94" s="7" t="s">
        <v>86</v>
      </c>
      <c r="E94" s="29">
        <f t="shared" si="24"/>
        <v>0</v>
      </c>
      <c r="F94" s="29">
        <f t="shared" si="24"/>
        <v>0</v>
      </c>
      <c r="G94" s="29">
        <f t="shared" si="24"/>
        <v>0</v>
      </c>
      <c r="H94" s="29">
        <f t="shared" si="24"/>
        <v>0</v>
      </c>
      <c r="I94" s="29">
        <f t="shared" si="24"/>
        <v>0</v>
      </c>
      <c r="J94" s="29">
        <f t="shared" si="24"/>
        <v>0</v>
      </c>
      <c r="K94" s="29">
        <f t="shared" si="24"/>
        <v>0</v>
      </c>
      <c r="L94" s="29">
        <f t="shared" si="24"/>
        <v>0</v>
      </c>
      <c r="M94" s="29">
        <f t="shared" si="24"/>
        <v>0</v>
      </c>
      <c r="N94" s="29">
        <f t="shared" si="24"/>
        <v>0</v>
      </c>
      <c r="O94" s="29">
        <f t="shared" si="24"/>
        <v>0</v>
      </c>
      <c r="P94" s="29">
        <f t="shared" si="24"/>
        <v>0</v>
      </c>
      <c r="Q94" s="29">
        <f t="shared" si="24"/>
        <v>0</v>
      </c>
      <c r="R94" s="29">
        <f t="shared" si="24"/>
        <v>0</v>
      </c>
      <c r="S94" s="29">
        <f t="shared" si="24"/>
        <v>0</v>
      </c>
      <c r="T94" s="29">
        <f t="shared" si="24"/>
        <v>0</v>
      </c>
      <c r="U94" s="29">
        <f t="shared" si="24"/>
        <v>0</v>
      </c>
      <c r="V94" s="29">
        <f t="shared" si="24"/>
        <v>0</v>
      </c>
      <c r="W94" s="29">
        <f t="shared" si="24"/>
        <v>0</v>
      </c>
      <c r="X94" s="29">
        <f t="shared" si="24"/>
        <v>0</v>
      </c>
      <c r="Y94" s="29">
        <f t="shared" si="25"/>
        <v>0</v>
      </c>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row>
    <row r="95" spans="1:80">
      <c r="C95" s="7" t="s">
        <v>89</v>
      </c>
      <c r="E95" s="29">
        <f t="shared" si="24"/>
        <v>0</v>
      </c>
      <c r="F95" s="29">
        <f t="shared" si="24"/>
        <v>0</v>
      </c>
      <c r="G95" s="29">
        <f t="shared" si="24"/>
        <v>0</v>
      </c>
      <c r="H95" s="29">
        <f t="shared" si="24"/>
        <v>0</v>
      </c>
      <c r="I95" s="29">
        <f t="shared" si="24"/>
        <v>0</v>
      </c>
      <c r="J95" s="29">
        <f t="shared" si="24"/>
        <v>0</v>
      </c>
      <c r="K95" s="29">
        <f t="shared" si="24"/>
        <v>0</v>
      </c>
      <c r="L95" s="29">
        <f t="shared" si="24"/>
        <v>0</v>
      </c>
      <c r="M95" s="29">
        <f t="shared" si="24"/>
        <v>0</v>
      </c>
      <c r="N95" s="29">
        <f t="shared" si="24"/>
        <v>0</v>
      </c>
      <c r="O95" s="29">
        <f t="shared" si="24"/>
        <v>0</v>
      </c>
      <c r="P95" s="29">
        <f t="shared" si="24"/>
        <v>0</v>
      </c>
      <c r="Q95" s="29">
        <f t="shared" si="24"/>
        <v>0</v>
      </c>
      <c r="R95" s="29">
        <f t="shared" si="24"/>
        <v>0</v>
      </c>
      <c r="S95" s="29">
        <f t="shared" si="24"/>
        <v>0</v>
      </c>
      <c r="T95" s="29">
        <f t="shared" si="24"/>
        <v>0</v>
      </c>
      <c r="U95" s="29">
        <f t="shared" si="24"/>
        <v>0</v>
      </c>
      <c r="V95" s="29">
        <f t="shared" si="24"/>
        <v>0</v>
      </c>
      <c r="W95" s="29">
        <f t="shared" si="24"/>
        <v>0</v>
      </c>
      <c r="X95" s="29">
        <f t="shared" si="24"/>
        <v>0</v>
      </c>
      <c r="Y95" s="29">
        <f t="shared" si="25"/>
        <v>0</v>
      </c>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row>
    <row r="96" spans="1:80">
      <c r="C96" s="7" t="s">
        <v>92</v>
      </c>
      <c r="E96" s="29">
        <f t="shared" si="24"/>
        <v>0</v>
      </c>
      <c r="F96" s="29">
        <f t="shared" si="24"/>
        <v>0</v>
      </c>
      <c r="G96" s="29">
        <f t="shared" si="24"/>
        <v>0</v>
      </c>
      <c r="H96" s="29">
        <f t="shared" si="24"/>
        <v>0</v>
      </c>
      <c r="I96" s="29">
        <f t="shared" si="24"/>
        <v>0</v>
      </c>
      <c r="J96" s="29">
        <f t="shared" si="24"/>
        <v>0</v>
      </c>
      <c r="K96" s="29">
        <f t="shared" si="24"/>
        <v>0</v>
      </c>
      <c r="L96" s="29">
        <f t="shared" si="24"/>
        <v>0</v>
      </c>
      <c r="M96" s="29">
        <f t="shared" si="24"/>
        <v>0</v>
      </c>
      <c r="N96" s="29">
        <f t="shared" si="24"/>
        <v>0</v>
      </c>
      <c r="O96" s="29">
        <f t="shared" si="24"/>
        <v>0</v>
      </c>
      <c r="P96" s="29">
        <f t="shared" si="24"/>
        <v>0</v>
      </c>
      <c r="Q96" s="29">
        <f t="shared" si="24"/>
        <v>0</v>
      </c>
      <c r="R96" s="29">
        <f t="shared" si="24"/>
        <v>0</v>
      </c>
      <c r="S96" s="29">
        <f t="shared" si="24"/>
        <v>0</v>
      </c>
      <c r="T96" s="29">
        <f t="shared" si="24"/>
        <v>0</v>
      </c>
      <c r="U96" s="29">
        <f t="shared" si="24"/>
        <v>0</v>
      </c>
      <c r="V96" s="29">
        <f t="shared" si="24"/>
        <v>0</v>
      </c>
      <c r="W96" s="29">
        <f t="shared" si="24"/>
        <v>0</v>
      </c>
      <c r="X96" s="29">
        <f t="shared" si="24"/>
        <v>0</v>
      </c>
      <c r="Y96" s="29">
        <f t="shared" si="25"/>
        <v>0</v>
      </c>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row>
    <row r="97" spans="3:80">
      <c r="C97" s="7" t="s">
        <v>95</v>
      </c>
      <c r="E97" s="29">
        <f t="shared" si="24"/>
        <v>0</v>
      </c>
      <c r="F97" s="29">
        <f t="shared" si="24"/>
        <v>0</v>
      </c>
      <c r="G97" s="29">
        <f t="shared" si="24"/>
        <v>0</v>
      </c>
      <c r="H97" s="29">
        <f t="shared" si="24"/>
        <v>0</v>
      </c>
      <c r="I97" s="29">
        <f t="shared" si="24"/>
        <v>0</v>
      </c>
      <c r="J97" s="29">
        <f t="shared" si="24"/>
        <v>0</v>
      </c>
      <c r="K97" s="29">
        <f t="shared" si="24"/>
        <v>0</v>
      </c>
      <c r="L97" s="29">
        <f t="shared" si="24"/>
        <v>0</v>
      </c>
      <c r="M97" s="29">
        <f t="shared" si="24"/>
        <v>0</v>
      </c>
      <c r="N97" s="29">
        <f t="shared" si="24"/>
        <v>0</v>
      </c>
      <c r="O97" s="29">
        <f t="shared" si="24"/>
        <v>0</v>
      </c>
      <c r="P97" s="29">
        <f t="shared" si="24"/>
        <v>0</v>
      </c>
      <c r="Q97" s="29">
        <f t="shared" si="24"/>
        <v>0</v>
      </c>
      <c r="R97" s="29">
        <f t="shared" si="24"/>
        <v>0</v>
      </c>
      <c r="S97" s="29">
        <f t="shared" si="24"/>
        <v>0</v>
      </c>
      <c r="T97" s="29">
        <f t="shared" si="24"/>
        <v>0</v>
      </c>
      <c r="U97" s="29">
        <f t="shared" si="24"/>
        <v>0</v>
      </c>
      <c r="V97" s="29">
        <f t="shared" si="24"/>
        <v>0</v>
      </c>
      <c r="W97" s="29">
        <f t="shared" si="24"/>
        <v>0</v>
      </c>
      <c r="X97" s="29">
        <f t="shared" si="24"/>
        <v>0</v>
      </c>
      <c r="Y97" s="29">
        <f t="shared" si="25"/>
        <v>0</v>
      </c>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row>
    <row r="98" spans="3:80">
      <c r="C98" s="7" t="s">
        <v>98</v>
      </c>
      <c r="E98" s="29">
        <f t="shared" si="24"/>
        <v>0</v>
      </c>
      <c r="F98" s="29">
        <f t="shared" si="24"/>
        <v>0</v>
      </c>
      <c r="G98" s="29">
        <f t="shared" si="24"/>
        <v>0</v>
      </c>
      <c r="H98" s="29">
        <f t="shared" si="24"/>
        <v>0</v>
      </c>
      <c r="I98" s="29">
        <f t="shared" si="24"/>
        <v>0</v>
      </c>
      <c r="J98" s="29">
        <f t="shared" si="24"/>
        <v>0</v>
      </c>
      <c r="K98" s="29">
        <f t="shared" si="24"/>
        <v>0</v>
      </c>
      <c r="L98" s="29">
        <f t="shared" si="24"/>
        <v>0</v>
      </c>
      <c r="M98" s="29">
        <f t="shared" si="24"/>
        <v>0</v>
      </c>
      <c r="N98" s="29">
        <f t="shared" si="24"/>
        <v>0</v>
      </c>
      <c r="O98" s="29">
        <f t="shared" si="24"/>
        <v>0</v>
      </c>
      <c r="P98" s="29">
        <f t="shared" si="24"/>
        <v>0</v>
      </c>
      <c r="Q98" s="29">
        <f t="shared" si="24"/>
        <v>0</v>
      </c>
      <c r="R98" s="29">
        <f t="shared" si="24"/>
        <v>0</v>
      </c>
      <c r="S98" s="29">
        <f t="shared" si="24"/>
        <v>0</v>
      </c>
      <c r="T98" s="29">
        <f t="shared" si="24"/>
        <v>0</v>
      </c>
      <c r="U98" s="29">
        <f t="shared" si="24"/>
        <v>0</v>
      </c>
      <c r="V98" s="29">
        <f t="shared" si="24"/>
        <v>0</v>
      </c>
      <c r="W98" s="29">
        <f t="shared" si="24"/>
        <v>0</v>
      </c>
      <c r="X98" s="29">
        <f t="shared" si="24"/>
        <v>0</v>
      </c>
      <c r="Y98" s="29">
        <f t="shared" si="25"/>
        <v>0</v>
      </c>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row>
    <row r="99" spans="3:80">
      <c r="C99" s="7" t="s">
        <v>101</v>
      </c>
      <c r="E99" s="29">
        <f t="shared" si="24"/>
        <v>0</v>
      </c>
      <c r="F99" s="29">
        <f t="shared" si="24"/>
        <v>0</v>
      </c>
      <c r="G99" s="29">
        <f t="shared" si="24"/>
        <v>0</v>
      </c>
      <c r="H99" s="29">
        <f t="shared" si="24"/>
        <v>0</v>
      </c>
      <c r="I99" s="29">
        <f t="shared" si="24"/>
        <v>0</v>
      </c>
      <c r="J99" s="29">
        <f t="shared" si="24"/>
        <v>0</v>
      </c>
      <c r="K99" s="29">
        <f t="shared" si="24"/>
        <v>0</v>
      </c>
      <c r="L99" s="29">
        <f t="shared" si="24"/>
        <v>0</v>
      </c>
      <c r="M99" s="29">
        <f t="shared" si="24"/>
        <v>0</v>
      </c>
      <c r="N99" s="29">
        <f t="shared" si="24"/>
        <v>0</v>
      </c>
      <c r="O99" s="29">
        <f t="shared" si="24"/>
        <v>0</v>
      </c>
      <c r="P99" s="29">
        <f t="shared" si="24"/>
        <v>0</v>
      </c>
      <c r="Q99" s="29">
        <f t="shared" si="24"/>
        <v>0</v>
      </c>
      <c r="R99" s="29">
        <f t="shared" si="24"/>
        <v>0</v>
      </c>
      <c r="S99" s="29">
        <f t="shared" si="24"/>
        <v>0</v>
      </c>
      <c r="T99" s="29">
        <f t="shared" si="24"/>
        <v>0</v>
      </c>
      <c r="U99" s="29">
        <f t="shared" si="24"/>
        <v>0</v>
      </c>
      <c r="V99" s="29">
        <f t="shared" si="24"/>
        <v>0</v>
      </c>
      <c r="W99" s="29">
        <f t="shared" si="24"/>
        <v>0</v>
      </c>
      <c r="X99" s="29">
        <f t="shared" si="24"/>
        <v>0</v>
      </c>
      <c r="Y99" s="29">
        <f t="shared" si="25"/>
        <v>0</v>
      </c>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row>
    <row r="100" spans="3:80">
      <c r="C100" s="7" t="s">
        <v>104</v>
      </c>
      <c r="E100" s="29">
        <f t="shared" si="24"/>
        <v>0</v>
      </c>
      <c r="F100" s="29">
        <f t="shared" si="24"/>
        <v>0</v>
      </c>
      <c r="G100" s="29">
        <f t="shared" si="24"/>
        <v>0</v>
      </c>
      <c r="H100" s="29">
        <f t="shared" si="24"/>
        <v>0</v>
      </c>
      <c r="I100" s="29">
        <f t="shared" si="24"/>
        <v>0</v>
      </c>
      <c r="J100" s="29">
        <f t="shared" si="24"/>
        <v>0</v>
      </c>
      <c r="K100" s="29">
        <f t="shared" si="24"/>
        <v>0</v>
      </c>
      <c r="L100" s="29">
        <f t="shared" si="24"/>
        <v>0</v>
      </c>
      <c r="M100" s="29">
        <f t="shared" si="24"/>
        <v>0</v>
      </c>
      <c r="N100" s="29">
        <f t="shared" si="24"/>
        <v>0</v>
      </c>
      <c r="O100" s="29">
        <f t="shared" si="24"/>
        <v>0</v>
      </c>
      <c r="P100" s="29">
        <f t="shared" si="24"/>
        <v>0</v>
      </c>
      <c r="Q100" s="29">
        <f t="shared" si="24"/>
        <v>0</v>
      </c>
      <c r="R100" s="29">
        <f t="shared" si="24"/>
        <v>0</v>
      </c>
      <c r="S100" s="29">
        <f t="shared" si="24"/>
        <v>0</v>
      </c>
      <c r="T100" s="29">
        <f t="shared" si="24"/>
        <v>0</v>
      </c>
      <c r="U100" s="29">
        <f t="shared" si="24"/>
        <v>0</v>
      </c>
      <c r="V100" s="29">
        <f t="shared" si="24"/>
        <v>0</v>
      </c>
      <c r="W100" s="29">
        <f t="shared" si="24"/>
        <v>0</v>
      </c>
      <c r="X100" s="29">
        <f t="shared" si="24"/>
        <v>0</v>
      </c>
      <c r="Y100" s="29">
        <f t="shared" si="25"/>
        <v>0</v>
      </c>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row>
    <row r="101" spans="3:80">
      <c r="C101" s="7" t="s">
        <v>107</v>
      </c>
      <c r="E101" s="29">
        <f t="shared" si="24"/>
        <v>0</v>
      </c>
      <c r="F101" s="29">
        <f t="shared" si="24"/>
        <v>0</v>
      </c>
      <c r="G101" s="29">
        <f t="shared" si="24"/>
        <v>0</v>
      </c>
      <c r="H101" s="29">
        <f t="shared" si="24"/>
        <v>0</v>
      </c>
      <c r="I101" s="29">
        <f t="shared" si="24"/>
        <v>0</v>
      </c>
      <c r="J101" s="29">
        <f t="shared" si="24"/>
        <v>0</v>
      </c>
      <c r="K101" s="29">
        <f t="shared" si="24"/>
        <v>0</v>
      </c>
      <c r="L101" s="29">
        <f t="shared" si="24"/>
        <v>0</v>
      </c>
      <c r="M101" s="29">
        <f t="shared" si="24"/>
        <v>0</v>
      </c>
      <c r="N101" s="29">
        <f t="shared" si="24"/>
        <v>0</v>
      </c>
      <c r="O101" s="29">
        <f t="shared" si="24"/>
        <v>0</v>
      </c>
      <c r="P101" s="29">
        <f t="shared" si="24"/>
        <v>0</v>
      </c>
      <c r="Q101" s="29">
        <f t="shared" si="24"/>
        <v>0</v>
      </c>
      <c r="R101" s="29">
        <f t="shared" si="24"/>
        <v>0</v>
      </c>
      <c r="S101" s="29">
        <f t="shared" si="24"/>
        <v>0</v>
      </c>
      <c r="T101" s="29">
        <f t="shared" ref="T101:X101" si="26">T64-T63</f>
        <v>0</v>
      </c>
      <c r="U101" s="29">
        <f t="shared" si="26"/>
        <v>0</v>
      </c>
      <c r="V101" s="29">
        <f t="shared" si="26"/>
        <v>0</v>
      </c>
      <c r="W101" s="29">
        <f t="shared" si="26"/>
        <v>0</v>
      </c>
      <c r="X101" s="29">
        <f t="shared" si="26"/>
        <v>0</v>
      </c>
      <c r="Y101" s="29">
        <f t="shared" si="25"/>
        <v>0</v>
      </c>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row>
    <row r="102" spans="3:80">
      <c r="C102" s="7" t="s">
        <v>110</v>
      </c>
      <c r="E102" s="29">
        <f t="shared" ref="E102:X115" si="27">E65-E64</f>
        <v>0</v>
      </c>
      <c r="F102" s="29">
        <f t="shared" si="27"/>
        <v>0</v>
      </c>
      <c r="G102" s="29">
        <f t="shared" si="27"/>
        <v>0</v>
      </c>
      <c r="H102" s="29">
        <f t="shared" si="27"/>
        <v>0</v>
      </c>
      <c r="I102" s="29">
        <f t="shared" si="27"/>
        <v>0</v>
      </c>
      <c r="J102" s="29">
        <f t="shared" si="27"/>
        <v>0</v>
      </c>
      <c r="K102" s="29">
        <f t="shared" si="27"/>
        <v>0</v>
      </c>
      <c r="L102" s="29">
        <f t="shared" si="27"/>
        <v>0</v>
      </c>
      <c r="M102" s="29">
        <f t="shared" si="27"/>
        <v>0</v>
      </c>
      <c r="N102" s="29">
        <f t="shared" si="27"/>
        <v>0</v>
      </c>
      <c r="O102" s="29">
        <f t="shared" si="27"/>
        <v>0</v>
      </c>
      <c r="P102" s="29">
        <f t="shared" si="27"/>
        <v>0</v>
      </c>
      <c r="Q102" s="29">
        <f t="shared" si="27"/>
        <v>0</v>
      </c>
      <c r="R102" s="29">
        <f t="shared" si="27"/>
        <v>0</v>
      </c>
      <c r="S102" s="29">
        <f t="shared" si="27"/>
        <v>0</v>
      </c>
      <c r="T102" s="29">
        <f t="shared" si="27"/>
        <v>0</v>
      </c>
      <c r="U102" s="29">
        <f t="shared" si="27"/>
        <v>0</v>
      </c>
      <c r="V102" s="29">
        <f t="shared" si="27"/>
        <v>0</v>
      </c>
      <c r="W102" s="29">
        <f t="shared" si="27"/>
        <v>0</v>
      </c>
      <c r="X102" s="29">
        <f t="shared" si="27"/>
        <v>0</v>
      </c>
      <c r="Y102" s="29">
        <f t="shared" si="25"/>
        <v>0</v>
      </c>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row>
    <row r="103" spans="3:80">
      <c r="C103" s="7" t="s">
        <v>113</v>
      </c>
      <c r="E103" s="29">
        <f t="shared" si="27"/>
        <v>0</v>
      </c>
      <c r="F103" s="29">
        <f t="shared" si="27"/>
        <v>0</v>
      </c>
      <c r="G103" s="29">
        <f t="shared" si="27"/>
        <v>0</v>
      </c>
      <c r="H103" s="29">
        <f t="shared" si="27"/>
        <v>0</v>
      </c>
      <c r="I103" s="29">
        <f t="shared" si="27"/>
        <v>0</v>
      </c>
      <c r="J103" s="29">
        <f t="shared" si="27"/>
        <v>0</v>
      </c>
      <c r="K103" s="29">
        <f t="shared" si="27"/>
        <v>0</v>
      </c>
      <c r="L103" s="29">
        <f t="shared" si="27"/>
        <v>0</v>
      </c>
      <c r="M103" s="29">
        <f t="shared" si="27"/>
        <v>0</v>
      </c>
      <c r="N103" s="29">
        <f t="shared" si="27"/>
        <v>0</v>
      </c>
      <c r="O103" s="29">
        <f t="shared" si="27"/>
        <v>0</v>
      </c>
      <c r="P103" s="29">
        <f t="shared" si="27"/>
        <v>0</v>
      </c>
      <c r="Q103" s="29">
        <f t="shared" si="27"/>
        <v>0</v>
      </c>
      <c r="R103" s="29">
        <f t="shared" si="27"/>
        <v>0</v>
      </c>
      <c r="S103" s="29">
        <f t="shared" si="27"/>
        <v>0</v>
      </c>
      <c r="T103" s="29">
        <f t="shared" si="27"/>
        <v>0</v>
      </c>
      <c r="U103" s="29">
        <f t="shared" si="27"/>
        <v>0</v>
      </c>
      <c r="V103" s="29">
        <f t="shared" si="27"/>
        <v>0</v>
      </c>
      <c r="W103" s="29">
        <f t="shared" si="27"/>
        <v>0</v>
      </c>
      <c r="X103" s="29">
        <f t="shared" si="27"/>
        <v>0</v>
      </c>
      <c r="Y103" s="29">
        <f t="shared" si="25"/>
        <v>0</v>
      </c>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row>
    <row r="104" spans="3:80">
      <c r="C104" s="7" t="s">
        <v>116</v>
      </c>
      <c r="E104" s="29">
        <f t="shared" si="27"/>
        <v>0</v>
      </c>
      <c r="F104" s="29">
        <f t="shared" si="27"/>
        <v>0</v>
      </c>
      <c r="G104" s="29">
        <f t="shared" si="27"/>
        <v>0</v>
      </c>
      <c r="H104" s="29">
        <f t="shared" si="27"/>
        <v>0</v>
      </c>
      <c r="I104" s="29">
        <f t="shared" si="27"/>
        <v>0</v>
      </c>
      <c r="J104" s="29">
        <f t="shared" si="27"/>
        <v>0</v>
      </c>
      <c r="K104" s="29">
        <f t="shared" si="27"/>
        <v>0</v>
      </c>
      <c r="L104" s="29">
        <f t="shared" si="27"/>
        <v>0</v>
      </c>
      <c r="M104" s="29">
        <f t="shared" si="27"/>
        <v>0</v>
      </c>
      <c r="N104" s="29">
        <f t="shared" si="27"/>
        <v>0</v>
      </c>
      <c r="O104" s="29">
        <f t="shared" si="27"/>
        <v>0</v>
      </c>
      <c r="P104" s="29">
        <f t="shared" si="27"/>
        <v>0</v>
      </c>
      <c r="Q104" s="29">
        <f t="shared" si="27"/>
        <v>0</v>
      </c>
      <c r="R104" s="29">
        <f t="shared" si="27"/>
        <v>0</v>
      </c>
      <c r="S104" s="29">
        <f t="shared" si="27"/>
        <v>0</v>
      </c>
      <c r="T104" s="29">
        <f t="shared" si="27"/>
        <v>0</v>
      </c>
      <c r="U104" s="29">
        <f t="shared" si="27"/>
        <v>0</v>
      </c>
      <c r="V104" s="29">
        <f t="shared" si="27"/>
        <v>0</v>
      </c>
      <c r="W104" s="29">
        <f t="shared" si="27"/>
        <v>0</v>
      </c>
      <c r="X104" s="29">
        <f t="shared" si="27"/>
        <v>0</v>
      </c>
      <c r="Y104" s="29">
        <f t="shared" si="25"/>
        <v>0</v>
      </c>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row>
    <row r="105" spans="3:80">
      <c r="C105" s="7" t="s">
        <v>119</v>
      </c>
      <c r="E105" s="29">
        <f t="shared" si="27"/>
        <v>0</v>
      </c>
      <c r="F105" s="29">
        <f t="shared" si="27"/>
        <v>0</v>
      </c>
      <c r="G105" s="29">
        <f t="shared" si="27"/>
        <v>0</v>
      </c>
      <c r="H105" s="29">
        <f t="shared" si="27"/>
        <v>0</v>
      </c>
      <c r="I105" s="29">
        <f t="shared" si="27"/>
        <v>0</v>
      </c>
      <c r="J105" s="29">
        <f t="shared" si="27"/>
        <v>0</v>
      </c>
      <c r="K105" s="29">
        <f t="shared" si="27"/>
        <v>0</v>
      </c>
      <c r="L105" s="29">
        <f t="shared" si="27"/>
        <v>0</v>
      </c>
      <c r="M105" s="29">
        <f t="shared" si="27"/>
        <v>0</v>
      </c>
      <c r="N105" s="29">
        <f t="shared" si="27"/>
        <v>0</v>
      </c>
      <c r="O105" s="29">
        <f t="shared" si="27"/>
        <v>0</v>
      </c>
      <c r="P105" s="29">
        <f t="shared" si="27"/>
        <v>0</v>
      </c>
      <c r="Q105" s="29">
        <f t="shared" si="27"/>
        <v>0</v>
      </c>
      <c r="R105" s="29">
        <f t="shared" si="27"/>
        <v>0</v>
      </c>
      <c r="S105" s="29">
        <f t="shared" si="27"/>
        <v>0</v>
      </c>
      <c r="T105" s="29">
        <f t="shared" si="27"/>
        <v>0</v>
      </c>
      <c r="U105" s="29">
        <f t="shared" si="27"/>
        <v>0</v>
      </c>
      <c r="V105" s="29">
        <f t="shared" si="27"/>
        <v>0</v>
      </c>
      <c r="W105" s="29">
        <f t="shared" si="27"/>
        <v>0</v>
      </c>
      <c r="X105" s="29">
        <f t="shared" si="27"/>
        <v>0</v>
      </c>
      <c r="Y105" s="29">
        <f t="shared" si="25"/>
        <v>0</v>
      </c>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row>
    <row r="106" spans="3:80">
      <c r="C106" s="7" t="s">
        <v>122</v>
      </c>
      <c r="E106" s="29">
        <f t="shared" si="27"/>
        <v>0</v>
      </c>
      <c r="F106" s="29">
        <f t="shared" si="27"/>
        <v>0</v>
      </c>
      <c r="G106" s="29">
        <f t="shared" si="27"/>
        <v>0</v>
      </c>
      <c r="H106" s="29">
        <f t="shared" si="27"/>
        <v>0</v>
      </c>
      <c r="I106" s="29">
        <f t="shared" si="27"/>
        <v>0</v>
      </c>
      <c r="J106" s="29">
        <f t="shared" si="27"/>
        <v>0</v>
      </c>
      <c r="K106" s="29">
        <f t="shared" si="27"/>
        <v>0</v>
      </c>
      <c r="L106" s="29">
        <f t="shared" si="27"/>
        <v>0</v>
      </c>
      <c r="M106" s="29">
        <f t="shared" si="27"/>
        <v>0</v>
      </c>
      <c r="N106" s="29">
        <f t="shared" si="27"/>
        <v>0</v>
      </c>
      <c r="O106" s="29">
        <f t="shared" si="27"/>
        <v>0</v>
      </c>
      <c r="P106" s="29">
        <f t="shared" si="27"/>
        <v>0</v>
      </c>
      <c r="Q106" s="29">
        <f t="shared" si="27"/>
        <v>0</v>
      </c>
      <c r="R106" s="29">
        <f t="shared" si="27"/>
        <v>0</v>
      </c>
      <c r="S106" s="29">
        <f t="shared" si="27"/>
        <v>0</v>
      </c>
      <c r="T106" s="29">
        <f t="shared" si="27"/>
        <v>0</v>
      </c>
      <c r="U106" s="29">
        <f t="shared" si="27"/>
        <v>0</v>
      </c>
      <c r="V106" s="29">
        <f t="shared" si="27"/>
        <v>0</v>
      </c>
      <c r="W106" s="29">
        <f t="shared" si="27"/>
        <v>0</v>
      </c>
      <c r="X106" s="29">
        <f t="shared" si="27"/>
        <v>0</v>
      </c>
      <c r="Y106" s="29">
        <f t="shared" si="25"/>
        <v>0</v>
      </c>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row>
    <row r="107" spans="3:80">
      <c r="C107" s="7" t="s">
        <v>125</v>
      </c>
      <c r="E107" s="29">
        <f t="shared" si="27"/>
        <v>0</v>
      </c>
      <c r="F107" s="29">
        <f t="shared" si="27"/>
        <v>0</v>
      </c>
      <c r="G107" s="29">
        <f t="shared" si="27"/>
        <v>0</v>
      </c>
      <c r="H107" s="29">
        <f t="shared" si="27"/>
        <v>0</v>
      </c>
      <c r="I107" s="29">
        <f t="shared" si="27"/>
        <v>0</v>
      </c>
      <c r="J107" s="29">
        <f t="shared" si="27"/>
        <v>0</v>
      </c>
      <c r="K107" s="29">
        <f t="shared" si="27"/>
        <v>0</v>
      </c>
      <c r="L107" s="29">
        <f t="shared" si="27"/>
        <v>0</v>
      </c>
      <c r="M107" s="29">
        <f t="shared" si="27"/>
        <v>0</v>
      </c>
      <c r="N107" s="29">
        <f t="shared" si="27"/>
        <v>0</v>
      </c>
      <c r="O107" s="29">
        <f t="shared" si="27"/>
        <v>0</v>
      </c>
      <c r="P107" s="29">
        <f t="shared" si="27"/>
        <v>0</v>
      </c>
      <c r="Q107" s="29">
        <f t="shared" si="27"/>
        <v>0</v>
      </c>
      <c r="R107" s="29">
        <f t="shared" si="27"/>
        <v>0</v>
      </c>
      <c r="S107" s="29">
        <f t="shared" si="27"/>
        <v>0</v>
      </c>
      <c r="T107" s="29">
        <f t="shared" si="27"/>
        <v>0</v>
      </c>
      <c r="U107" s="29">
        <f t="shared" si="27"/>
        <v>0</v>
      </c>
      <c r="V107" s="29">
        <f t="shared" si="27"/>
        <v>0</v>
      </c>
      <c r="W107" s="29">
        <f t="shared" si="27"/>
        <v>0</v>
      </c>
      <c r="X107" s="29">
        <f t="shared" si="27"/>
        <v>0</v>
      </c>
      <c r="Y107" s="29">
        <f t="shared" si="25"/>
        <v>0</v>
      </c>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row>
    <row r="108" spans="3:80">
      <c r="C108" s="7" t="s">
        <v>128</v>
      </c>
      <c r="E108" s="29">
        <f>E71-E70</f>
        <v>0</v>
      </c>
      <c r="F108" s="29">
        <f t="shared" si="27"/>
        <v>0</v>
      </c>
      <c r="G108" s="29">
        <f t="shared" si="27"/>
        <v>0</v>
      </c>
      <c r="H108" s="29">
        <f t="shared" si="27"/>
        <v>0</v>
      </c>
      <c r="I108" s="29">
        <f t="shared" si="27"/>
        <v>0</v>
      </c>
      <c r="J108" s="29">
        <f t="shared" si="27"/>
        <v>0</v>
      </c>
      <c r="K108" s="29">
        <f t="shared" si="27"/>
        <v>0</v>
      </c>
      <c r="L108" s="29">
        <f t="shared" si="27"/>
        <v>0</v>
      </c>
      <c r="M108" s="29">
        <f t="shared" si="27"/>
        <v>0</v>
      </c>
      <c r="N108" s="29">
        <f t="shared" si="27"/>
        <v>0</v>
      </c>
      <c r="O108" s="29">
        <f t="shared" si="27"/>
        <v>0</v>
      </c>
      <c r="P108" s="29">
        <f t="shared" si="27"/>
        <v>0</v>
      </c>
      <c r="Q108" s="29">
        <f t="shared" si="27"/>
        <v>0</v>
      </c>
      <c r="R108" s="29">
        <f t="shared" si="27"/>
        <v>0</v>
      </c>
      <c r="S108" s="29">
        <f t="shared" si="27"/>
        <v>0</v>
      </c>
      <c r="T108" s="29">
        <f t="shared" si="27"/>
        <v>0</v>
      </c>
      <c r="U108" s="29">
        <f t="shared" si="27"/>
        <v>0</v>
      </c>
      <c r="V108" s="29">
        <f t="shared" si="27"/>
        <v>0</v>
      </c>
      <c r="W108" s="29">
        <f t="shared" si="27"/>
        <v>0</v>
      </c>
      <c r="X108" s="29">
        <f t="shared" si="27"/>
        <v>0</v>
      </c>
      <c r="Y108" s="29">
        <f t="shared" si="25"/>
        <v>0</v>
      </c>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row>
    <row r="109" spans="3:80">
      <c r="C109" s="7" t="s">
        <v>372</v>
      </c>
      <c r="E109" s="29">
        <f t="shared" ref="E109:T119" si="28">E72-E71</f>
        <v>0</v>
      </c>
      <c r="F109" s="29">
        <f t="shared" si="28"/>
        <v>0</v>
      </c>
      <c r="G109" s="29">
        <f t="shared" si="28"/>
        <v>0</v>
      </c>
      <c r="H109" s="29">
        <f t="shared" si="28"/>
        <v>0</v>
      </c>
      <c r="I109" s="29">
        <f t="shared" si="28"/>
        <v>0</v>
      </c>
      <c r="J109" s="29">
        <f t="shared" si="28"/>
        <v>0</v>
      </c>
      <c r="K109" s="29">
        <f t="shared" si="28"/>
        <v>0</v>
      </c>
      <c r="L109" s="29">
        <f t="shared" si="28"/>
        <v>0</v>
      </c>
      <c r="M109" s="29">
        <f t="shared" si="28"/>
        <v>0</v>
      </c>
      <c r="N109" s="29">
        <f t="shared" si="28"/>
        <v>0</v>
      </c>
      <c r="O109" s="29">
        <f t="shared" si="28"/>
        <v>0</v>
      </c>
      <c r="P109" s="29">
        <f t="shared" si="28"/>
        <v>0</v>
      </c>
      <c r="Q109" s="29">
        <f t="shared" si="28"/>
        <v>0</v>
      </c>
      <c r="R109" s="29">
        <f t="shared" si="28"/>
        <v>0</v>
      </c>
      <c r="S109" s="29">
        <f t="shared" si="28"/>
        <v>0</v>
      </c>
      <c r="T109" s="29">
        <f t="shared" si="28"/>
        <v>0</v>
      </c>
      <c r="U109" s="29">
        <f t="shared" si="27"/>
        <v>0</v>
      </c>
      <c r="V109" s="29">
        <f t="shared" si="27"/>
        <v>0</v>
      </c>
      <c r="W109" s="29">
        <f t="shared" si="27"/>
        <v>0</v>
      </c>
      <c r="X109" s="29">
        <f t="shared" si="27"/>
        <v>0</v>
      </c>
      <c r="Y109" s="29">
        <f t="shared" si="25"/>
        <v>0</v>
      </c>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row>
    <row r="110" spans="3:80">
      <c r="C110" s="7" t="s">
        <v>373</v>
      </c>
      <c r="E110" s="29">
        <f t="shared" si="28"/>
        <v>0</v>
      </c>
      <c r="F110" s="29">
        <f t="shared" si="27"/>
        <v>0</v>
      </c>
      <c r="G110" s="29">
        <f t="shared" si="27"/>
        <v>0</v>
      </c>
      <c r="H110" s="29">
        <f t="shared" si="27"/>
        <v>0</v>
      </c>
      <c r="I110" s="29">
        <f t="shared" si="27"/>
        <v>0</v>
      </c>
      <c r="J110" s="29">
        <f t="shared" si="27"/>
        <v>0</v>
      </c>
      <c r="K110" s="29">
        <f t="shared" si="27"/>
        <v>0</v>
      </c>
      <c r="L110" s="29">
        <f t="shared" si="27"/>
        <v>0</v>
      </c>
      <c r="M110" s="29">
        <f t="shared" si="27"/>
        <v>0</v>
      </c>
      <c r="N110" s="29">
        <f t="shared" si="27"/>
        <v>0</v>
      </c>
      <c r="O110" s="29">
        <f t="shared" si="27"/>
        <v>0</v>
      </c>
      <c r="P110" s="29">
        <f t="shared" si="27"/>
        <v>0</v>
      </c>
      <c r="Q110" s="29">
        <f t="shared" si="27"/>
        <v>0</v>
      </c>
      <c r="R110" s="29">
        <f t="shared" si="27"/>
        <v>0</v>
      </c>
      <c r="S110" s="29">
        <f t="shared" si="27"/>
        <v>0</v>
      </c>
      <c r="T110" s="29">
        <f t="shared" si="27"/>
        <v>0</v>
      </c>
      <c r="U110" s="29">
        <f t="shared" si="27"/>
        <v>0</v>
      </c>
      <c r="V110" s="29">
        <f t="shared" si="27"/>
        <v>0</v>
      </c>
      <c r="W110" s="29">
        <f t="shared" si="27"/>
        <v>0</v>
      </c>
      <c r="X110" s="29">
        <f t="shared" si="27"/>
        <v>0</v>
      </c>
      <c r="Y110" s="29">
        <f t="shared" si="25"/>
        <v>0</v>
      </c>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row>
    <row r="111" spans="3:80">
      <c r="C111" s="7" t="s">
        <v>374</v>
      </c>
      <c r="E111" s="29">
        <f t="shared" si="28"/>
        <v>0</v>
      </c>
      <c r="F111" s="29">
        <f t="shared" si="27"/>
        <v>0</v>
      </c>
      <c r="G111" s="29">
        <f t="shared" si="27"/>
        <v>0</v>
      </c>
      <c r="H111" s="29">
        <f t="shared" si="27"/>
        <v>0</v>
      </c>
      <c r="I111" s="29">
        <f t="shared" si="27"/>
        <v>0</v>
      </c>
      <c r="J111" s="29">
        <f t="shared" si="27"/>
        <v>0</v>
      </c>
      <c r="K111" s="29">
        <f t="shared" si="27"/>
        <v>0</v>
      </c>
      <c r="L111" s="29">
        <f t="shared" si="27"/>
        <v>0</v>
      </c>
      <c r="M111" s="29">
        <f t="shared" si="27"/>
        <v>0</v>
      </c>
      <c r="N111" s="29">
        <f t="shared" si="27"/>
        <v>0</v>
      </c>
      <c r="O111" s="29">
        <f t="shared" si="27"/>
        <v>0</v>
      </c>
      <c r="P111" s="29">
        <f t="shared" si="27"/>
        <v>0</v>
      </c>
      <c r="Q111" s="29">
        <f t="shared" si="27"/>
        <v>0</v>
      </c>
      <c r="R111" s="29">
        <f t="shared" si="27"/>
        <v>0</v>
      </c>
      <c r="S111" s="29">
        <f t="shared" si="27"/>
        <v>0</v>
      </c>
      <c r="T111" s="29">
        <f t="shared" si="27"/>
        <v>0</v>
      </c>
      <c r="U111" s="29">
        <f t="shared" si="27"/>
        <v>0</v>
      </c>
      <c r="V111" s="29">
        <f t="shared" si="27"/>
        <v>0</v>
      </c>
      <c r="W111" s="29">
        <f t="shared" si="27"/>
        <v>0</v>
      </c>
      <c r="X111" s="29">
        <f t="shared" si="27"/>
        <v>0</v>
      </c>
      <c r="Y111" s="29">
        <f t="shared" si="25"/>
        <v>0</v>
      </c>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row>
    <row r="112" spans="3:80">
      <c r="C112" s="7" t="s">
        <v>375</v>
      </c>
      <c r="E112" s="29">
        <f t="shared" si="28"/>
        <v>0</v>
      </c>
      <c r="F112" s="29">
        <f t="shared" si="27"/>
        <v>0</v>
      </c>
      <c r="G112" s="29">
        <f t="shared" si="27"/>
        <v>0</v>
      </c>
      <c r="H112" s="29">
        <f t="shared" si="27"/>
        <v>0</v>
      </c>
      <c r="I112" s="29">
        <f t="shared" si="27"/>
        <v>0</v>
      </c>
      <c r="J112" s="29">
        <f t="shared" si="27"/>
        <v>0</v>
      </c>
      <c r="K112" s="29">
        <f t="shared" si="27"/>
        <v>0</v>
      </c>
      <c r="L112" s="29">
        <f t="shared" si="27"/>
        <v>0</v>
      </c>
      <c r="M112" s="29">
        <f t="shared" si="27"/>
        <v>0</v>
      </c>
      <c r="N112" s="29">
        <f t="shared" si="27"/>
        <v>0</v>
      </c>
      <c r="O112" s="29">
        <f t="shared" si="27"/>
        <v>0</v>
      </c>
      <c r="P112" s="29">
        <f t="shared" si="27"/>
        <v>0</v>
      </c>
      <c r="Q112" s="29">
        <f t="shared" si="27"/>
        <v>0</v>
      </c>
      <c r="R112" s="29">
        <f t="shared" si="27"/>
        <v>0</v>
      </c>
      <c r="S112" s="29">
        <f t="shared" si="27"/>
        <v>0</v>
      </c>
      <c r="T112" s="29">
        <f t="shared" si="27"/>
        <v>0</v>
      </c>
      <c r="U112" s="29">
        <f t="shared" si="27"/>
        <v>0</v>
      </c>
      <c r="V112" s="29">
        <f t="shared" si="27"/>
        <v>0</v>
      </c>
      <c r="W112" s="29">
        <f t="shared" si="27"/>
        <v>0</v>
      </c>
      <c r="X112" s="29">
        <f t="shared" si="27"/>
        <v>0</v>
      </c>
      <c r="Y112" s="29">
        <f t="shared" si="25"/>
        <v>0</v>
      </c>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row>
    <row r="113" spans="1:80">
      <c r="C113" s="7" t="s">
        <v>376</v>
      </c>
      <c r="E113" s="29">
        <f t="shared" si="28"/>
        <v>0</v>
      </c>
      <c r="F113" s="29">
        <f t="shared" si="27"/>
        <v>0</v>
      </c>
      <c r="G113" s="29">
        <f t="shared" si="27"/>
        <v>0</v>
      </c>
      <c r="H113" s="29">
        <f t="shared" si="27"/>
        <v>0</v>
      </c>
      <c r="I113" s="29">
        <f t="shared" si="27"/>
        <v>0</v>
      </c>
      <c r="J113" s="29">
        <f t="shared" si="27"/>
        <v>0</v>
      </c>
      <c r="K113" s="29">
        <f t="shared" si="27"/>
        <v>0</v>
      </c>
      <c r="L113" s="29">
        <f t="shared" si="27"/>
        <v>0</v>
      </c>
      <c r="M113" s="29">
        <f t="shared" si="27"/>
        <v>0</v>
      </c>
      <c r="N113" s="29">
        <f t="shared" si="27"/>
        <v>0</v>
      </c>
      <c r="O113" s="29">
        <f t="shared" si="27"/>
        <v>0</v>
      </c>
      <c r="P113" s="29">
        <f t="shared" si="27"/>
        <v>0</v>
      </c>
      <c r="Q113" s="29">
        <f t="shared" si="27"/>
        <v>0</v>
      </c>
      <c r="R113" s="29">
        <f t="shared" si="27"/>
        <v>0</v>
      </c>
      <c r="S113" s="29">
        <f t="shared" si="27"/>
        <v>0</v>
      </c>
      <c r="T113" s="29">
        <f t="shared" si="27"/>
        <v>0</v>
      </c>
      <c r="U113" s="29">
        <f t="shared" si="27"/>
        <v>0</v>
      </c>
      <c r="V113" s="29">
        <f t="shared" si="27"/>
        <v>0</v>
      </c>
      <c r="W113" s="29">
        <f t="shared" si="27"/>
        <v>0</v>
      </c>
      <c r="X113" s="29">
        <f t="shared" si="27"/>
        <v>0</v>
      </c>
      <c r="Y113" s="29">
        <f t="shared" si="25"/>
        <v>0</v>
      </c>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row>
    <row r="114" spans="1:80">
      <c r="C114" s="7" t="s">
        <v>377</v>
      </c>
      <c r="E114" s="29">
        <f t="shared" si="28"/>
        <v>0</v>
      </c>
      <c r="F114" s="29">
        <f t="shared" si="27"/>
        <v>0</v>
      </c>
      <c r="G114" s="29">
        <f t="shared" si="27"/>
        <v>0</v>
      </c>
      <c r="H114" s="29">
        <f t="shared" si="27"/>
        <v>0</v>
      </c>
      <c r="I114" s="29">
        <f t="shared" si="27"/>
        <v>0</v>
      </c>
      <c r="J114" s="29">
        <f t="shared" si="27"/>
        <v>0</v>
      </c>
      <c r="K114" s="29">
        <f t="shared" si="27"/>
        <v>0</v>
      </c>
      <c r="L114" s="29">
        <f t="shared" si="27"/>
        <v>0</v>
      </c>
      <c r="M114" s="29">
        <f t="shared" si="27"/>
        <v>0</v>
      </c>
      <c r="N114" s="29">
        <f t="shared" si="27"/>
        <v>0</v>
      </c>
      <c r="O114" s="29">
        <f t="shared" si="27"/>
        <v>0</v>
      </c>
      <c r="P114" s="29">
        <f t="shared" si="27"/>
        <v>0</v>
      </c>
      <c r="Q114" s="29">
        <f t="shared" si="27"/>
        <v>0</v>
      </c>
      <c r="R114" s="29">
        <f t="shared" si="27"/>
        <v>0</v>
      </c>
      <c r="S114" s="29">
        <f t="shared" si="27"/>
        <v>0</v>
      </c>
      <c r="T114" s="29">
        <f t="shared" si="27"/>
        <v>0</v>
      </c>
      <c r="U114" s="29">
        <f t="shared" si="27"/>
        <v>0</v>
      </c>
      <c r="V114" s="29">
        <f t="shared" si="27"/>
        <v>0</v>
      </c>
      <c r="W114" s="29">
        <f t="shared" si="27"/>
        <v>0</v>
      </c>
      <c r="X114" s="29">
        <f t="shared" si="27"/>
        <v>0</v>
      </c>
      <c r="Y114" s="29">
        <f t="shared" si="25"/>
        <v>0</v>
      </c>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row>
    <row r="115" spans="1:80">
      <c r="C115" s="7" t="s">
        <v>378</v>
      </c>
      <c r="E115" s="29">
        <f t="shared" si="28"/>
        <v>0</v>
      </c>
      <c r="F115" s="29">
        <f t="shared" si="27"/>
        <v>0</v>
      </c>
      <c r="G115" s="29">
        <f t="shared" si="27"/>
        <v>0</v>
      </c>
      <c r="H115" s="29">
        <f t="shared" si="27"/>
        <v>0</v>
      </c>
      <c r="I115" s="29">
        <f t="shared" si="27"/>
        <v>0</v>
      </c>
      <c r="J115" s="29">
        <f t="shared" si="27"/>
        <v>0</v>
      </c>
      <c r="K115" s="29">
        <f t="shared" si="27"/>
        <v>0</v>
      </c>
      <c r="L115" s="29">
        <f t="shared" si="27"/>
        <v>0</v>
      </c>
      <c r="M115" s="29">
        <f t="shared" si="27"/>
        <v>0</v>
      </c>
      <c r="N115" s="29">
        <f t="shared" si="27"/>
        <v>0</v>
      </c>
      <c r="O115" s="29">
        <f t="shared" si="27"/>
        <v>0</v>
      </c>
      <c r="P115" s="29">
        <f t="shared" si="27"/>
        <v>0</v>
      </c>
      <c r="Q115" s="29">
        <f t="shared" si="27"/>
        <v>0</v>
      </c>
      <c r="R115" s="29">
        <f t="shared" si="27"/>
        <v>0</v>
      </c>
      <c r="S115" s="29">
        <f t="shared" si="27"/>
        <v>0</v>
      </c>
      <c r="T115" s="29">
        <f t="shared" si="27"/>
        <v>0</v>
      </c>
      <c r="U115" s="29">
        <f t="shared" si="27"/>
        <v>0</v>
      </c>
      <c r="V115" s="29">
        <f t="shared" si="27"/>
        <v>0</v>
      </c>
      <c r="W115" s="29">
        <f t="shared" ref="F115:X119" si="29">W78-W77</f>
        <v>0</v>
      </c>
      <c r="X115" s="29">
        <f t="shared" si="29"/>
        <v>0</v>
      </c>
      <c r="Y115" s="29">
        <f t="shared" si="25"/>
        <v>0</v>
      </c>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row>
    <row r="116" spans="1:80">
      <c r="C116" s="7" t="s">
        <v>379</v>
      </c>
      <c r="E116" s="29">
        <f t="shared" si="28"/>
        <v>0</v>
      </c>
      <c r="F116" s="29">
        <f t="shared" si="29"/>
        <v>0</v>
      </c>
      <c r="G116" s="29">
        <f t="shared" si="29"/>
        <v>0</v>
      </c>
      <c r="H116" s="29">
        <f t="shared" si="29"/>
        <v>0</v>
      </c>
      <c r="I116" s="29">
        <f t="shared" si="29"/>
        <v>0</v>
      </c>
      <c r="J116" s="29">
        <f t="shared" si="29"/>
        <v>0</v>
      </c>
      <c r="K116" s="29">
        <f t="shared" si="29"/>
        <v>0</v>
      </c>
      <c r="L116" s="29">
        <f t="shared" si="29"/>
        <v>0</v>
      </c>
      <c r="M116" s="29">
        <f t="shared" si="29"/>
        <v>0</v>
      </c>
      <c r="N116" s="29">
        <f t="shared" si="29"/>
        <v>0</v>
      </c>
      <c r="O116" s="29">
        <f t="shared" si="29"/>
        <v>0</v>
      </c>
      <c r="P116" s="29">
        <f t="shared" si="29"/>
        <v>0</v>
      </c>
      <c r="Q116" s="29">
        <f t="shared" si="29"/>
        <v>0</v>
      </c>
      <c r="R116" s="29">
        <f t="shared" si="29"/>
        <v>0</v>
      </c>
      <c r="S116" s="29">
        <f t="shared" si="29"/>
        <v>0</v>
      </c>
      <c r="T116" s="29">
        <f t="shared" si="29"/>
        <v>0</v>
      </c>
      <c r="U116" s="29">
        <f t="shared" si="29"/>
        <v>0</v>
      </c>
      <c r="V116" s="29">
        <f t="shared" si="29"/>
        <v>0</v>
      </c>
      <c r="W116" s="29">
        <f t="shared" si="29"/>
        <v>0</v>
      </c>
      <c r="X116" s="29">
        <f t="shared" si="29"/>
        <v>0</v>
      </c>
      <c r="Y116" s="29">
        <f t="shared" si="25"/>
        <v>0</v>
      </c>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row>
    <row r="117" spans="1:80">
      <c r="C117" s="7" t="s">
        <v>380</v>
      </c>
      <c r="E117" s="29">
        <f t="shared" si="28"/>
        <v>0</v>
      </c>
      <c r="F117" s="29">
        <f t="shared" si="29"/>
        <v>0</v>
      </c>
      <c r="G117" s="29">
        <f t="shared" si="29"/>
        <v>0</v>
      </c>
      <c r="H117" s="29">
        <f t="shared" si="29"/>
        <v>0</v>
      </c>
      <c r="I117" s="29">
        <f t="shared" si="29"/>
        <v>0</v>
      </c>
      <c r="J117" s="29">
        <f t="shared" si="29"/>
        <v>0</v>
      </c>
      <c r="K117" s="29">
        <f t="shared" si="29"/>
        <v>0</v>
      </c>
      <c r="L117" s="29">
        <f t="shared" si="29"/>
        <v>0</v>
      </c>
      <c r="M117" s="29">
        <f t="shared" si="29"/>
        <v>0</v>
      </c>
      <c r="N117" s="29">
        <f t="shared" si="29"/>
        <v>0</v>
      </c>
      <c r="O117" s="29">
        <f t="shared" si="29"/>
        <v>0</v>
      </c>
      <c r="P117" s="29">
        <f t="shared" si="29"/>
        <v>0</v>
      </c>
      <c r="Q117" s="29">
        <f t="shared" si="29"/>
        <v>0</v>
      </c>
      <c r="R117" s="29">
        <f t="shared" si="29"/>
        <v>0</v>
      </c>
      <c r="S117" s="29">
        <f t="shared" si="29"/>
        <v>0</v>
      </c>
      <c r="T117" s="29">
        <f t="shared" si="29"/>
        <v>0</v>
      </c>
      <c r="U117" s="29">
        <f t="shared" si="29"/>
        <v>0</v>
      </c>
      <c r="V117" s="29">
        <f t="shared" si="29"/>
        <v>0</v>
      </c>
      <c r="W117" s="29">
        <f t="shared" si="29"/>
        <v>0</v>
      </c>
      <c r="X117" s="29">
        <f t="shared" si="29"/>
        <v>0</v>
      </c>
      <c r="Y117" s="29">
        <f t="shared" si="25"/>
        <v>0</v>
      </c>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row>
    <row r="118" spans="1:80">
      <c r="C118" s="7" t="s">
        <v>381</v>
      </c>
      <c r="E118" s="29">
        <f t="shared" si="28"/>
        <v>0</v>
      </c>
      <c r="F118" s="29">
        <f t="shared" si="29"/>
        <v>0</v>
      </c>
      <c r="G118" s="29">
        <f t="shared" si="29"/>
        <v>0</v>
      </c>
      <c r="H118" s="29">
        <f t="shared" si="29"/>
        <v>0</v>
      </c>
      <c r="I118" s="29">
        <f t="shared" si="29"/>
        <v>0</v>
      </c>
      <c r="J118" s="29">
        <f t="shared" si="29"/>
        <v>0</v>
      </c>
      <c r="K118" s="29">
        <f t="shared" si="29"/>
        <v>0</v>
      </c>
      <c r="L118" s="29">
        <f t="shared" si="29"/>
        <v>0</v>
      </c>
      <c r="M118" s="29">
        <f t="shared" si="29"/>
        <v>0</v>
      </c>
      <c r="N118" s="29">
        <f t="shared" si="29"/>
        <v>0</v>
      </c>
      <c r="O118" s="29">
        <f t="shared" si="29"/>
        <v>0</v>
      </c>
      <c r="P118" s="29">
        <f t="shared" si="29"/>
        <v>0</v>
      </c>
      <c r="Q118" s="29">
        <f t="shared" si="29"/>
        <v>0</v>
      </c>
      <c r="R118" s="29">
        <f t="shared" si="29"/>
        <v>0</v>
      </c>
      <c r="S118" s="29">
        <f t="shared" si="29"/>
        <v>0</v>
      </c>
      <c r="T118" s="29">
        <f t="shared" si="29"/>
        <v>0</v>
      </c>
      <c r="U118" s="29">
        <f t="shared" si="29"/>
        <v>0</v>
      </c>
      <c r="V118" s="29">
        <f t="shared" si="29"/>
        <v>0</v>
      </c>
      <c r="W118" s="29">
        <f t="shared" si="29"/>
        <v>0</v>
      </c>
      <c r="X118" s="29">
        <f t="shared" si="29"/>
        <v>0</v>
      </c>
      <c r="Y118" s="29">
        <f t="shared" si="25"/>
        <v>0</v>
      </c>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row>
    <row r="119" spans="1:80">
      <c r="C119" s="7" t="s">
        <v>382</v>
      </c>
      <c r="E119" s="29">
        <f t="shared" si="28"/>
        <v>1.5487637059893464E-2</v>
      </c>
      <c r="F119" s="29">
        <f t="shared" si="29"/>
        <v>3.3004632113097253E-2</v>
      </c>
      <c r="G119" s="29">
        <f t="shared" si="29"/>
        <v>5.2381158671803152E-2</v>
      </c>
      <c r="H119" s="29">
        <f t="shared" si="29"/>
        <v>7.4372089235037186E-2</v>
      </c>
      <c r="I119" s="29">
        <f t="shared" si="29"/>
        <v>9.8674033974217312E-2</v>
      </c>
      <c r="J119" s="29">
        <f t="shared" si="29"/>
        <v>0.1233142549601024</v>
      </c>
      <c r="K119" s="29">
        <f t="shared" si="29"/>
        <v>0.1511229439525455</v>
      </c>
      <c r="L119" s="29">
        <f t="shared" si="29"/>
        <v>0.18216533182995706</v>
      </c>
      <c r="M119" s="29">
        <f t="shared" si="29"/>
        <v>0.20991284052013864</v>
      </c>
      <c r="N119" s="29">
        <f t="shared" si="29"/>
        <v>0.23956206901408472</v>
      </c>
      <c r="O119" s="29">
        <f t="shared" si="29"/>
        <v>0.26143190317213971</v>
      </c>
      <c r="P119" s="29">
        <f t="shared" si="29"/>
        <v>0.27175813124113823</v>
      </c>
      <c r="Q119" s="29">
        <f t="shared" si="29"/>
        <v>0.27252957188925775</v>
      </c>
      <c r="R119" s="29">
        <f t="shared" si="29"/>
        <v>0.27689688173187588</v>
      </c>
      <c r="S119" s="29">
        <f t="shared" si="29"/>
        <v>0.28190071387738003</v>
      </c>
      <c r="T119" s="29">
        <f t="shared" si="29"/>
        <v>0.28131851559152921</v>
      </c>
      <c r="U119" s="29">
        <f t="shared" si="29"/>
        <v>0.27218047899623271</v>
      </c>
      <c r="V119" s="29">
        <f t="shared" si="29"/>
        <v>0.27175131483306886</v>
      </c>
      <c r="W119" s="29">
        <f t="shared" si="29"/>
        <v>0.27244748095894267</v>
      </c>
      <c r="X119" s="29">
        <f t="shared" si="29"/>
        <v>0.27429782252312873</v>
      </c>
      <c r="Y119" s="29">
        <f>SUM(E119:X119)</f>
        <v>3.9165098061455703</v>
      </c>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row>
    <row r="120" spans="1:8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row>
    <row r="121" spans="1:80" ht="15">
      <c r="C121" s="65" t="s">
        <v>135</v>
      </c>
      <c r="D121" s="66"/>
      <c r="E121" s="66">
        <f t="shared" ref="E121:W121" si="30">SUM(E88:E119)</f>
        <v>1.9821280157008046E-2</v>
      </c>
      <c r="F121" s="66">
        <f t="shared" si="30"/>
        <v>4.223975917454674E-2</v>
      </c>
      <c r="G121" s="66">
        <f t="shared" si="30"/>
        <v>6.7038090895813113E-2</v>
      </c>
      <c r="H121" s="66">
        <f t="shared" si="30"/>
        <v>9.5182371002682481E-2</v>
      </c>
      <c r="I121" s="66">
        <f t="shared" si="30"/>
        <v>0.12628431723067154</v>
      </c>
      <c r="J121" s="66">
        <f t="shared" si="30"/>
        <v>0.15781919381662743</v>
      </c>
      <c r="K121" s="66">
        <f t="shared" si="30"/>
        <v>0.19340911713331654</v>
      </c>
      <c r="L121" s="66">
        <f t="shared" si="30"/>
        <v>0.23313757051075623</v>
      </c>
      <c r="M121" s="66">
        <f t="shared" si="30"/>
        <v>0.26864919447767838</v>
      </c>
      <c r="N121" s="66">
        <f t="shared" si="30"/>
        <v>0.30659466428336696</v>
      </c>
      <c r="O121" s="66">
        <f t="shared" si="30"/>
        <v>0.33458396362953169</v>
      </c>
      <c r="P121" s="66">
        <f t="shared" si="30"/>
        <v>0.34779960515891728</v>
      </c>
      <c r="Q121" s="66">
        <f t="shared" si="30"/>
        <v>0.34878690497436027</v>
      </c>
      <c r="R121" s="66">
        <f t="shared" si="30"/>
        <v>0.35437624514214883</v>
      </c>
      <c r="S121" s="66">
        <f t="shared" si="30"/>
        <v>0.36078021486529793</v>
      </c>
      <c r="T121" s="66">
        <f t="shared" si="30"/>
        <v>0.36003510989633775</v>
      </c>
      <c r="U121" s="66">
        <f t="shared" si="30"/>
        <v>0.34834013133118208</v>
      </c>
      <c r="V121" s="66">
        <f t="shared" si="30"/>
        <v>0.34779088143085696</v>
      </c>
      <c r="W121" s="66">
        <f t="shared" si="30"/>
        <v>0.34868184392974566</v>
      </c>
      <c r="X121" s="66">
        <f>SUM(X88:X119)</f>
        <v>0.35104993522656869</v>
      </c>
      <c r="Y121" s="66"/>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row>
    <row r="122" spans="1:80" ht="15">
      <c r="C122" s="65" t="s">
        <v>136</v>
      </c>
      <c r="D122" s="66"/>
      <c r="E122" s="66">
        <f>E121</f>
        <v>1.9821280157008046E-2</v>
      </c>
      <c r="F122" s="66">
        <f t="shared" ref="F122:X122" si="31">E122+F121</f>
        <v>6.2061039331554782E-2</v>
      </c>
      <c r="G122" s="66">
        <f t="shared" si="31"/>
        <v>0.12909913022736791</v>
      </c>
      <c r="H122" s="66">
        <f t="shared" si="31"/>
        <v>0.22428150123005039</v>
      </c>
      <c r="I122" s="66">
        <f t="shared" si="31"/>
        <v>0.35056581846072193</v>
      </c>
      <c r="J122" s="66">
        <f t="shared" si="31"/>
        <v>0.50838501227734934</v>
      </c>
      <c r="K122" s="66">
        <f t="shared" si="31"/>
        <v>0.70179412941066588</v>
      </c>
      <c r="L122" s="66">
        <f t="shared" si="31"/>
        <v>0.93493169992142211</v>
      </c>
      <c r="M122" s="66">
        <f t="shared" si="31"/>
        <v>1.2035808943991004</v>
      </c>
      <c r="N122" s="66">
        <f t="shared" si="31"/>
        <v>1.5101755586824674</v>
      </c>
      <c r="O122" s="66">
        <f t="shared" si="31"/>
        <v>1.8447595223119992</v>
      </c>
      <c r="P122" s="66">
        <f t="shared" si="31"/>
        <v>2.1925591274709166</v>
      </c>
      <c r="Q122" s="66">
        <f t="shared" si="31"/>
        <v>2.541346032445277</v>
      </c>
      <c r="R122" s="66">
        <f t="shared" si="31"/>
        <v>2.8957222775874261</v>
      </c>
      <c r="S122" s="66">
        <f t="shared" si="31"/>
        <v>3.2565024924527242</v>
      </c>
      <c r="T122" s="66">
        <f t="shared" si="31"/>
        <v>3.6165376023490619</v>
      </c>
      <c r="U122" s="66">
        <f t="shared" si="31"/>
        <v>3.9648777336802441</v>
      </c>
      <c r="V122" s="66">
        <f t="shared" si="31"/>
        <v>4.3126686151111011</v>
      </c>
      <c r="W122" s="66">
        <f t="shared" si="31"/>
        <v>4.6613504590408468</v>
      </c>
      <c r="X122" s="66">
        <f t="shared" si="31"/>
        <v>5.0124003942674156</v>
      </c>
      <c r="Y122" s="66">
        <f>SUM(Y88:Y119)</f>
        <v>5.0124003942674147</v>
      </c>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row>
    <row r="125" spans="1:80">
      <c r="A125" s="7" t="s">
        <v>812</v>
      </c>
    </row>
    <row r="127" spans="1:80">
      <c r="E127" s="35"/>
      <c r="F127" s="35"/>
      <c r="G127" s="35"/>
      <c r="H127" s="35"/>
      <c r="I127" s="35"/>
      <c r="J127" s="35"/>
      <c r="K127" s="35"/>
      <c r="L127" s="35"/>
      <c r="M127" s="35"/>
      <c r="N127" s="35"/>
      <c r="O127" s="35"/>
      <c r="P127" s="35"/>
      <c r="Q127" s="35"/>
      <c r="R127" s="35"/>
      <c r="S127" s="35"/>
      <c r="T127" s="35"/>
      <c r="U127" s="35"/>
      <c r="V127" s="35"/>
      <c r="W127" s="35"/>
      <c r="X127" s="35"/>
      <c r="Y127" s="35"/>
    </row>
    <row r="128" spans="1:80">
      <c r="E128" s="35"/>
      <c r="F128" s="35"/>
      <c r="G128" s="35"/>
      <c r="H128" s="35"/>
      <c r="I128" s="35"/>
      <c r="J128" s="35"/>
      <c r="K128" s="35"/>
      <c r="L128" s="35"/>
      <c r="M128" s="35"/>
      <c r="N128" s="35"/>
      <c r="O128" s="35"/>
      <c r="P128" s="35"/>
      <c r="Q128" s="35"/>
      <c r="R128" s="35"/>
      <c r="S128" s="35"/>
      <c r="T128" s="35"/>
      <c r="U128" s="35"/>
      <c r="V128" s="35"/>
      <c r="W128" s="35"/>
      <c r="X128" s="35"/>
      <c r="Y128" s="35"/>
    </row>
    <row r="129" spans="1:27" ht="15">
      <c r="A129" s="55" t="s">
        <v>813</v>
      </c>
      <c r="E129" s="35"/>
      <c r="F129" s="35"/>
      <c r="G129" s="35"/>
      <c r="H129" s="35"/>
      <c r="I129" s="35"/>
      <c r="J129" s="35"/>
      <c r="K129" s="35"/>
      <c r="L129" s="35"/>
      <c r="M129" s="35"/>
      <c r="N129" s="35"/>
      <c r="O129" s="35"/>
      <c r="P129" s="35"/>
      <c r="Q129" s="35"/>
      <c r="R129" s="35"/>
      <c r="S129" s="35"/>
      <c r="T129" s="35"/>
      <c r="U129" s="35"/>
      <c r="V129" s="35"/>
      <c r="W129" s="35"/>
      <c r="X129" s="35"/>
      <c r="Y129" s="35"/>
    </row>
    <row r="130" spans="1:27">
      <c r="A130" s="7" t="s">
        <v>814</v>
      </c>
      <c r="C130"/>
      <c r="D130"/>
      <c r="E130" s="7" t="s">
        <v>815</v>
      </c>
    </row>
    <row r="131" spans="1:27" ht="15">
      <c r="C131" s="405"/>
      <c r="D131" s="405"/>
      <c r="E131" s="64">
        <f>E11</f>
        <v>2016</v>
      </c>
      <c r="F131" s="64">
        <f t="shared" ref="F131:X131" si="32">F11</f>
        <v>2017</v>
      </c>
      <c r="G131" s="64">
        <f t="shared" si="32"/>
        <v>2018</v>
      </c>
      <c r="H131" s="64">
        <f t="shared" si="32"/>
        <v>2019</v>
      </c>
      <c r="I131" s="64">
        <f t="shared" si="32"/>
        <v>2020</v>
      </c>
      <c r="J131" s="64">
        <f t="shared" si="32"/>
        <v>2021</v>
      </c>
      <c r="K131" s="64">
        <f t="shared" si="32"/>
        <v>2022</v>
      </c>
      <c r="L131" s="64">
        <f t="shared" si="32"/>
        <v>2023</v>
      </c>
      <c r="M131" s="64">
        <f t="shared" si="32"/>
        <v>2024</v>
      </c>
      <c r="N131" s="64">
        <f t="shared" si="32"/>
        <v>2025</v>
      </c>
      <c r="O131" s="64">
        <f t="shared" si="32"/>
        <v>2026</v>
      </c>
      <c r="P131" s="64">
        <f t="shared" si="32"/>
        <v>2027</v>
      </c>
      <c r="Q131" s="64">
        <f t="shared" si="32"/>
        <v>2028</v>
      </c>
      <c r="R131" s="64">
        <f t="shared" si="32"/>
        <v>2029</v>
      </c>
      <c r="S131" s="64">
        <f t="shared" si="32"/>
        <v>2030</v>
      </c>
      <c r="T131" s="64">
        <f t="shared" si="32"/>
        <v>2031</v>
      </c>
      <c r="U131" s="64">
        <f t="shared" si="32"/>
        <v>2032</v>
      </c>
      <c r="V131" s="64">
        <f t="shared" si="32"/>
        <v>2033</v>
      </c>
      <c r="W131" s="64">
        <f t="shared" si="32"/>
        <v>2034</v>
      </c>
      <c r="X131" s="64">
        <f t="shared" si="32"/>
        <v>2035</v>
      </c>
      <c r="Y131" s="64"/>
    </row>
    <row r="132" spans="1:27">
      <c r="C132" s="7" t="str">
        <f>C13</f>
        <v>Single Family</v>
      </c>
      <c r="E132" s="35">
        <f>(E13-E29/$B21)</f>
        <v>60664.951918541097</v>
      </c>
      <c r="F132" s="35">
        <f t="shared" ref="F132:X132" si="33">(F13-F29/$B21)</f>
        <v>55655.378800802835</v>
      </c>
      <c r="G132" s="35">
        <f t="shared" si="33"/>
        <v>49999.385389778399</v>
      </c>
      <c r="H132" s="35">
        <f t="shared" si="33"/>
        <v>45281.217886956503</v>
      </c>
      <c r="I132" s="35">
        <f t="shared" si="33"/>
        <v>40632.612209263665</v>
      </c>
      <c r="J132" s="35">
        <f t="shared" si="33"/>
        <v>34892.163679412552</v>
      </c>
      <c r="K132" s="35">
        <f t="shared" si="33"/>
        <v>29843.340495191853</v>
      </c>
      <c r="L132" s="35">
        <f t="shared" si="33"/>
        <v>25555.8184149892</v>
      </c>
      <c r="M132" s="35">
        <f t="shared" si="33"/>
        <v>21426.61095838395</v>
      </c>
      <c r="N132" s="35">
        <f t="shared" si="33"/>
        <v>18425.49953327619</v>
      </c>
      <c r="O132" s="35">
        <f t="shared" si="33"/>
        <v>15918.836534571128</v>
      </c>
      <c r="P132" s="35">
        <f t="shared" si="33"/>
        <v>13929.109498992213</v>
      </c>
      <c r="Q132" s="35">
        <f t="shared" si="33"/>
        <v>12520.035909570834</v>
      </c>
      <c r="R132" s="35">
        <f t="shared" si="33"/>
        <v>11999.899905242142</v>
      </c>
      <c r="S132" s="35">
        <f t="shared" si="33"/>
        <v>11908.52428467483</v>
      </c>
      <c r="T132" s="35">
        <f t="shared" si="33"/>
        <v>11776.783772628078</v>
      </c>
      <c r="U132" s="35">
        <f t="shared" si="33"/>
        <v>11365.240103911063</v>
      </c>
      <c r="V132" s="35">
        <f t="shared" si="33"/>
        <v>11341.013895201817</v>
      </c>
      <c r="W132" s="35">
        <f t="shared" si="33"/>
        <v>11369.028029198875</v>
      </c>
      <c r="X132" s="35">
        <f t="shared" si="33"/>
        <v>11446.115827705602</v>
      </c>
      <c r="Y132" s="35"/>
      <c r="AA132" s="35">
        <f t="shared" ref="AA132" si="34">SUM(E132:Y132)</f>
        <v>505951.56704829284</v>
      </c>
    </row>
    <row r="133" spans="1:27">
      <c r="E133" s="35"/>
      <c r="F133" s="35"/>
      <c r="G133" s="35"/>
      <c r="H133" s="35"/>
      <c r="I133" s="35"/>
      <c r="J133" s="35"/>
      <c r="K133" s="35"/>
      <c r="L133" s="35"/>
      <c r="M133" s="35"/>
      <c r="N133" s="35"/>
      <c r="O133" s="35"/>
      <c r="P133" s="35"/>
      <c r="Q133" s="35"/>
      <c r="R133" s="35"/>
      <c r="S133" s="35"/>
      <c r="T133" s="35"/>
      <c r="U133" s="35"/>
      <c r="V133" s="35"/>
      <c r="W133" s="35"/>
      <c r="X133" s="35"/>
      <c r="Y133" s="35"/>
      <c r="AA133" s="35"/>
    </row>
    <row r="134" spans="1:27">
      <c r="E134" s="35"/>
      <c r="F134" s="35"/>
      <c r="G134" s="35"/>
      <c r="H134" s="35"/>
      <c r="I134" s="35"/>
      <c r="J134" s="35"/>
      <c r="K134" s="35"/>
      <c r="L134" s="35"/>
      <c r="M134" s="35"/>
      <c r="N134" s="35"/>
      <c r="O134" s="35"/>
      <c r="P134" s="35"/>
      <c r="Q134" s="35"/>
      <c r="R134" s="35"/>
      <c r="S134" s="35"/>
      <c r="T134" s="35"/>
      <c r="U134" s="35"/>
      <c r="V134" s="35"/>
      <c r="W134" s="35"/>
      <c r="X134" s="35"/>
      <c r="Y134" s="35"/>
    </row>
    <row r="135" spans="1:27">
      <c r="C135" s="7" t="s">
        <v>816</v>
      </c>
      <c r="E135" s="35">
        <f t="shared" ref="E135:X135" si="35">SUM(E132:E133)</f>
        <v>60664.951918541097</v>
      </c>
      <c r="F135" s="35">
        <f t="shared" si="35"/>
        <v>55655.378800802835</v>
      </c>
      <c r="G135" s="35">
        <f t="shared" si="35"/>
        <v>49999.385389778399</v>
      </c>
      <c r="H135" s="35">
        <f t="shared" si="35"/>
        <v>45281.217886956503</v>
      </c>
      <c r="I135" s="35">
        <f t="shared" si="35"/>
        <v>40632.612209263665</v>
      </c>
      <c r="J135" s="35">
        <f t="shared" si="35"/>
        <v>34892.163679412552</v>
      </c>
      <c r="K135" s="35">
        <f t="shared" si="35"/>
        <v>29843.340495191853</v>
      </c>
      <c r="L135" s="35">
        <f t="shared" si="35"/>
        <v>25555.8184149892</v>
      </c>
      <c r="M135" s="35">
        <f t="shared" si="35"/>
        <v>21426.61095838395</v>
      </c>
      <c r="N135" s="35">
        <f t="shared" si="35"/>
        <v>18425.49953327619</v>
      </c>
      <c r="O135" s="35">
        <f t="shared" si="35"/>
        <v>15918.836534571128</v>
      </c>
      <c r="P135" s="35">
        <f t="shared" si="35"/>
        <v>13929.109498992213</v>
      </c>
      <c r="Q135" s="35">
        <f t="shared" si="35"/>
        <v>12520.035909570834</v>
      </c>
      <c r="R135" s="35">
        <f t="shared" si="35"/>
        <v>11999.899905242142</v>
      </c>
      <c r="S135" s="35">
        <f t="shared" si="35"/>
        <v>11908.52428467483</v>
      </c>
      <c r="T135" s="35">
        <f t="shared" si="35"/>
        <v>11776.783772628078</v>
      </c>
      <c r="U135" s="35">
        <f t="shared" si="35"/>
        <v>11365.240103911063</v>
      </c>
      <c r="V135" s="35">
        <f t="shared" si="35"/>
        <v>11341.013895201817</v>
      </c>
      <c r="W135" s="35">
        <f t="shared" si="35"/>
        <v>11369.028029198875</v>
      </c>
      <c r="X135" s="35">
        <f t="shared" si="35"/>
        <v>11446.115827705602</v>
      </c>
      <c r="Y135" s="35"/>
      <c r="AA135" s="35">
        <f>SUM(E135:Y135)</f>
        <v>505951.56704829284</v>
      </c>
    </row>
  </sheetData>
  <mergeCells count="1">
    <mergeCell ref="B1:T6"/>
  </mergeCells>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dimension ref="A1:CB135"/>
  <sheetViews>
    <sheetView topLeftCell="C1" workbookViewId="0">
      <selection activeCell="D13" sqref="D13"/>
    </sheetView>
  </sheetViews>
  <sheetFormatPr defaultRowHeight="12.75"/>
  <cols>
    <col min="1" max="1" width="35" style="7" customWidth="1"/>
    <col min="2" max="2" width="29.28515625" style="7" customWidth="1"/>
    <col min="3" max="3" width="19.85546875" style="7" customWidth="1"/>
    <col min="4" max="4" width="49.140625" style="7" customWidth="1"/>
    <col min="5" max="5" width="10.7109375" style="7" customWidth="1"/>
    <col min="6" max="25" width="9.5703125" style="7" bestFit="1" customWidth="1"/>
    <col min="26" max="28" width="9.140625" style="7"/>
    <col min="29" max="29" width="21.7109375" style="7" customWidth="1"/>
    <col min="30" max="30" width="35.85546875" style="7" customWidth="1"/>
    <col min="31" max="31" width="35.28515625" style="7" customWidth="1"/>
    <col min="32" max="32" width="15" style="7" customWidth="1"/>
    <col min="33" max="33" width="17.7109375" style="7" customWidth="1"/>
    <col min="34" max="34" width="15.140625" style="7" customWidth="1"/>
    <col min="35" max="35" width="15.7109375" style="7" customWidth="1"/>
    <col min="36" max="36" width="21.28515625" style="7" customWidth="1"/>
    <col min="37" max="37" width="17.7109375" style="7" bestFit="1" customWidth="1"/>
    <col min="38" max="38" width="15.42578125" style="7" bestFit="1" customWidth="1"/>
    <col min="39" max="39" width="14.28515625" style="7" bestFit="1" customWidth="1"/>
    <col min="40" max="40" width="14.28515625" style="7" customWidth="1"/>
    <col min="41" max="41" width="12.5703125" style="7" customWidth="1"/>
    <col min="42" max="42" width="14" style="7" bestFit="1" customWidth="1"/>
    <col min="43" max="44" width="10.85546875" style="7" bestFit="1" customWidth="1"/>
    <col min="45" max="45" width="13.42578125" style="7" customWidth="1"/>
    <col min="46" max="46" width="11.85546875" style="7" bestFit="1" customWidth="1"/>
    <col min="47" max="47" width="11" style="7" bestFit="1" customWidth="1"/>
    <col min="48" max="48" width="14.28515625" style="7" bestFit="1" customWidth="1"/>
    <col min="49" max="49" width="10.7109375" style="7" customWidth="1"/>
    <col min="50" max="50" width="13.85546875" style="7" bestFit="1" customWidth="1"/>
    <col min="51" max="51" width="11.7109375" style="7" bestFit="1" customWidth="1"/>
    <col min="52" max="52" width="15.28515625" style="7" bestFit="1" customWidth="1"/>
    <col min="53" max="55" width="12.28515625" style="7" bestFit="1" customWidth="1"/>
    <col min="56" max="56" width="12.5703125" style="7" bestFit="1" customWidth="1"/>
    <col min="57" max="59" width="14.28515625" style="7" bestFit="1" customWidth="1"/>
    <col min="60" max="60" width="13.7109375" style="7" bestFit="1" customWidth="1"/>
    <col min="61" max="61" width="14" style="7" bestFit="1" customWidth="1"/>
    <col min="62" max="62" width="12.85546875" style="7" bestFit="1" customWidth="1"/>
    <col min="63" max="63" width="15.28515625" style="7" bestFit="1" customWidth="1"/>
    <col min="64" max="64" width="12.28515625" style="7" bestFit="1" customWidth="1"/>
    <col min="65" max="65" width="10.85546875" style="7" bestFit="1" customWidth="1"/>
    <col min="66" max="66" width="12.28515625" style="7" bestFit="1" customWidth="1"/>
    <col min="67" max="67" width="12.5703125" style="7" bestFit="1" customWidth="1"/>
    <col min="68" max="16384" width="9.140625" style="7"/>
  </cols>
  <sheetData>
    <row r="1" spans="1:69">
      <c r="A1" s="45" t="s">
        <v>54</v>
      </c>
      <c r="B1" s="444" t="s">
        <v>805</v>
      </c>
      <c r="C1" s="444"/>
      <c r="D1" s="444"/>
      <c r="E1" s="444"/>
      <c r="F1" s="444"/>
      <c r="G1" s="444"/>
      <c r="H1" s="444"/>
      <c r="I1" s="444"/>
      <c r="J1" s="444"/>
      <c r="K1" s="444"/>
      <c r="L1" s="444"/>
      <c r="M1" s="444"/>
      <c r="N1" s="444"/>
      <c r="O1" s="444"/>
      <c r="P1" s="444"/>
      <c r="Q1" s="444"/>
      <c r="R1" s="444"/>
      <c r="S1" s="444"/>
      <c r="T1" s="444"/>
    </row>
    <row r="2" spans="1:69">
      <c r="A2" s="46" t="s">
        <v>137</v>
      </c>
      <c r="B2" s="444"/>
      <c r="C2" s="444"/>
      <c r="D2" s="444"/>
      <c r="E2" s="444"/>
      <c r="F2" s="444"/>
      <c r="G2" s="444"/>
      <c r="H2" s="444"/>
      <c r="I2" s="444"/>
      <c r="J2" s="444"/>
      <c r="K2" s="444"/>
      <c r="L2" s="444"/>
      <c r="M2" s="444"/>
      <c r="N2" s="444"/>
      <c r="O2" s="444"/>
      <c r="P2" s="444"/>
      <c r="Q2" s="444"/>
      <c r="R2" s="444"/>
      <c r="S2" s="444"/>
      <c r="T2" s="444"/>
    </row>
    <row r="3" spans="1:69">
      <c r="B3" s="444"/>
      <c r="C3" s="444"/>
      <c r="D3" s="444"/>
      <c r="E3" s="444"/>
      <c r="F3" s="444"/>
      <c r="G3" s="444"/>
      <c r="H3" s="444"/>
      <c r="I3" s="444"/>
      <c r="J3" s="444"/>
      <c r="K3" s="444"/>
      <c r="L3" s="444"/>
      <c r="M3" s="444"/>
      <c r="N3" s="444"/>
      <c r="O3" s="444"/>
      <c r="P3" s="444"/>
      <c r="Q3" s="444"/>
      <c r="R3" s="444"/>
      <c r="S3" s="444"/>
      <c r="T3" s="444"/>
    </row>
    <row r="4" spans="1:69">
      <c r="B4" s="444"/>
      <c r="C4" s="444"/>
      <c r="D4" s="444"/>
      <c r="E4" s="444"/>
      <c r="F4" s="444"/>
      <c r="G4" s="444"/>
      <c r="H4" s="444"/>
      <c r="I4" s="444"/>
      <c r="J4" s="444"/>
      <c r="K4" s="444"/>
      <c r="L4" s="444"/>
      <c r="M4" s="444"/>
      <c r="N4" s="444"/>
      <c r="O4" s="444"/>
      <c r="P4" s="444"/>
      <c r="Q4" s="444"/>
      <c r="R4" s="444"/>
      <c r="S4" s="444"/>
      <c r="T4" s="444"/>
    </row>
    <row r="5" spans="1:69">
      <c r="B5" s="444"/>
      <c r="C5" s="444"/>
      <c r="D5" s="444"/>
      <c r="E5" s="444"/>
      <c r="F5" s="444"/>
      <c r="G5" s="444"/>
      <c r="H5" s="444"/>
      <c r="I5" s="444"/>
      <c r="J5" s="444"/>
      <c r="K5" s="444"/>
      <c r="L5" s="444"/>
      <c r="M5" s="444"/>
      <c r="N5" s="444"/>
      <c r="O5" s="444"/>
      <c r="P5" s="444"/>
      <c r="Q5" s="444"/>
      <c r="R5" s="444"/>
      <c r="S5" s="444"/>
      <c r="T5" s="444"/>
    </row>
    <row r="6" spans="1:69">
      <c r="B6" s="444"/>
      <c r="C6" s="444"/>
      <c r="D6" s="444"/>
      <c r="E6" s="444"/>
      <c r="F6" s="444"/>
      <c r="G6" s="444"/>
      <c r="H6" s="444"/>
      <c r="I6" s="444"/>
      <c r="J6" s="444"/>
      <c r="K6" s="444"/>
      <c r="L6" s="444"/>
      <c r="M6" s="444"/>
      <c r="N6" s="444"/>
      <c r="O6" s="444"/>
      <c r="P6" s="444"/>
      <c r="Q6" s="444"/>
      <c r="R6" s="444"/>
      <c r="S6" s="444"/>
      <c r="T6" s="444"/>
    </row>
    <row r="7" spans="1:69">
      <c r="A7" s="440"/>
      <c r="B7" s="440" t="s">
        <v>48</v>
      </c>
      <c r="C7" s="51" t="s">
        <v>806</v>
      </c>
      <c r="D7" s="51" t="s">
        <v>806</v>
      </c>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row>
    <row r="8" spans="1:69">
      <c r="A8" s="440" t="s">
        <v>912</v>
      </c>
      <c r="B8" s="440" t="s">
        <v>55</v>
      </c>
      <c r="C8" s="51" t="str">
        <f>[2]MLIST!$B$48</f>
        <v>DHP</v>
      </c>
      <c r="D8" s="51" t="str">
        <f>[1]!switch_ForecastState</f>
        <v>Region</v>
      </c>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row>
    <row r="9" spans="1:69">
      <c r="A9" s="440" t="str">
        <f>INDEX([2]ACHIEV!$A$19:$B$100,MATCH(CONCATENATE($C$8," - ",$C$7),[2]ACHIEV!$B$19:$B$100,0),1)</f>
        <v>HVAC</v>
      </c>
      <c r="B9" s="441" t="s">
        <v>56</v>
      </c>
      <c r="C9" s="51">
        <f>[2]FILES!$H$4</f>
        <v>2035</v>
      </c>
      <c r="D9" s="51" t="str">
        <f>[1]!switch_ForecastScenario</f>
        <v>Base</v>
      </c>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row>
    <row r="10" spans="1:69">
      <c r="A10" s="440"/>
      <c r="B10" s="440" t="s">
        <v>914</v>
      </c>
      <c r="C10" s="443">
        <f>MIN(SUM(E45:X45),Y45)</f>
        <v>7.7709811046916908</v>
      </c>
      <c r="D10" s="54"/>
      <c r="E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row>
    <row r="11" spans="1:69" ht="15">
      <c r="A11" s="55" t="str">
        <f>CONCATENATE("# HOMES AVAILABLE FOR MEASURE -",$C$8)</f>
        <v># HOMES AVAILABLE FOR MEASURE -DHP</v>
      </c>
      <c r="C11" s="7" t="s">
        <v>807</v>
      </c>
      <c r="E11" s="58">
        <v>2016</v>
      </c>
      <c r="F11" s="59">
        <v>2017</v>
      </c>
      <c r="G11" s="59">
        <v>2018</v>
      </c>
      <c r="H11" s="59">
        <v>2019</v>
      </c>
      <c r="I11" s="59">
        <v>2020</v>
      </c>
      <c r="J11" s="59">
        <v>2021</v>
      </c>
      <c r="K11" s="59">
        <v>2022</v>
      </c>
      <c r="L11" s="59">
        <v>2023</v>
      </c>
      <c r="M11" s="59">
        <v>2024</v>
      </c>
      <c r="N11" s="59">
        <v>2025</v>
      </c>
      <c r="O11" s="59">
        <v>2026</v>
      </c>
      <c r="P11" s="59">
        <v>2027</v>
      </c>
      <c r="Q11" s="59">
        <v>2028</v>
      </c>
      <c r="R11" s="59">
        <v>2029</v>
      </c>
      <c r="S11" s="59">
        <v>2030</v>
      </c>
      <c r="T11" s="59">
        <v>2031</v>
      </c>
      <c r="U11" s="59">
        <v>2032</v>
      </c>
      <c r="V11" s="59">
        <v>2033</v>
      </c>
      <c r="W11" s="59">
        <v>2034</v>
      </c>
      <c r="X11" s="59">
        <v>2035</v>
      </c>
      <c r="Y11" s="60"/>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row>
    <row r="12" spans="1:69" ht="15">
      <c r="E12" s="61" t="str">
        <f>CONCATENATE("Homes_",E11)</f>
        <v>Homes_2016</v>
      </c>
      <c r="F12" s="62" t="str">
        <f t="shared" ref="F12:X12" si="0">CONCATENATE("Homes_",F11)</f>
        <v>Homes_2017</v>
      </c>
      <c r="G12" s="62" t="str">
        <f t="shared" si="0"/>
        <v>Homes_2018</v>
      </c>
      <c r="H12" s="62" t="str">
        <f t="shared" si="0"/>
        <v>Homes_2019</v>
      </c>
      <c r="I12" s="62" t="str">
        <f t="shared" si="0"/>
        <v>Homes_2020</v>
      </c>
      <c r="J12" s="62" t="str">
        <f t="shared" si="0"/>
        <v>Homes_2021</v>
      </c>
      <c r="K12" s="62" t="str">
        <f t="shared" si="0"/>
        <v>Homes_2022</v>
      </c>
      <c r="L12" s="62" t="str">
        <f t="shared" si="0"/>
        <v>Homes_2023</v>
      </c>
      <c r="M12" s="62" t="str">
        <f t="shared" si="0"/>
        <v>Homes_2024</v>
      </c>
      <c r="N12" s="62" t="str">
        <f t="shared" si="0"/>
        <v>Homes_2025</v>
      </c>
      <c r="O12" s="62" t="str">
        <f t="shared" si="0"/>
        <v>Homes_2026</v>
      </c>
      <c r="P12" s="62" t="str">
        <f t="shared" si="0"/>
        <v>Homes_2027</v>
      </c>
      <c r="Q12" s="62" t="str">
        <f t="shared" si="0"/>
        <v>Homes_2028</v>
      </c>
      <c r="R12" s="62" t="str">
        <f t="shared" si="0"/>
        <v>Homes_2029</v>
      </c>
      <c r="S12" s="62" t="str">
        <f t="shared" si="0"/>
        <v>Homes_2030</v>
      </c>
      <c r="T12" s="62" t="str">
        <f t="shared" si="0"/>
        <v>Homes_2031</v>
      </c>
      <c r="U12" s="62" t="str">
        <f t="shared" si="0"/>
        <v>Homes_2032</v>
      </c>
      <c r="V12" s="62" t="str">
        <f t="shared" si="0"/>
        <v>Homes_2033</v>
      </c>
      <c r="W12" s="62" t="str">
        <f t="shared" si="0"/>
        <v>Homes_2034</v>
      </c>
      <c r="X12" s="62" t="str">
        <f t="shared" si="0"/>
        <v>Homes_2035</v>
      </c>
      <c r="Y12" s="63"/>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row>
    <row r="13" spans="1:69">
      <c r="B13" s="7" t="s">
        <v>806</v>
      </c>
      <c r="C13" s="7" t="s">
        <v>49</v>
      </c>
      <c r="E13" s="35">
        <f>INDEX([1]!tbl_Forecast,MATCH($D$8&amp;$C13&amp;$D$7,[1]!rng_ForecastRowLookup,0),MATCH(E$11,[1]!rng_ForecastColumnLookup,0))</f>
        <v>62685.758999999998</v>
      </c>
      <c r="F13" s="35">
        <f>INDEX([1]!tbl_Forecast,MATCH($D$8&amp;$C13&amp;$D$7,[1]!rng_ForecastRowLookup,0),MATCH(F$11,[1]!rng_ForecastColumnLookup,0))</f>
        <v>59961.781000000003</v>
      </c>
      <c r="G13" s="35">
        <f>INDEX([1]!tbl_Forecast,MATCH($D$8&amp;$C13&amp;$D$7,[1]!rng_ForecastRowLookup,0),MATCH(G$11,[1]!rng_ForecastColumnLookup,0))</f>
        <v>56834.012000000002</v>
      </c>
      <c r="H13" s="35">
        <f>INDEX([1]!tbl_Forecast,MATCH($D$8&amp;$C13&amp;$D$7,[1]!rng_ForecastRowLookup,0),MATCH(H$11,[1]!rng_ForecastColumnLookup,0))</f>
        <v>54985.192999999999</v>
      </c>
      <c r="I13" s="35">
        <f>INDEX([1]!tbl_Forecast,MATCH($D$8&amp;$C13&amp;$D$7,[1]!rng_ForecastRowLookup,0),MATCH(I$11,[1]!rng_ForecastColumnLookup,0))</f>
        <v>53507.474000000002</v>
      </c>
      <c r="J13" s="35">
        <f>INDEX([1]!tbl_Forecast,MATCH($D$8&amp;$C13&amp;$D$7,[1]!rng_ForecastRowLookup,0),MATCH(J$11,[1]!rng_ForecastColumnLookup,0))</f>
        <v>50982.05</v>
      </c>
      <c r="K13" s="35">
        <f>INDEX([1]!tbl_Forecast,MATCH($D$8&amp;$C13&amp;$D$7,[1]!rng_ForecastRowLookup,0),MATCH(K$11,[1]!rng_ForecastColumnLookup,0))</f>
        <v>49561.669000000002</v>
      </c>
      <c r="L13" s="35">
        <f>INDEX([1]!tbl_Forecast,MATCH($D$8&amp;$C13&amp;$D$7,[1]!rng_ForecastRowLookup,0),MATCH(L$11,[1]!rng_ForecastColumnLookup,0))</f>
        <v>49324.517999999996</v>
      </c>
      <c r="M13" s="35">
        <f>INDEX([1]!tbl_Forecast,MATCH($D$8&amp;$C13&amp;$D$7,[1]!rng_ForecastRowLookup,0),MATCH(M$11,[1]!rng_ForecastColumnLookup,0))</f>
        <v>48815.77</v>
      </c>
      <c r="N13" s="35">
        <f>INDEX([1]!tbl_Forecast,MATCH($D$8&amp;$C13&amp;$D$7,[1]!rng_ForecastRowLookup,0),MATCH(N$11,[1]!rng_ForecastColumnLookup,0))</f>
        <v>49683.252</v>
      </c>
      <c r="O13" s="35">
        <f>INDEX([1]!tbl_Forecast,MATCH($D$8&amp;$C13&amp;$D$7,[1]!rng_ForecastRowLookup,0),MATCH(O$11,[1]!rng_ForecastColumnLookup,0))</f>
        <v>50030.137000000002</v>
      </c>
      <c r="P13" s="35">
        <f>INDEX([1]!tbl_Forecast,MATCH($D$8&amp;$C13&amp;$D$7,[1]!rng_ForecastRowLookup,0),MATCH(P$11,[1]!rng_ForecastColumnLookup,0))</f>
        <v>49387.762999999999</v>
      </c>
      <c r="Q13" s="35">
        <f>INDEX([1]!tbl_Forecast,MATCH($D$8&amp;$C13&amp;$D$7,[1]!rng_ForecastRowLookup,0),MATCH(Q$11,[1]!rng_ForecastColumnLookup,0))</f>
        <v>48079.345999999998</v>
      </c>
      <c r="R13" s="35">
        <f>INDEX([1]!tbl_Forecast,MATCH($D$8&amp;$C13&amp;$D$7,[1]!rng_ForecastRowLookup,0),MATCH(R$11,[1]!rng_ForecastColumnLookup,0))</f>
        <v>48129.050999999999</v>
      </c>
      <c r="S13" s="35">
        <f>INDEX([1]!tbl_Forecast,MATCH($D$8&amp;$C13&amp;$D$7,[1]!rng_ForecastRowLookup,0),MATCH(S$11,[1]!rng_ForecastColumnLookup,0))</f>
        <v>48690.569000000003</v>
      </c>
      <c r="T13" s="35">
        <f>INDEX([1]!tbl_Forecast,MATCH($D$8&amp;$C13&amp;$D$7,[1]!rng_ForecastRowLookup,0),MATCH(T$11,[1]!rng_ForecastColumnLookup,0))</f>
        <v>48482.864000000001</v>
      </c>
      <c r="U13" s="35">
        <f>INDEX([1]!tbl_Forecast,MATCH($D$8&amp;$C13&amp;$D$7,[1]!rng_ForecastRowLookup,0),MATCH(U$11,[1]!rng_ForecastColumnLookup,0))</f>
        <v>46879.000999999997</v>
      </c>
      <c r="V13" s="35">
        <f>INDEX([1]!tbl_Forecast,MATCH($D$8&amp;$C13&amp;$D$7,[1]!rng_ForecastRowLookup,0),MATCH(V$11,[1]!rng_ForecastColumnLookup,0))</f>
        <v>46798.777999999998</v>
      </c>
      <c r="W13" s="35">
        <f>INDEX([1]!tbl_Forecast,MATCH($D$8&amp;$C13&amp;$D$7,[1]!rng_ForecastRowLookup,0),MATCH(W$11,[1]!rng_ForecastColumnLookup,0))</f>
        <v>46917.627</v>
      </c>
      <c r="X13" s="35">
        <f>INDEX([1]!tbl_Forecast,MATCH($D$8&amp;$C13&amp;$D$7,[1]!rng_ForecastRowLookup,0),MATCH(X$11,[1]!rng_ForecastColumnLookup,0))</f>
        <v>47236.144999999997</v>
      </c>
      <c r="Y13" s="35"/>
      <c r="AA13" s="35">
        <f>SUM(E13:Y13)</f>
        <v>1016972.7590000002</v>
      </c>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row>
    <row r="14" spans="1:69">
      <c r="E14" s="35"/>
      <c r="F14" s="35"/>
      <c r="G14" s="35"/>
      <c r="H14" s="35"/>
      <c r="I14" s="35"/>
      <c r="J14" s="35"/>
      <c r="K14" s="35"/>
      <c r="L14" s="35"/>
      <c r="M14" s="35"/>
      <c r="N14" s="35"/>
      <c r="O14" s="35"/>
      <c r="P14" s="35"/>
      <c r="Q14" s="35"/>
      <c r="R14" s="35"/>
      <c r="S14" s="35"/>
      <c r="T14" s="35"/>
      <c r="U14" s="35"/>
      <c r="V14" s="35"/>
      <c r="W14" s="35"/>
      <c r="X14" s="35"/>
      <c r="Y14" s="35"/>
      <c r="AA14" s="35"/>
    </row>
    <row r="15" spans="1:69">
      <c r="E15" s="35"/>
      <c r="F15" s="35"/>
      <c r="G15" s="35"/>
      <c r="H15" s="35"/>
      <c r="I15" s="35"/>
      <c r="J15" s="35"/>
      <c r="K15" s="35"/>
      <c r="L15" s="35"/>
      <c r="M15" s="35"/>
      <c r="N15" s="35"/>
      <c r="O15" s="35"/>
      <c r="P15" s="35"/>
      <c r="Q15" s="35"/>
      <c r="R15" s="35"/>
      <c r="S15" s="35"/>
      <c r="T15" s="35"/>
      <c r="U15" s="35"/>
      <c r="V15" s="35"/>
      <c r="W15" s="35"/>
      <c r="X15" s="35"/>
      <c r="Y15" s="35"/>
    </row>
    <row r="16" spans="1:69">
      <c r="B16" s="7" t="s">
        <v>808</v>
      </c>
      <c r="C16" s="7" t="s">
        <v>58</v>
      </c>
      <c r="E16" s="35">
        <f t="shared" ref="E16:X16" si="1">SUM(E13:E14)</f>
        <v>62685.758999999998</v>
      </c>
      <c r="F16" s="35">
        <f t="shared" si="1"/>
        <v>59961.781000000003</v>
      </c>
      <c r="G16" s="35">
        <f t="shared" si="1"/>
        <v>56834.012000000002</v>
      </c>
      <c r="H16" s="35">
        <f t="shared" si="1"/>
        <v>54985.192999999999</v>
      </c>
      <c r="I16" s="35">
        <f t="shared" si="1"/>
        <v>53507.474000000002</v>
      </c>
      <c r="J16" s="35">
        <f t="shared" si="1"/>
        <v>50982.05</v>
      </c>
      <c r="K16" s="35">
        <f t="shared" si="1"/>
        <v>49561.669000000002</v>
      </c>
      <c r="L16" s="35">
        <f t="shared" si="1"/>
        <v>49324.517999999996</v>
      </c>
      <c r="M16" s="35">
        <f t="shared" si="1"/>
        <v>48815.77</v>
      </c>
      <c r="N16" s="35">
        <f t="shared" si="1"/>
        <v>49683.252</v>
      </c>
      <c r="O16" s="35">
        <f t="shared" si="1"/>
        <v>50030.137000000002</v>
      </c>
      <c r="P16" s="35">
        <f t="shared" si="1"/>
        <v>49387.762999999999</v>
      </c>
      <c r="Q16" s="35">
        <f t="shared" si="1"/>
        <v>48079.345999999998</v>
      </c>
      <c r="R16" s="35">
        <f t="shared" si="1"/>
        <v>48129.050999999999</v>
      </c>
      <c r="S16" s="35">
        <f t="shared" si="1"/>
        <v>48690.569000000003</v>
      </c>
      <c r="T16" s="35">
        <f t="shared" si="1"/>
        <v>48482.864000000001</v>
      </c>
      <c r="U16" s="35">
        <f t="shared" si="1"/>
        <v>46879.000999999997</v>
      </c>
      <c r="V16" s="35">
        <f t="shared" si="1"/>
        <v>46798.777999999998</v>
      </c>
      <c r="W16" s="35">
        <f t="shared" si="1"/>
        <v>46917.627</v>
      </c>
      <c r="X16" s="35">
        <f t="shared" si="1"/>
        <v>47236.144999999997</v>
      </c>
      <c r="Y16" s="35"/>
      <c r="AA16" s="35">
        <f>SUM(E16:Y16)</f>
        <v>1016972.7590000002</v>
      </c>
    </row>
    <row r="17" spans="1:27">
      <c r="E17" s="35"/>
      <c r="F17" s="35"/>
      <c r="G17" s="35"/>
      <c r="H17" s="35"/>
      <c r="I17" s="35"/>
      <c r="J17" s="35"/>
      <c r="K17" s="35"/>
      <c r="L17" s="35"/>
      <c r="M17" s="35"/>
      <c r="N17" s="35"/>
      <c r="O17" s="35"/>
      <c r="P17" s="35"/>
      <c r="Q17" s="35"/>
      <c r="R17" s="35"/>
      <c r="S17" s="35"/>
      <c r="T17" s="35"/>
      <c r="U17" s="35"/>
      <c r="V17" s="35"/>
      <c r="W17" s="35"/>
      <c r="X17" s="35"/>
      <c r="Y17" s="35"/>
    </row>
    <row r="18" spans="1:27">
      <c r="E18" s="35"/>
      <c r="F18" s="35"/>
      <c r="G18" s="35"/>
      <c r="H18" s="35"/>
      <c r="I18" s="35"/>
      <c r="J18" s="35"/>
      <c r="K18" s="35"/>
      <c r="L18" s="35"/>
      <c r="M18" s="35"/>
      <c r="N18" s="35"/>
      <c r="O18" s="35"/>
      <c r="P18" s="35"/>
      <c r="Q18" s="35"/>
      <c r="R18" s="35"/>
      <c r="S18" s="35"/>
      <c r="T18" s="35"/>
      <c r="U18" s="35"/>
      <c r="V18" s="35"/>
      <c r="W18" s="35"/>
      <c r="X18" s="35"/>
      <c r="Y18" s="35"/>
    </row>
    <row r="19" spans="1:27" ht="15">
      <c r="A19" s="55" t="str">
        <f>CONCATENATE("# HOMES APPLICABLE BY YEAR FOR MEASURE - ",C20)</f>
        <v># HOMES APPLICABLE BY YEAR FOR MEASURE - DHP - New</v>
      </c>
      <c r="E19" s="35"/>
      <c r="F19" s="35"/>
      <c r="G19" s="35"/>
      <c r="H19" s="35"/>
      <c r="I19" s="35"/>
      <c r="J19" s="35"/>
      <c r="K19" s="35"/>
      <c r="L19" s="35"/>
      <c r="M19" s="35"/>
      <c r="N19" s="35"/>
      <c r="O19" s="35"/>
      <c r="P19" s="35"/>
      <c r="Q19" s="35"/>
      <c r="R19" s="35"/>
      <c r="S19" s="35"/>
      <c r="T19" s="35"/>
      <c r="U19" s="35"/>
      <c r="V19" s="35"/>
      <c r="W19" s="35"/>
      <c r="X19" s="35"/>
      <c r="Y19" s="35"/>
    </row>
    <row r="20" spans="1:27" ht="15">
      <c r="A20" s="64" t="s">
        <v>59</v>
      </c>
      <c r="B20" s="64" t="s">
        <v>809</v>
      </c>
      <c r="C20" s="64" t="str">
        <f>CONCATENATE(C8," - ",C7)</f>
        <v>DHP - New</v>
      </c>
      <c r="D20" s="64"/>
    </row>
    <row r="21" spans="1:27">
      <c r="A21" s="56">
        <f>INDEX([2]!ResApplic,MATCH($C$20,[2]APPLIC!$B$9:$B$120,0)+1,MATCH($C21,[2]APPLIC!$C$8:$F$8,0)+1)</f>
        <v>0.97019999999999995</v>
      </c>
      <c r="B21" s="56">
        <f>'HVAC weighting'!B41</f>
        <v>4.1178226016708668E-2</v>
      </c>
      <c r="C21" s="7" t="str">
        <f>C13</f>
        <v>Single Family</v>
      </c>
      <c r="E21" s="35">
        <f>E13*$A21*$B21</f>
        <v>2504.3659592374274</v>
      </c>
      <c r="F21" s="35">
        <f t="shared" ref="F21:X21" si="2">F13*$A21*$B21</f>
        <v>2395.540001224992</v>
      </c>
      <c r="G21" s="35">
        <f t="shared" si="2"/>
        <v>2270.582142583477</v>
      </c>
      <c r="H21" s="35">
        <f t="shared" si="2"/>
        <v>2196.719762319542</v>
      </c>
      <c r="I21" s="35">
        <f t="shared" si="2"/>
        <v>2137.6832407880988</v>
      </c>
      <c r="J21" s="35">
        <f t="shared" si="2"/>
        <v>2036.789736439827</v>
      </c>
      <c r="K21" s="35">
        <f t="shared" si="2"/>
        <v>1980.0439319334539</v>
      </c>
      <c r="L21" s="35">
        <f t="shared" si="2"/>
        <v>1970.5694850882121</v>
      </c>
      <c r="M21" s="35">
        <f t="shared" si="2"/>
        <v>1950.2444352945242</v>
      </c>
      <c r="N21" s="35">
        <f t="shared" si="2"/>
        <v>1984.9013083340801</v>
      </c>
      <c r="O21" s="35">
        <f t="shared" si="2"/>
        <v>1998.7597508197184</v>
      </c>
      <c r="P21" s="35">
        <f t="shared" si="2"/>
        <v>1973.096193348887</v>
      </c>
      <c r="Q21" s="35">
        <f t="shared" si="2"/>
        <v>1920.8234754690964</v>
      </c>
      <c r="R21" s="35">
        <f t="shared" si="2"/>
        <v>1922.8092456342767</v>
      </c>
      <c r="S21" s="35">
        <f t="shared" si="2"/>
        <v>1945.242515760257</v>
      </c>
      <c r="T21" s="35">
        <f t="shared" si="2"/>
        <v>1936.9444694438137</v>
      </c>
      <c r="U21" s="35">
        <f t="shared" si="2"/>
        <v>1872.8683544767691</v>
      </c>
      <c r="V21" s="35">
        <f t="shared" si="2"/>
        <v>1869.6633561876379</v>
      </c>
      <c r="W21" s="35">
        <f t="shared" si="2"/>
        <v>1874.4115062401786</v>
      </c>
      <c r="X21" s="35">
        <f t="shared" si="2"/>
        <v>1887.1366554499759</v>
      </c>
      <c r="Y21" s="35"/>
      <c r="AA21" s="35">
        <f t="shared" ref="AA21" si="3">SUM(E21:Y21)</f>
        <v>40629.195526074247</v>
      </c>
    </row>
    <row r="22" spans="1:27">
      <c r="A22" s="56"/>
      <c r="B22" s="56"/>
      <c r="C22"/>
      <c r="D22"/>
      <c r="E22" s="35"/>
      <c r="F22" s="35"/>
      <c r="G22" s="35"/>
      <c r="H22" s="35"/>
      <c r="I22" s="35"/>
      <c r="J22" s="35"/>
      <c r="K22" s="35"/>
      <c r="L22" s="35"/>
      <c r="M22" s="35"/>
      <c r="N22" s="35"/>
      <c r="O22" s="35"/>
      <c r="P22" s="35"/>
      <c r="Q22" s="35"/>
      <c r="R22" s="35"/>
      <c r="S22" s="35"/>
      <c r="T22" s="35"/>
      <c r="U22" s="35"/>
      <c r="V22" s="35"/>
      <c r="W22" s="35"/>
      <c r="X22" s="35"/>
      <c r="Y22" s="35"/>
      <c r="AA22" s="35"/>
    </row>
    <row r="23" spans="1:27">
      <c r="E23" s="35"/>
      <c r="F23" s="35"/>
      <c r="G23" s="35"/>
      <c r="H23" s="35"/>
      <c r="I23" s="35"/>
      <c r="J23" s="35"/>
      <c r="K23" s="35"/>
      <c r="L23" s="35"/>
      <c r="M23" s="35"/>
      <c r="N23" s="35"/>
      <c r="O23" s="35"/>
      <c r="P23" s="35"/>
      <c r="Q23" s="35"/>
      <c r="R23" s="35"/>
      <c r="S23" s="35"/>
      <c r="T23" s="35"/>
      <c r="U23" s="35"/>
      <c r="V23" s="35"/>
      <c r="W23" s="35"/>
      <c r="X23" s="35"/>
      <c r="Y23" s="35"/>
    </row>
    <row r="24" spans="1:27">
      <c r="E24" s="35">
        <f t="shared" ref="E24:X24" si="4">SUM(E21:E22)</f>
        <v>2504.3659592374274</v>
      </c>
      <c r="F24" s="35">
        <f t="shared" si="4"/>
        <v>2395.540001224992</v>
      </c>
      <c r="G24" s="35">
        <f t="shared" si="4"/>
        <v>2270.582142583477</v>
      </c>
      <c r="H24" s="35">
        <f t="shared" si="4"/>
        <v>2196.719762319542</v>
      </c>
      <c r="I24" s="35">
        <f t="shared" si="4"/>
        <v>2137.6832407880988</v>
      </c>
      <c r="J24" s="35">
        <f t="shared" si="4"/>
        <v>2036.789736439827</v>
      </c>
      <c r="K24" s="35">
        <f t="shared" si="4"/>
        <v>1980.0439319334539</v>
      </c>
      <c r="L24" s="35">
        <f t="shared" si="4"/>
        <v>1970.5694850882121</v>
      </c>
      <c r="M24" s="35">
        <f t="shared" si="4"/>
        <v>1950.2444352945242</v>
      </c>
      <c r="N24" s="35">
        <f t="shared" si="4"/>
        <v>1984.9013083340801</v>
      </c>
      <c r="O24" s="35">
        <f t="shared" si="4"/>
        <v>1998.7597508197184</v>
      </c>
      <c r="P24" s="35">
        <f t="shared" si="4"/>
        <v>1973.096193348887</v>
      </c>
      <c r="Q24" s="35">
        <f t="shared" si="4"/>
        <v>1920.8234754690964</v>
      </c>
      <c r="R24" s="35">
        <f t="shared" si="4"/>
        <v>1922.8092456342767</v>
      </c>
      <c r="S24" s="35">
        <f t="shared" si="4"/>
        <v>1945.242515760257</v>
      </c>
      <c r="T24" s="35">
        <f t="shared" si="4"/>
        <v>1936.9444694438137</v>
      </c>
      <c r="U24" s="35">
        <f t="shared" si="4"/>
        <v>1872.8683544767691</v>
      </c>
      <c r="V24" s="35">
        <f t="shared" si="4"/>
        <v>1869.6633561876379</v>
      </c>
      <c r="W24" s="35">
        <f t="shared" si="4"/>
        <v>1874.4115062401786</v>
      </c>
      <c r="X24" s="35">
        <f t="shared" si="4"/>
        <v>1887.1366554499759</v>
      </c>
      <c r="Y24" s="35"/>
      <c r="AA24" s="35">
        <f>SUM(E24:Y24)</f>
        <v>40629.195526074247</v>
      </c>
    </row>
    <row r="25" spans="1:27">
      <c r="E25" s="35"/>
      <c r="F25" s="35"/>
      <c r="G25" s="35"/>
      <c r="H25" s="35"/>
      <c r="I25" s="35"/>
      <c r="J25" s="35"/>
      <c r="K25" s="35"/>
      <c r="L25" s="35"/>
      <c r="M25" s="35"/>
      <c r="N25" s="35"/>
      <c r="O25" s="35"/>
      <c r="P25" s="35"/>
      <c r="Q25" s="35"/>
      <c r="R25" s="35"/>
      <c r="S25" s="35"/>
      <c r="T25" s="35"/>
      <c r="U25" s="35"/>
      <c r="V25" s="35"/>
      <c r="W25" s="35"/>
      <c r="X25" s="35"/>
      <c r="Y25" s="35"/>
    </row>
    <row r="27" spans="1:27" ht="15.75" thickBot="1">
      <c r="A27" s="55" t="str">
        <f>CONCATENATE("# UNITS ACHIEVABLE BY YEAR FOR MEASURE - ",D28)</f>
        <v># UNITS ACHIEVABLE BY YEAR FOR MEASURE - DHP - New</v>
      </c>
      <c r="D27" s="64" t="s">
        <v>61</v>
      </c>
      <c r="E27" s="7">
        <v>2</v>
      </c>
      <c r="F27" s="7">
        <v>3</v>
      </c>
      <c r="G27" s="7">
        <v>4</v>
      </c>
      <c r="H27" s="7">
        <v>5</v>
      </c>
      <c r="I27" s="7">
        <v>6</v>
      </c>
      <c r="J27" s="7">
        <v>7</v>
      </c>
      <c r="K27" s="7">
        <v>8</v>
      </c>
      <c r="L27" s="7">
        <v>9</v>
      </c>
      <c r="M27" s="7">
        <v>10</v>
      </c>
      <c r="N27" s="7">
        <v>11</v>
      </c>
      <c r="O27" s="7">
        <v>12</v>
      </c>
      <c r="P27" s="7">
        <v>13</v>
      </c>
      <c r="Q27" s="7">
        <v>14</v>
      </c>
      <c r="R27" s="7">
        <v>15</v>
      </c>
      <c r="S27" s="7">
        <v>16</v>
      </c>
      <c r="T27" s="7">
        <v>17</v>
      </c>
      <c r="U27" s="7">
        <v>18</v>
      </c>
      <c r="V27" s="7">
        <v>19</v>
      </c>
      <c r="W27" s="7">
        <v>20</v>
      </c>
      <c r="X27" s="7">
        <v>21</v>
      </c>
    </row>
    <row r="28" spans="1:27" ht="15.75" thickBot="1">
      <c r="D28" s="64" t="str">
        <f>CONCATENATE(C8," - ",C7)</f>
        <v>DHP - New</v>
      </c>
      <c r="E28" s="68">
        <f>VLOOKUP($D$28,[2]ACHIEV!$B$10:$X$100,MATCH(E$11,$E$11:$Y$11,0)+2,FALSE)</f>
        <v>4.2999999999999997E-2</v>
      </c>
      <c r="F28" s="68">
        <f>VLOOKUP($D$28,[2]ACHIEV!$B$10:$X$100,MATCH(F$11,$E$11:$Y$11,0)+2,FALSE)</f>
        <v>9.5797142280278316E-2</v>
      </c>
      <c r="G28" s="68">
        <f>VLOOKUP($D$28,[2]ACHIEV!$B$10:$X$100,MATCH(G$11,$E$11:$Y$11,0)+2,FALSE)</f>
        <v>0.16040539374775648</v>
      </c>
      <c r="H28" s="68">
        <f>VLOOKUP($D$28,[2]ACHIEV!$B$10:$X$100,MATCH(H$11,$E$11:$Y$11,0)+2,FALSE)</f>
        <v>0.23540539374775649</v>
      </c>
      <c r="I28" s="68">
        <f>VLOOKUP($D$28,[2]ACHIEV!$B$10:$X$100,MATCH(I$11,$E$11:$Y$11,0)+2,FALSE)</f>
        <v>0.32095239121809005</v>
      </c>
      <c r="J28" s="68">
        <f>VLOOKUP($D$28,[2]ACHIEV!$B$10:$X$100,MATCH(J$11,$E$11:$Y$11,0)+2,FALSE)</f>
        <v>0.42096711425629652</v>
      </c>
      <c r="K28" s="68">
        <f>VLOOKUP($D$28,[2]ACHIEV!$B$10:$X$100,MATCH(K$11,$E$11:$Y$11,0)+2,FALSE)</f>
        <v>0.53068481860864725</v>
      </c>
      <c r="L28" s="68">
        <f>VLOOKUP($D$28,[2]ACHIEV!$B$10:$X$100,MATCH(L$11,$E$11:$Y$11,0)+2,FALSE)</f>
        <v>0.642769203728351</v>
      </c>
      <c r="M28" s="68">
        <f>VLOOKUP($D$28,[2]ACHIEV!$B$10:$X$100,MATCH(M$11,$E$11:$Y$11,0)+2,FALSE)</f>
        <v>0.74839528535557953</v>
      </c>
      <c r="N28" s="68">
        <f>VLOOKUP($D$28,[2]ACHIEV!$B$10:$X$100,MATCH(N$11,$E$11:$Y$11,0)+2,FALSE)</f>
        <v>0.83918984935345187</v>
      </c>
      <c r="O28" s="68">
        <f>VLOOKUP($D$28,[2]ACHIEV!$B$10:$X$100,MATCH(O$11,$E$11:$Y$11,0)+2,FALSE)</f>
        <v>0.90945051634530116</v>
      </c>
      <c r="P28" s="68">
        <f>VLOOKUP($D$28,[2]ACHIEV!$B$10:$X$100,MATCH(P$11,$E$11:$Y$11,0)+2,FALSE)</f>
        <v>0.9576688767502457</v>
      </c>
      <c r="Q28" s="68">
        <f>VLOOKUP($D$28,[2]ACHIEV!$B$10:$X$100,MATCH(Q$11,$E$11:$Y$11,0)+2,FALSE)</f>
        <v>0.9865231113648858</v>
      </c>
      <c r="R28" s="68">
        <f>VLOOKUP($D$28,[2]ACHIEV!$B$10:$X$100,MATCH(R$11,$E$11:$Y$11,0)+2,FALSE)</f>
        <v>1.0012970762896924</v>
      </c>
      <c r="S28" s="68">
        <f>VLOOKUP($D$28,[2]ACHIEV!$B$10:$X$100,MATCH(S$11,$E$11:$Y$11,0)+2,FALSE)</f>
        <v>1.0076356106578106</v>
      </c>
      <c r="T28" s="68">
        <f>VLOOKUP($D$28,[2]ACHIEV!$B$10:$X$100,MATCH(T$11,$E$11:$Y$11,0)+2,FALSE)</f>
        <v>1.0098624683774413</v>
      </c>
      <c r="U28" s="68">
        <f>VLOOKUP($D$28,[2]ACHIEV!$B$10:$X$100,MATCH(U$11,$E$11:$Y$11,0)+2,FALSE)</f>
        <v>1.0104871783970797</v>
      </c>
      <c r="V28" s="68">
        <f>VLOOKUP($D$28,[2]ACHIEV!$B$10:$X$100,MATCH(V$11,$E$11:$Y$11,0)+2,FALSE)</f>
        <v>1.010623336815976</v>
      </c>
      <c r="W28" s="68">
        <f>VLOOKUP($D$28,[2]ACHIEV!$B$10:$X$100,MATCH(W$11,$E$11:$Y$11,0)+2,FALSE)</f>
        <v>1.0106457174525985</v>
      </c>
      <c r="X28" s="68">
        <f>VLOOKUP($D$28,[2]ACHIEV!$B$10:$X$100,MATCH(X$11,$E$11:$Y$11,0)+2,FALSE)</f>
        <v>1.0106484038909742</v>
      </c>
      <c r="Y28" s="68"/>
      <c r="AA28" s="404">
        <v>0.85</v>
      </c>
    </row>
    <row r="29" spans="1:27">
      <c r="D29" s="7" t="str">
        <f>C21</f>
        <v>Single Family</v>
      </c>
      <c r="E29" s="35">
        <f>E21*E$28*$AA$28</f>
        <v>91.534575810127961</v>
      </c>
      <c r="F29" s="35">
        <f t="shared" ref="F29:X29" si="5">F21*F$28*$AA$28</f>
        <v>195.06300338513134</v>
      </c>
      <c r="G29" s="35">
        <f t="shared" si="5"/>
        <v>309.58157922506808</v>
      </c>
      <c r="H29" s="35">
        <f t="shared" si="5"/>
        <v>439.55172851196335</v>
      </c>
      <c r="I29" s="35">
        <f t="shared" si="5"/>
        <v>583.18036562811005</v>
      </c>
      <c r="J29" s="35">
        <f t="shared" si="5"/>
        <v>728.80827304152922</v>
      </c>
      <c r="K29" s="35">
        <f t="shared" si="5"/>
        <v>893.16236662696906</v>
      </c>
      <c r="L29" s="35">
        <f t="shared" si="5"/>
        <v>1076.6281719983062</v>
      </c>
      <c r="M29" s="35">
        <f t="shared" si="5"/>
        <v>1240.6206795655701</v>
      </c>
      <c r="N29" s="35">
        <f t="shared" si="5"/>
        <v>1415.8526754339941</v>
      </c>
      <c r="O29" s="35">
        <f t="shared" si="5"/>
        <v>1545.1071243182187</v>
      </c>
      <c r="P29" s="35">
        <f t="shared" si="5"/>
        <v>1606.136892923922</v>
      </c>
      <c r="Q29" s="35">
        <f t="shared" si="5"/>
        <v>1610.6962386921134</v>
      </c>
      <c r="R29" s="35">
        <f t="shared" si="5"/>
        <v>1636.5077845289318</v>
      </c>
      <c r="S29" s="35">
        <f t="shared" si="5"/>
        <v>1666.081285708779</v>
      </c>
      <c r="T29" s="35">
        <f t="shared" si="5"/>
        <v>1662.6403945691786</v>
      </c>
      <c r="U29" s="35">
        <f t="shared" si="5"/>
        <v>1608.6330401707503</v>
      </c>
      <c r="V29" s="35">
        <f t="shared" si="5"/>
        <v>1606.0966067899712</v>
      </c>
      <c r="W29" s="35">
        <f t="shared" si="5"/>
        <v>1610.2110672966844</v>
      </c>
      <c r="X29" s="35">
        <f t="shared" si="5"/>
        <v>1621.146901441469</v>
      </c>
      <c r="Y29" s="35"/>
      <c r="AA29" s="35">
        <f t="shared" ref="AA29" si="6">SUM(E29:Y29)</f>
        <v>23147.240755666789</v>
      </c>
    </row>
    <row r="30" spans="1:27">
      <c r="E30" s="35"/>
      <c r="F30" s="35"/>
      <c r="G30" s="35"/>
      <c r="H30" s="35"/>
      <c r="I30" s="35"/>
      <c r="J30" s="35"/>
      <c r="K30" s="35"/>
      <c r="L30" s="35"/>
      <c r="M30" s="35"/>
      <c r="N30" s="35"/>
      <c r="O30" s="35"/>
      <c r="P30" s="35"/>
      <c r="Q30" s="35"/>
      <c r="R30" s="35"/>
      <c r="S30" s="35"/>
      <c r="T30" s="35"/>
      <c r="U30" s="35"/>
      <c r="V30" s="35"/>
      <c r="W30" s="35"/>
      <c r="X30" s="35"/>
      <c r="Y30" s="35"/>
      <c r="AA30" s="35"/>
    </row>
    <row r="31" spans="1:27">
      <c r="E31" s="35"/>
      <c r="F31" s="35"/>
      <c r="G31" s="35"/>
      <c r="H31" s="35"/>
      <c r="I31" s="35"/>
      <c r="J31" s="35"/>
      <c r="K31" s="35"/>
      <c r="L31" s="35"/>
      <c r="M31" s="35"/>
      <c r="N31" s="35"/>
      <c r="O31" s="35"/>
      <c r="P31" s="35"/>
      <c r="Q31" s="35"/>
      <c r="R31" s="35"/>
      <c r="S31" s="35"/>
      <c r="T31" s="35"/>
      <c r="U31" s="35"/>
      <c r="V31" s="35"/>
      <c r="W31" s="35"/>
      <c r="X31" s="35"/>
      <c r="Y31" s="35"/>
    </row>
    <row r="32" spans="1:27">
      <c r="E32" s="35">
        <f t="shared" ref="E32:X32" si="7">SUM(E29:E30)</f>
        <v>91.534575810127961</v>
      </c>
      <c r="F32" s="35">
        <f t="shared" si="7"/>
        <v>195.06300338513134</v>
      </c>
      <c r="G32" s="35">
        <f t="shared" si="7"/>
        <v>309.58157922506808</v>
      </c>
      <c r="H32" s="35">
        <f t="shared" si="7"/>
        <v>439.55172851196335</v>
      </c>
      <c r="I32" s="35">
        <f t="shared" si="7"/>
        <v>583.18036562811005</v>
      </c>
      <c r="J32" s="35">
        <f t="shared" si="7"/>
        <v>728.80827304152922</v>
      </c>
      <c r="K32" s="35">
        <f t="shared" si="7"/>
        <v>893.16236662696906</v>
      </c>
      <c r="L32" s="35">
        <f t="shared" si="7"/>
        <v>1076.6281719983062</v>
      </c>
      <c r="M32" s="35">
        <f t="shared" si="7"/>
        <v>1240.6206795655701</v>
      </c>
      <c r="N32" s="35">
        <f t="shared" si="7"/>
        <v>1415.8526754339941</v>
      </c>
      <c r="O32" s="35">
        <f t="shared" si="7"/>
        <v>1545.1071243182187</v>
      </c>
      <c r="P32" s="35">
        <f t="shared" si="7"/>
        <v>1606.136892923922</v>
      </c>
      <c r="Q32" s="35">
        <f t="shared" si="7"/>
        <v>1610.6962386921134</v>
      </c>
      <c r="R32" s="35">
        <f t="shared" si="7"/>
        <v>1636.5077845289318</v>
      </c>
      <c r="S32" s="35">
        <f t="shared" si="7"/>
        <v>1666.081285708779</v>
      </c>
      <c r="T32" s="35">
        <f t="shared" si="7"/>
        <v>1662.6403945691786</v>
      </c>
      <c r="U32" s="35">
        <f t="shared" si="7"/>
        <v>1608.6330401707503</v>
      </c>
      <c r="V32" s="35">
        <f t="shared" si="7"/>
        <v>1606.0966067899712</v>
      </c>
      <c r="W32" s="35">
        <f t="shared" si="7"/>
        <v>1610.2110672966844</v>
      </c>
      <c r="X32" s="35">
        <f t="shared" si="7"/>
        <v>1621.146901441469</v>
      </c>
      <c r="Y32" s="35"/>
      <c r="AA32" s="35">
        <f>SUM(E32:Y32)</f>
        <v>23147.240755666789</v>
      </c>
    </row>
    <row r="34" spans="1:80">
      <c r="AA34"/>
      <c r="AB34"/>
      <c r="AC34"/>
      <c r="AD34"/>
    </row>
    <row r="35" spans="1:80" ht="15">
      <c r="A35" s="55" t="s">
        <v>62</v>
      </c>
      <c r="C35" s="64" t="str">
        <f>C8</f>
        <v>DHP</v>
      </c>
      <c r="D35" s="64"/>
      <c r="E35" s="7" t="s">
        <v>157</v>
      </c>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row>
    <row r="36" spans="1:80" ht="15">
      <c r="A36" s="64" t="s">
        <v>63</v>
      </c>
      <c r="B36" s="64" t="s">
        <v>810</v>
      </c>
      <c r="C36" s="64">
        <v>1</v>
      </c>
      <c r="D36" s="64"/>
      <c r="E36" s="58">
        <f t="shared" ref="E36:X36" si="8">E11</f>
        <v>2016</v>
      </c>
      <c r="F36" s="59">
        <f t="shared" si="8"/>
        <v>2017</v>
      </c>
      <c r="G36" s="59">
        <f t="shared" si="8"/>
        <v>2018</v>
      </c>
      <c r="H36" s="59">
        <f t="shared" si="8"/>
        <v>2019</v>
      </c>
      <c r="I36" s="59">
        <f t="shared" si="8"/>
        <v>2020</v>
      </c>
      <c r="J36" s="59">
        <f t="shared" si="8"/>
        <v>2021</v>
      </c>
      <c r="K36" s="59">
        <f t="shared" si="8"/>
        <v>2022</v>
      </c>
      <c r="L36" s="59">
        <f t="shared" si="8"/>
        <v>2023</v>
      </c>
      <c r="M36" s="59">
        <f t="shared" si="8"/>
        <v>2024</v>
      </c>
      <c r="N36" s="59">
        <f t="shared" si="8"/>
        <v>2025</v>
      </c>
      <c r="O36" s="59">
        <f t="shared" si="8"/>
        <v>2026</v>
      </c>
      <c r="P36" s="59">
        <f t="shared" si="8"/>
        <v>2027</v>
      </c>
      <c r="Q36" s="59">
        <f t="shared" si="8"/>
        <v>2028</v>
      </c>
      <c r="R36" s="59">
        <f t="shared" si="8"/>
        <v>2029</v>
      </c>
      <c r="S36" s="59">
        <f t="shared" si="8"/>
        <v>2030</v>
      </c>
      <c r="T36" s="59">
        <f t="shared" si="8"/>
        <v>2031</v>
      </c>
      <c r="U36" s="59">
        <f t="shared" si="8"/>
        <v>2032</v>
      </c>
      <c r="V36" s="59">
        <f t="shared" si="8"/>
        <v>2033</v>
      </c>
      <c r="W36" s="59">
        <f t="shared" si="8"/>
        <v>2034</v>
      </c>
      <c r="X36" s="59">
        <f t="shared" si="8"/>
        <v>2035</v>
      </c>
      <c r="Y36" s="60" t="s">
        <v>60</v>
      </c>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row>
    <row r="37" spans="1:80" ht="15">
      <c r="A37" s="64" t="s">
        <v>46</v>
      </c>
      <c r="B37" s="64" t="s">
        <v>64</v>
      </c>
      <c r="C37" s="64" t="s">
        <v>65</v>
      </c>
      <c r="D37" s="64" t="s">
        <v>66</v>
      </c>
      <c r="E37" s="61" t="str">
        <f>CONCATENATE("aMW_",E$11)</f>
        <v>aMW_2016</v>
      </c>
      <c r="F37" s="62" t="str">
        <f t="shared" ref="F37:X37" si="9">CONCATENATE("aMW_",F$11)</f>
        <v>aMW_2017</v>
      </c>
      <c r="G37" s="62" t="str">
        <f t="shared" si="9"/>
        <v>aMW_2018</v>
      </c>
      <c r="H37" s="62" t="str">
        <f t="shared" si="9"/>
        <v>aMW_2019</v>
      </c>
      <c r="I37" s="62" t="str">
        <f t="shared" si="9"/>
        <v>aMW_2020</v>
      </c>
      <c r="J37" s="62" t="str">
        <f t="shared" si="9"/>
        <v>aMW_2021</v>
      </c>
      <c r="K37" s="62" t="str">
        <f t="shared" si="9"/>
        <v>aMW_2022</v>
      </c>
      <c r="L37" s="62" t="str">
        <f t="shared" si="9"/>
        <v>aMW_2023</v>
      </c>
      <c r="M37" s="62" t="str">
        <f t="shared" si="9"/>
        <v>aMW_2024</v>
      </c>
      <c r="N37" s="62" t="str">
        <f t="shared" si="9"/>
        <v>aMW_2025</v>
      </c>
      <c r="O37" s="62" t="str">
        <f t="shared" si="9"/>
        <v>aMW_2026</v>
      </c>
      <c r="P37" s="62" t="str">
        <f t="shared" si="9"/>
        <v>aMW_2027</v>
      </c>
      <c r="Q37" s="62" t="str">
        <f t="shared" si="9"/>
        <v>aMW_2028</v>
      </c>
      <c r="R37" s="62" t="str">
        <f t="shared" si="9"/>
        <v>aMW_2029</v>
      </c>
      <c r="S37" s="62" t="str">
        <f t="shared" si="9"/>
        <v>aMW_2030</v>
      </c>
      <c r="T37" s="62" t="str">
        <f t="shared" si="9"/>
        <v>aMW_2031</v>
      </c>
      <c r="U37" s="62" t="str">
        <f t="shared" si="9"/>
        <v>aMW_2032</v>
      </c>
      <c r="V37" s="62" t="str">
        <f t="shared" si="9"/>
        <v>aMW_2033</v>
      </c>
      <c r="W37" s="62" t="str">
        <f t="shared" si="9"/>
        <v>aMW_2034</v>
      </c>
      <c r="X37" s="62" t="str">
        <f t="shared" si="9"/>
        <v>aMW_2035</v>
      </c>
      <c r="Y37" s="63" t="s">
        <v>60</v>
      </c>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row>
    <row r="38" spans="1:80">
      <c r="A38" s="57">
        <f>VLOOKUP($D38,MeasureOutput,3,FALSE)</f>
        <v>2940.9032029199307</v>
      </c>
      <c r="B38" s="57">
        <f t="shared" ref="B38" si="10">VLOOKUP($D38,MeasureOutput,11,FALSE)</f>
        <v>94.480855798810595</v>
      </c>
      <c r="C38" s="7" t="s">
        <v>49</v>
      </c>
      <c r="D38" s="7" t="s">
        <v>803</v>
      </c>
      <c r="E38" s="29">
        <f>VLOOKUP($C38,$D$29:$Z$29,E$27,FALSE)*$C$36*$A38/8760/1000</f>
        <v>3.0729946024877001E-2</v>
      </c>
      <c r="F38" s="29">
        <f t="shared" ref="F38:X38" si="11">VLOOKUP($C38,$D$29:$Z$29,F$27,FALSE)*$C$36*$A38/8760/1000</f>
        <v>6.5486462491611191E-2</v>
      </c>
      <c r="G38" s="29">
        <f t="shared" si="11"/>
        <v>0.10393258651917957</v>
      </c>
      <c r="H38" s="29">
        <f t="shared" si="11"/>
        <v>0.14756610573399828</v>
      </c>
      <c r="I38" s="29">
        <f t="shared" si="11"/>
        <v>0.19578504625065354</v>
      </c>
      <c r="J38" s="29">
        <f t="shared" si="11"/>
        <v>0.24467518087926673</v>
      </c>
      <c r="K38" s="29">
        <f t="shared" si="11"/>
        <v>0.29985206218502269</v>
      </c>
      <c r="L38" s="29">
        <f t="shared" si="11"/>
        <v>0.36144511865110146</v>
      </c>
      <c r="M38" s="29">
        <f t="shared" si="11"/>
        <v>0.41650060846382264</v>
      </c>
      <c r="N38" s="29">
        <f t="shared" si="11"/>
        <v>0.47532941416056923</v>
      </c>
      <c r="O38" s="29">
        <f t="shared" si="11"/>
        <v>0.51872265876276857</v>
      </c>
      <c r="P38" s="29">
        <f t="shared" si="11"/>
        <v>0.53921154483194378</v>
      </c>
      <c r="Q38" s="29">
        <f t="shared" si="11"/>
        <v>0.54074220631286762</v>
      </c>
      <c r="R38" s="29">
        <f t="shared" si="11"/>
        <v>0.549407646703714</v>
      </c>
      <c r="S38" s="29">
        <f t="shared" si="11"/>
        <v>0.55933604902578815</v>
      </c>
      <c r="T38" s="29">
        <f t="shared" si="11"/>
        <v>0.55818087462243771</v>
      </c>
      <c r="U38" s="29">
        <f t="shared" si="11"/>
        <v>0.54004955024668777</v>
      </c>
      <c r="V38" s="29">
        <f t="shared" si="11"/>
        <v>0.53919801998943595</v>
      </c>
      <c r="W38" s="29">
        <f t="shared" si="11"/>
        <v>0.54057932479337201</v>
      </c>
      <c r="X38" s="29">
        <f t="shared" si="11"/>
        <v>0.54425069804257287</v>
      </c>
      <c r="Y38" s="29">
        <f>SUM(E38:X38)</f>
        <v>7.7709811046916908</v>
      </c>
      <c r="AA38" s="35">
        <f>SUM(E38:X38)</f>
        <v>7.7709811046916908</v>
      </c>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row>
    <row r="39" spans="1:80">
      <c r="A39" s="57"/>
      <c r="B39" s="57"/>
      <c r="E39" s="29"/>
      <c r="F39" s="29"/>
      <c r="G39" s="29"/>
      <c r="H39" s="29"/>
      <c r="I39" s="29"/>
      <c r="J39" s="29"/>
      <c r="K39" s="29"/>
      <c r="L39" s="29"/>
      <c r="M39" s="29"/>
      <c r="N39" s="29"/>
      <c r="O39" s="29"/>
      <c r="P39" s="29"/>
      <c r="Q39" s="29"/>
      <c r="R39" s="29"/>
      <c r="S39" s="29"/>
      <c r="T39" s="29"/>
      <c r="U39" s="29"/>
      <c r="V39" s="29"/>
      <c r="W39" s="29"/>
      <c r="X39" s="29"/>
      <c r="Y39" s="29"/>
      <c r="AA39" s="35"/>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row>
    <row r="40" spans="1:80">
      <c r="A40" s="57"/>
      <c r="B40" s="57"/>
      <c r="E40" s="29"/>
      <c r="F40" s="29"/>
      <c r="G40" s="29"/>
      <c r="H40" s="29"/>
      <c r="I40" s="29"/>
      <c r="J40" s="29"/>
      <c r="K40" s="29"/>
      <c r="L40" s="29"/>
      <c r="M40" s="29"/>
      <c r="N40" s="29"/>
      <c r="O40" s="29"/>
      <c r="P40" s="29"/>
      <c r="Q40" s="29"/>
      <c r="R40" s="29"/>
      <c r="S40" s="29"/>
      <c r="T40" s="29"/>
      <c r="U40" s="29"/>
      <c r="V40" s="29"/>
      <c r="W40" s="29"/>
      <c r="X40" s="29"/>
      <c r="Y40" s="29"/>
      <c r="AA40" s="35"/>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row>
    <row r="41" spans="1:80">
      <c r="A41" s="57"/>
      <c r="B41" s="57"/>
      <c r="E41" s="29"/>
      <c r="F41" s="29"/>
      <c r="G41" s="29"/>
      <c r="H41" s="29"/>
      <c r="I41" s="29"/>
      <c r="J41" s="29"/>
      <c r="K41" s="29"/>
      <c r="L41" s="29"/>
      <c r="M41" s="29"/>
      <c r="N41" s="29"/>
      <c r="O41" s="29"/>
      <c r="P41" s="29"/>
      <c r="Q41" s="29"/>
      <c r="R41" s="29"/>
      <c r="S41" s="29"/>
      <c r="T41" s="29"/>
      <c r="U41" s="29"/>
      <c r="V41" s="29"/>
      <c r="W41" s="29"/>
      <c r="X41" s="29"/>
      <c r="Y41" s="29"/>
      <c r="AA41" s="35"/>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row>
    <row r="42" spans="1:80">
      <c r="A42" s="57"/>
      <c r="B42" s="57"/>
      <c r="E42" s="29"/>
      <c r="F42" s="29"/>
      <c r="G42" s="29"/>
      <c r="H42" s="29"/>
      <c r="I42" s="29"/>
      <c r="J42" s="29"/>
      <c r="K42" s="29"/>
      <c r="L42" s="29"/>
      <c r="M42" s="29"/>
      <c r="N42" s="29"/>
      <c r="O42" s="29"/>
      <c r="P42" s="29"/>
      <c r="Q42" s="29"/>
      <c r="R42" s="29"/>
      <c r="S42" s="29"/>
      <c r="T42" s="29"/>
      <c r="U42" s="29"/>
      <c r="V42" s="29"/>
      <c r="W42" s="29"/>
      <c r="X42" s="29"/>
      <c r="Y42" s="29"/>
      <c r="AA42" s="35"/>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row>
    <row r="43" spans="1:80">
      <c r="A43" s="57"/>
      <c r="B43" s="57"/>
      <c r="E43" s="29"/>
      <c r="F43" s="29"/>
      <c r="G43" s="29"/>
      <c r="H43" s="29"/>
      <c r="I43" s="29"/>
      <c r="J43" s="29"/>
      <c r="K43" s="29"/>
      <c r="L43" s="29"/>
      <c r="M43" s="29"/>
      <c r="N43" s="29"/>
      <c r="O43" s="29"/>
      <c r="P43" s="29"/>
      <c r="Q43" s="29"/>
      <c r="R43" s="29"/>
      <c r="S43" s="29"/>
      <c r="T43" s="29"/>
      <c r="U43" s="29"/>
      <c r="V43" s="29"/>
      <c r="W43" s="29"/>
      <c r="X43" s="29"/>
      <c r="Y43" s="29"/>
      <c r="AA43" s="35"/>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row>
    <row r="44" spans="1:80">
      <c r="AA44" s="35"/>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row>
    <row r="45" spans="1:80">
      <c r="B45" s="67">
        <f>SUMPRODUCT(B38:B43,AA38:AA43)/SUM(AA38:AA43)</f>
        <v>94.480855798810595</v>
      </c>
      <c r="E45" s="29">
        <f t="shared" ref="E45:Y45" si="12">SUM(E38:E43)</f>
        <v>3.0729946024877001E-2</v>
      </c>
      <c r="F45" s="29">
        <f t="shared" si="12"/>
        <v>6.5486462491611191E-2</v>
      </c>
      <c r="G45" s="29">
        <f t="shared" si="12"/>
        <v>0.10393258651917957</v>
      </c>
      <c r="H45" s="29">
        <f t="shared" si="12"/>
        <v>0.14756610573399828</v>
      </c>
      <c r="I45" s="29">
        <f t="shared" si="12"/>
        <v>0.19578504625065354</v>
      </c>
      <c r="J45" s="29">
        <f t="shared" si="12"/>
        <v>0.24467518087926673</v>
      </c>
      <c r="K45" s="29">
        <f t="shared" si="12"/>
        <v>0.29985206218502269</v>
      </c>
      <c r="L45" s="29">
        <f t="shared" si="12"/>
        <v>0.36144511865110146</v>
      </c>
      <c r="M45" s="29">
        <f t="shared" si="12"/>
        <v>0.41650060846382264</v>
      </c>
      <c r="N45" s="29">
        <f t="shared" si="12"/>
        <v>0.47532941416056923</v>
      </c>
      <c r="O45" s="29">
        <f t="shared" si="12"/>
        <v>0.51872265876276857</v>
      </c>
      <c r="P45" s="29">
        <f t="shared" si="12"/>
        <v>0.53921154483194378</v>
      </c>
      <c r="Q45" s="29">
        <f t="shared" si="12"/>
        <v>0.54074220631286762</v>
      </c>
      <c r="R45" s="29">
        <f t="shared" si="12"/>
        <v>0.549407646703714</v>
      </c>
      <c r="S45" s="29">
        <f t="shared" si="12"/>
        <v>0.55933604902578815</v>
      </c>
      <c r="T45" s="29">
        <f t="shared" si="12"/>
        <v>0.55818087462243771</v>
      </c>
      <c r="U45" s="29">
        <f t="shared" si="12"/>
        <v>0.54004955024668777</v>
      </c>
      <c r="V45" s="29">
        <f t="shared" si="12"/>
        <v>0.53919801998943595</v>
      </c>
      <c r="W45" s="29">
        <f t="shared" si="12"/>
        <v>0.54057932479337201</v>
      </c>
      <c r="X45" s="29">
        <f t="shared" si="12"/>
        <v>0.54425069804257287</v>
      </c>
      <c r="Y45" s="29">
        <f t="shared" si="12"/>
        <v>7.7709811046916908</v>
      </c>
      <c r="AA45" s="35">
        <f t="shared" ref="AA45" si="13">SUM(E45:Y45)</f>
        <v>15.541962209383382</v>
      </c>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row>
    <row r="46" spans="1:80">
      <c r="E46" s="29">
        <f>E45</f>
        <v>3.0729946024877001E-2</v>
      </c>
      <c r="F46" s="29">
        <f>F45+E46</f>
        <v>9.6216408516488189E-2</v>
      </c>
      <c r="G46" s="29">
        <f t="shared" ref="G46:X46" si="14">G45+F46</f>
        <v>0.20014899503566774</v>
      </c>
      <c r="H46" s="29">
        <f t="shared" si="14"/>
        <v>0.34771510076966605</v>
      </c>
      <c r="I46" s="29">
        <f t="shared" si="14"/>
        <v>0.54350014702031957</v>
      </c>
      <c r="J46" s="29">
        <f t="shared" si="14"/>
        <v>0.78817532789958633</v>
      </c>
      <c r="K46" s="29">
        <f t="shared" si="14"/>
        <v>1.0880273900846089</v>
      </c>
      <c r="L46" s="29">
        <f t="shared" si="14"/>
        <v>1.4494725087357103</v>
      </c>
      <c r="M46" s="29">
        <f t="shared" si="14"/>
        <v>1.8659731171995331</v>
      </c>
      <c r="N46" s="29">
        <f t="shared" si="14"/>
        <v>2.3413025313601024</v>
      </c>
      <c r="O46" s="29">
        <f t="shared" si="14"/>
        <v>2.860025190122871</v>
      </c>
      <c r="P46" s="29">
        <f t="shared" si="14"/>
        <v>3.3992367349548149</v>
      </c>
      <c r="Q46" s="29">
        <f t="shared" si="14"/>
        <v>3.9399789412676824</v>
      </c>
      <c r="R46" s="29">
        <f t="shared" si="14"/>
        <v>4.4893865879713966</v>
      </c>
      <c r="S46" s="29">
        <f t="shared" si="14"/>
        <v>5.0487226369971845</v>
      </c>
      <c r="T46" s="29">
        <f t="shared" si="14"/>
        <v>5.6069035116196222</v>
      </c>
      <c r="U46" s="29">
        <f t="shared" si="14"/>
        <v>6.1469530618663102</v>
      </c>
      <c r="V46" s="29">
        <f t="shared" si="14"/>
        <v>6.6861510818557459</v>
      </c>
      <c r="W46" s="29">
        <f t="shared" si="14"/>
        <v>7.2267304066491178</v>
      </c>
      <c r="X46" s="29">
        <f t="shared" si="14"/>
        <v>7.7709811046916908</v>
      </c>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row>
    <row r="47" spans="1:80">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row>
    <row r="48" spans="1:80" ht="15">
      <c r="A48" s="55" t="s">
        <v>67</v>
      </c>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row>
    <row r="49" spans="2:80" ht="15">
      <c r="E49" s="58">
        <f t="shared" ref="E49:X49" si="15">E11</f>
        <v>2016</v>
      </c>
      <c r="F49" s="59">
        <f t="shared" si="15"/>
        <v>2017</v>
      </c>
      <c r="G49" s="59">
        <f t="shared" si="15"/>
        <v>2018</v>
      </c>
      <c r="H49" s="59">
        <f t="shared" si="15"/>
        <v>2019</v>
      </c>
      <c r="I49" s="59">
        <f t="shared" si="15"/>
        <v>2020</v>
      </c>
      <c r="J49" s="59">
        <f t="shared" si="15"/>
        <v>2021</v>
      </c>
      <c r="K49" s="59">
        <f t="shared" si="15"/>
        <v>2022</v>
      </c>
      <c r="L49" s="59">
        <f t="shared" si="15"/>
        <v>2023</v>
      </c>
      <c r="M49" s="59">
        <f t="shared" si="15"/>
        <v>2024</v>
      </c>
      <c r="N49" s="59">
        <f t="shared" si="15"/>
        <v>2025</v>
      </c>
      <c r="O49" s="59">
        <f t="shared" si="15"/>
        <v>2026</v>
      </c>
      <c r="P49" s="59">
        <f t="shared" si="15"/>
        <v>2027</v>
      </c>
      <c r="Q49" s="59">
        <f t="shared" si="15"/>
        <v>2028</v>
      </c>
      <c r="R49" s="59">
        <f t="shared" si="15"/>
        <v>2029</v>
      </c>
      <c r="S49" s="59">
        <f t="shared" si="15"/>
        <v>2030</v>
      </c>
      <c r="T49" s="59">
        <f t="shared" si="15"/>
        <v>2031</v>
      </c>
      <c r="U49" s="59">
        <f t="shared" si="15"/>
        <v>2032</v>
      </c>
      <c r="V49" s="59">
        <f t="shared" si="15"/>
        <v>2033</v>
      </c>
      <c r="W49" s="59">
        <f t="shared" si="15"/>
        <v>2034</v>
      </c>
      <c r="X49" s="59">
        <f t="shared" si="15"/>
        <v>2035</v>
      </c>
      <c r="Y49" s="60" t="s">
        <v>60</v>
      </c>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row>
    <row r="50" spans="2:80" ht="15">
      <c r="C50" s="49" t="s">
        <v>64</v>
      </c>
      <c r="D50" s="49" t="s">
        <v>64</v>
      </c>
      <c r="E50" s="61" t="str">
        <f>CONCATENATE("aMW_",E$11)</f>
        <v>aMW_2016</v>
      </c>
      <c r="F50" s="62" t="str">
        <f t="shared" ref="F50:X50" si="16">CONCATENATE("aMW_",F$11)</f>
        <v>aMW_2017</v>
      </c>
      <c r="G50" s="62" t="str">
        <f t="shared" si="16"/>
        <v>aMW_2018</v>
      </c>
      <c r="H50" s="62" t="str">
        <f t="shared" si="16"/>
        <v>aMW_2019</v>
      </c>
      <c r="I50" s="62" t="str">
        <f t="shared" si="16"/>
        <v>aMW_2020</v>
      </c>
      <c r="J50" s="62" t="str">
        <f t="shared" si="16"/>
        <v>aMW_2021</v>
      </c>
      <c r="K50" s="62" t="str">
        <f t="shared" si="16"/>
        <v>aMW_2022</v>
      </c>
      <c r="L50" s="62" t="str">
        <f t="shared" si="16"/>
        <v>aMW_2023</v>
      </c>
      <c r="M50" s="62" t="str">
        <f t="shared" si="16"/>
        <v>aMW_2024</v>
      </c>
      <c r="N50" s="62" t="str">
        <f t="shared" si="16"/>
        <v>aMW_2025</v>
      </c>
      <c r="O50" s="62" t="str">
        <f t="shared" si="16"/>
        <v>aMW_2026</v>
      </c>
      <c r="P50" s="62" t="str">
        <f t="shared" si="16"/>
        <v>aMW_2027</v>
      </c>
      <c r="Q50" s="62" t="str">
        <f t="shared" si="16"/>
        <v>aMW_2028</v>
      </c>
      <c r="R50" s="62" t="str">
        <f t="shared" si="16"/>
        <v>aMW_2029</v>
      </c>
      <c r="S50" s="62" t="str">
        <f t="shared" si="16"/>
        <v>aMW_2030</v>
      </c>
      <c r="T50" s="62" t="str">
        <f t="shared" si="16"/>
        <v>aMW_2031</v>
      </c>
      <c r="U50" s="62" t="str">
        <f t="shared" si="16"/>
        <v>aMW_2032</v>
      </c>
      <c r="V50" s="62" t="str">
        <f t="shared" si="16"/>
        <v>aMW_2033</v>
      </c>
      <c r="W50" s="62" t="str">
        <f t="shared" si="16"/>
        <v>aMW_2034</v>
      </c>
      <c r="X50" s="62" t="str">
        <f t="shared" si="16"/>
        <v>aMW_2035</v>
      </c>
      <c r="Y50" s="63" t="s">
        <v>60</v>
      </c>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row>
    <row r="51" spans="2:80">
      <c r="B51" s="7" t="s">
        <v>68</v>
      </c>
      <c r="C51" s="50" t="s">
        <v>69</v>
      </c>
      <c r="D51" s="50" t="s">
        <v>70</v>
      </c>
      <c r="E51" s="29">
        <f>DSUM($B$37:$X$43,E$37,$C$50:$D51)</f>
        <v>0</v>
      </c>
      <c r="F51" s="29">
        <f>DSUM($B$37:$X$43,F$37,$C$50:$D51)</f>
        <v>0</v>
      </c>
      <c r="G51" s="29">
        <f>DSUM($B$37:$X$43,G$37,$C$50:$D51)</f>
        <v>0</v>
      </c>
      <c r="H51" s="29">
        <f>DSUM($B$37:$X$43,H$37,$C$50:$D51)</f>
        <v>0</v>
      </c>
      <c r="I51" s="29">
        <f>DSUM($B$37:$X$43,I$37,$C$50:$D51)</f>
        <v>0</v>
      </c>
      <c r="J51" s="29">
        <f>DSUM($B$37:$X$43,J$37,$C$50:$D51)</f>
        <v>0</v>
      </c>
      <c r="K51" s="29">
        <f>DSUM($B$37:$X$43,K$37,$C$50:$D51)</f>
        <v>0</v>
      </c>
      <c r="L51" s="29">
        <f>DSUM($B$37:$X$43,L$37,$C$50:$D51)</f>
        <v>0</v>
      </c>
      <c r="M51" s="29">
        <f>DSUM($B$37:$X$43,M$37,$C$50:$D51)</f>
        <v>0</v>
      </c>
      <c r="N51" s="29">
        <f>DSUM($B$37:$X$43,N$37,$C$50:$D51)</f>
        <v>0</v>
      </c>
      <c r="O51" s="29">
        <f>DSUM($B$37:$X$43,O$37,$C$50:$D51)</f>
        <v>0</v>
      </c>
      <c r="P51" s="29">
        <f>DSUM($B$37:$X$43,P$37,$C$50:$D51)</f>
        <v>0</v>
      </c>
      <c r="Q51" s="29">
        <f>DSUM($B$37:$X$43,Q$37,$C$50:$D51)</f>
        <v>0</v>
      </c>
      <c r="R51" s="29">
        <f>DSUM($B$37:$X$43,R$37,$C$50:$D51)</f>
        <v>0</v>
      </c>
      <c r="S51" s="29">
        <f>DSUM($B$37:$X$43,S$37,$C$50:$D51)</f>
        <v>0</v>
      </c>
      <c r="T51" s="29">
        <f>DSUM($B$37:$X$43,T$37,$C$50:$D51)</f>
        <v>0</v>
      </c>
      <c r="U51" s="29">
        <f>DSUM($B$37:$X$43,U$37,$C$50:$D51)</f>
        <v>0</v>
      </c>
      <c r="V51" s="29">
        <f>DSUM($B$37:$X$43,V$37,$C$50:$D51)</f>
        <v>0</v>
      </c>
      <c r="W51" s="29">
        <f>DSUM($B$37:$X$43,W$37,$C$50:$D51)</f>
        <v>0</v>
      </c>
      <c r="X51" s="29">
        <f>DSUM($B$37:$Y$43,X$37,$C$50:$D51)</f>
        <v>0</v>
      </c>
      <c r="Y51" s="29">
        <f>DSUM($B$37:$Y$43,Y$37,$C$50:$D51)</f>
        <v>0</v>
      </c>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row>
    <row r="52" spans="2:80">
      <c r="B52" s="7" t="s">
        <v>544</v>
      </c>
      <c r="C52" s="50" t="s">
        <v>72</v>
      </c>
      <c r="D52" s="50" t="s">
        <v>73</v>
      </c>
      <c r="E52" s="29">
        <f>DSUM($B$37:$X$43,E$37,$C$50:$D52)</f>
        <v>0</v>
      </c>
      <c r="F52" s="29">
        <f>DSUM($B$37:$X$43,F$37,$C$50:$D52)</f>
        <v>0</v>
      </c>
      <c r="G52" s="29">
        <f>DSUM($B$37:$X$43,G$37,$C$50:$D52)</f>
        <v>0</v>
      </c>
      <c r="H52" s="29">
        <f>DSUM($B$37:$X$43,H$37,$C$50:$D52)</f>
        <v>0</v>
      </c>
      <c r="I52" s="29">
        <f>DSUM($B$37:$X$43,I$37,$C$50:$D52)</f>
        <v>0</v>
      </c>
      <c r="J52" s="29">
        <f>DSUM($B$37:$X$43,J$37,$C$50:$D52)</f>
        <v>0</v>
      </c>
      <c r="K52" s="29">
        <f>DSUM($B$37:$X$43,K$37,$C$50:$D52)</f>
        <v>0</v>
      </c>
      <c r="L52" s="29">
        <f>DSUM($B$37:$X$43,L$37,$C$50:$D52)</f>
        <v>0</v>
      </c>
      <c r="M52" s="29">
        <f>DSUM($B$37:$X$43,M$37,$C$50:$D52)</f>
        <v>0</v>
      </c>
      <c r="N52" s="29">
        <f>DSUM($B$37:$X$43,N$37,$C$50:$D52)</f>
        <v>0</v>
      </c>
      <c r="O52" s="29">
        <f>DSUM($B$37:$X$43,O$37,$C$50:$D52)</f>
        <v>0</v>
      </c>
      <c r="P52" s="29">
        <f>DSUM($B$37:$X$43,P$37,$C$50:$D52)</f>
        <v>0</v>
      </c>
      <c r="Q52" s="29">
        <f>DSUM($B$37:$X$43,Q$37,$C$50:$D52)</f>
        <v>0</v>
      </c>
      <c r="R52" s="29">
        <f>DSUM($B$37:$X$43,R$37,$C$50:$D52)</f>
        <v>0</v>
      </c>
      <c r="S52" s="29">
        <f>DSUM($B$37:$X$43,S$37,$C$50:$D52)</f>
        <v>0</v>
      </c>
      <c r="T52" s="29">
        <f>DSUM($B$37:$X$43,T$37,$C$50:$D52)</f>
        <v>0</v>
      </c>
      <c r="U52" s="29">
        <f>DSUM($B$37:$X$43,U$37,$C$50:$D52)</f>
        <v>0</v>
      </c>
      <c r="V52" s="29">
        <f>DSUM($B$37:$X$43,V$37,$C$50:$D52)</f>
        <v>0</v>
      </c>
      <c r="W52" s="29">
        <f>DSUM($B$37:$X$43,W$37,$C$50:$D52)</f>
        <v>0</v>
      </c>
      <c r="X52" s="29">
        <f>DSUM($B$37:$Y$43,X$37,$C$50:$D52)</f>
        <v>0</v>
      </c>
      <c r="Y52" s="29">
        <f>DSUM($B$37:$Y$43,Y$37,$C$50:$D52)</f>
        <v>0</v>
      </c>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row>
    <row r="53" spans="2:80">
      <c r="B53" s="7" t="s">
        <v>74</v>
      </c>
      <c r="C53" s="50" t="s">
        <v>75</v>
      </c>
      <c r="D53" s="50" t="s">
        <v>76</v>
      </c>
      <c r="E53" s="29">
        <f>DSUM($B$37:$X$43,E$37,$C$50:$D53)</f>
        <v>0</v>
      </c>
      <c r="F53" s="29">
        <f>DSUM($B$37:$X$43,F$37,$C$50:$D53)</f>
        <v>0</v>
      </c>
      <c r="G53" s="29">
        <f>DSUM($B$37:$X$43,G$37,$C$50:$D53)</f>
        <v>0</v>
      </c>
      <c r="H53" s="29">
        <f>DSUM($B$37:$X$43,H$37,$C$50:$D53)</f>
        <v>0</v>
      </c>
      <c r="I53" s="29">
        <f>DSUM($B$37:$X$43,I$37,$C$50:$D53)</f>
        <v>0</v>
      </c>
      <c r="J53" s="29">
        <f>DSUM($B$37:$X$43,J$37,$C$50:$D53)</f>
        <v>0</v>
      </c>
      <c r="K53" s="29">
        <f>DSUM($B$37:$X$43,K$37,$C$50:$D53)</f>
        <v>0</v>
      </c>
      <c r="L53" s="29">
        <f>DSUM($B$37:$X$43,L$37,$C$50:$D53)</f>
        <v>0</v>
      </c>
      <c r="M53" s="29">
        <f>DSUM($B$37:$X$43,M$37,$C$50:$D53)</f>
        <v>0</v>
      </c>
      <c r="N53" s="29">
        <f>DSUM($B$37:$X$43,N$37,$C$50:$D53)</f>
        <v>0</v>
      </c>
      <c r="O53" s="29">
        <f>DSUM($B$37:$X$43,O$37,$C$50:$D53)</f>
        <v>0</v>
      </c>
      <c r="P53" s="29">
        <f>DSUM($B$37:$X$43,P$37,$C$50:$D53)</f>
        <v>0</v>
      </c>
      <c r="Q53" s="29">
        <f>DSUM($B$37:$X$43,Q$37,$C$50:$D53)</f>
        <v>0</v>
      </c>
      <c r="R53" s="29">
        <f>DSUM($B$37:$X$43,R$37,$C$50:$D53)</f>
        <v>0</v>
      </c>
      <c r="S53" s="29">
        <f>DSUM($B$37:$X$43,S$37,$C$50:$D53)</f>
        <v>0</v>
      </c>
      <c r="T53" s="29">
        <f>DSUM($B$37:$X$43,T$37,$C$50:$D53)</f>
        <v>0</v>
      </c>
      <c r="U53" s="29">
        <f>DSUM($B$37:$X$43,U$37,$C$50:$D53)</f>
        <v>0</v>
      </c>
      <c r="V53" s="29">
        <f>DSUM($B$37:$X$43,V$37,$C$50:$D53)</f>
        <v>0</v>
      </c>
      <c r="W53" s="29">
        <f>DSUM($B$37:$X$43,W$37,$C$50:$D53)</f>
        <v>0</v>
      </c>
      <c r="X53" s="29">
        <f>DSUM($B$37:$Y$43,X$37,$C$50:$D53)</f>
        <v>0</v>
      </c>
      <c r="Y53" s="29">
        <f>DSUM($B$37:$Y$43,Y$37,$C$50:$D53)</f>
        <v>0</v>
      </c>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row>
    <row r="54" spans="2:80">
      <c r="B54" s="7" t="s">
        <v>77</v>
      </c>
      <c r="C54" s="50" t="s">
        <v>78</v>
      </c>
      <c r="D54" s="50" t="s">
        <v>79</v>
      </c>
      <c r="E54" s="29">
        <f>DSUM($B$37:$X$43,E$37,$C$50:$D54)</f>
        <v>0</v>
      </c>
      <c r="F54" s="29">
        <f>DSUM($B$37:$X$43,F$37,$C$50:$D54)</f>
        <v>0</v>
      </c>
      <c r="G54" s="29">
        <f>DSUM($B$37:$X$43,G$37,$C$50:$D54)</f>
        <v>0</v>
      </c>
      <c r="H54" s="29">
        <f>DSUM($B$37:$X$43,H$37,$C$50:$D54)</f>
        <v>0</v>
      </c>
      <c r="I54" s="29">
        <f>DSUM($B$37:$X$43,I$37,$C$50:$D54)</f>
        <v>0</v>
      </c>
      <c r="J54" s="29">
        <f>DSUM($B$37:$X$43,J$37,$C$50:$D54)</f>
        <v>0</v>
      </c>
      <c r="K54" s="29">
        <f>DSUM($B$37:$X$43,K$37,$C$50:$D54)</f>
        <v>0</v>
      </c>
      <c r="L54" s="29">
        <f>DSUM($B$37:$X$43,L$37,$C$50:$D54)</f>
        <v>0</v>
      </c>
      <c r="M54" s="29">
        <f>DSUM($B$37:$X$43,M$37,$C$50:$D54)</f>
        <v>0</v>
      </c>
      <c r="N54" s="29">
        <f>DSUM($B$37:$X$43,N$37,$C$50:$D54)</f>
        <v>0</v>
      </c>
      <c r="O54" s="29">
        <f>DSUM($B$37:$X$43,O$37,$C$50:$D54)</f>
        <v>0</v>
      </c>
      <c r="P54" s="29">
        <f>DSUM($B$37:$X$43,P$37,$C$50:$D54)</f>
        <v>0</v>
      </c>
      <c r="Q54" s="29">
        <f>DSUM($B$37:$X$43,Q$37,$C$50:$D54)</f>
        <v>0</v>
      </c>
      <c r="R54" s="29">
        <f>DSUM($B$37:$X$43,R$37,$C$50:$D54)</f>
        <v>0</v>
      </c>
      <c r="S54" s="29">
        <f>DSUM($B$37:$X$43,S$37,$C$50:$D54)</f>
        <v>0</v>
      </c>
      <c r="T54" s="29">
        <f>DSUM($B$37:$X$43,T$37,$C$50:$D54)</f>
        <v>0</v>
      </c>
      <c r="U54" s="29">
        <f>DSUM($B$37:$X$43,U$37,$C$50:$D54)</f>
        <v>0</v>
      </c>
      <c r="V54" s="29">
        <f>DSUM($B$37:$X$43,V$37,$C$50:$D54)</f>
        <v>0</v>
      </c>
      <c r="W54" s="29">
        <f>DSUM($B$37:$X$43,W$37,$C$50:$D54)</f>
        <v>0</v>
      </c>
      <c r="X54" s="29">
        <f>DSUM($B$37:$Y$43,X$37,$C$50:$D54)</f>
        <v>0</v>
      </c>
      <c r="Y54" s="29">
        <f>DSUM($B$37:$Y$43,Y$37,$C$50:$D54)</f>
        <v>0</v>
      </c>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row>
    <row r="55" spans="2:80">
      <c r="B55" s="7" t="s">
        <v>80</v>
      </c>
      <c r="C55" s="50" t="s">
        <v>81</v>
      </c>
      <c r="D55" s="50" t="s">
        <v>82</v>
      </c>
      <c r="E55" s="29">
        <f>DSUM($B$37:$X$43,E$37,$C$50:$D55)</f>
        <v>0</v>
      </c>
      <c r="F55" s="29">
        <f>DSUM($B$37:$X$43,F$37,$C$50:$D55)</f>
        <v>0</v>
      </c>
      <c r="G55" s="29">
        <f>DSUM($B$37:$X$43,G$37,$C$50:$D55)</f>
        <v>0</v>
      </c>
      <c r="H55" s="29">
        <f>DSUM($B$37:$X$43,H$37,$C$50:$D55)</f>
        <v>0</v>
      </c>
      <c r="I55" s="29">
        <f>DSUM($B$37:$X$43,I$37,$C$50:$D55)</f>
        <v>0</v>
      </c>
      <c r="J55" s="29">
        <f>DSUM($B$37:$X$43,J$37,$C$50:$D55)</f>
        <v>0</v>
      </c>
      <c r="K55" s="29">
        <f>DSUM($B$37:$X$43,K$37,$C$50:$D55)</f>
        <v>0</v>
      </c>
      <c r="L55" s="29">
        <f>DSUM($B$37:$X$43,L$37,$C$50:$D55)</f>
        <v>0</v>
      </c>
      <c r="M55" s="29">
        <f>DSUM($B$37:$X$43,M$37,$C$50:$D55)</f>
        <v>0</v>
      </c>
      <c r="N55" s="29">
        <f>DSUM($B$37:$X$43,N$37,$C$50:$D55)</f>
        <v>0</v>
      </c>
      <c r="O55" s="29">
        <f>DSUM($B$37:$X$43,O$37,$C$50:$D55)</f>
        <v>0</v>
      </c>
      <c r="P55" s="29">
        <f>DSUM($B$37:$X$43,P$37,$C$50:$D55)</f>
        <v>0</v>
      </c>
      <c r="Q55" s="29">
        <f>DSUM($B$37:$X$43,Q$37,$C$50:$D55)</f>
        <v>0</v>
      </c>
      <c r="R55" s="29">
        <f>DSUM($B$37:$X$43,R$37,$C$50:$D55)</f>
        <v>0</v>
      </c>
      <c r="S55" s="29">
        <f>DSUM($B$37:$X$43,S$37,$C$50:$D55)</f>
        <v>0</v>
      </c>
      <c r="T55" s="29">
        <f>DSUM($B$37:$X$43,T$37,$C$50:$D55)</f>
        <v>0</v>
      </c>
      <c r="U55" s="29">
        <f>DSUM($B$37:$X$43,U$37,$C$50:$D55)</f>
        <v>0</v>
      </c>
      <c r="V55" s="29">
        <f>DSUM($B$37:$X$43,V$37,$C$50:$D55)</f>
        <v>0</v>
      </c>
      <c r="W55" s="29">
        <f>DSUM($B$37:$X$43,W$37,$C$50:$D55)</f>
        <v>0</v>
      </c>
      <c r="X55" s="29">
        <f>DSUM($B$37:$Y$43,X$37,$C$50:$D55)</f>
        <v>0</v>
      </c>
      <c r="Y55" s="29">
        <f>DSUM($B$37:$Y$43,Y$37,$C$50:$D55)</f>
        <v>0</v>
      </c>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row>
    <row r="56" spans="2:80">
      <c r="B56" s="7" t="s">
        <v>83</v>
      </c>
      <c r="C56" s="50" t="s">
        <v>84</v>
      </c>
      <c r="D56" s="50" t="s">
        <v>85</v>
      </c>
      <c r="E56" s="29">
        <f>DSUM($B$37:$X$43,E$37,$C$50:$D56)</f>
        <v>0</v>
      </c>
      <c r="F56" s="29">
        <f>DSUM($B$37:$X$43,F$37,$C$50:$D56)</f>
        <v>0</v>
      </c>
      <c r="G56" s="29">
        <f>DSUM($B$37:$X$43,G$37,$C$50:$D56)</f>
        <v>0</v>
      </c>
      <c r="H56" s="29">
        <f>DSUM($B$37:$X$43,H$37,$C$50:$D56)</f>
        <v>0</v>
      </c>
      <c r="I56" s="29">
        <f>DSUM($B$37:$X$43,I$37,$C$50:$D56)</f>
        <v>0</v>
      </c>
      <c r="J56" s="29">
        <f>DSUM($B$37:$X$43,J$37,$C$50:$D56)</f>
        <v>0</v>
      </c>
      <c r="K56" s="29">
        <f>DSUM($B$37:$X$43,K$37,$C$50:$D56)</f>
        <v>0</v>
      </c>
      <c r="L56" s="29">
        <f>DSUM($B$37:$X$43,L$37,$C$50:$D56)</f>
        <v>0</v>
      </c>
      <c r="M56" s="29">
        <f>DSUM($B$37:$X$43,M$37,$C$50:$D56)</f>
        <v>0</v>
      </c>
      <c r="N56" s="29">
        <f>DSUM($B$37:$X$43,N$37,$C$50:$D56)</f>
        <v>0</v>
      </c>
      <c r="O56" s="29">
        <f>DSUM($B$37:$X$43,O$37,$C$50:$D56)</f>
        <v>0</v>
      </c>
      <c r="P56" s="29">
        <f>DSUM($B$37:$X$43,P$37,$C$50:$D56)</f>
        <v>0</v>
      </c>
      <c r="Q56" s="29">
        <f>DSUM($B$37:$X$43,Q$37,$C$50:$D56)</f>
        <v>0</v>
      </c>
      <c r="R56" s="29">
        <f>DSUM($B$37:$X$43,R$37,$C$50:$D56)</f>
        <v>0</v>
      </c>
      <c r="S56" s="29">
        <f>DSUM($B$37:$X$43,S$37,$C$50:$D56)</f>
        <v>0</v>
      </c>
      <c r="T56" s="29">
        <f>DSUM($B$37:$X$43,T$37,$C$50:$D56)</f>
        <v>0</v>
      </c>
      <c r="U56" s="29">
        <f>DSUM($B$37:$X$43,U$37,$C$50:$D56)</f>
        <v>0</v>
      </c>
      <c r="V56" s="29">
        <f>DSUM($B$37:$X$43,V$37,$C$50:$D56)</f>
        <v>0</v>
      </c>
      <c r="W56" s="29">
        <f>DSUM($B$37:$X$43,W$37,$C$50:$D56)</f>
        <v>0</v>
      </c>
      <c r="X56" s="29">
        <f>DSUM($B$37:$Y$43,X$37,$C$50:$D56)</f>
        <v>0</v>
      </c>
      <c r="Y56" s="29">
        <f>DSUM($B$37:$Y$43,Y$37,$C$50:$D56)</f>
        <v>0</v>
      </c>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row>
    <row r="57" spans="2:80">
      <c r="B57" s="7" t="s">
        <v>86</v>
      </c>
      <c r="C57" s="50" t="s">
        <v>87</v>
      </c>
      <c r="D57" s="50" t="s">
        <v>88</v>
      </c>
      <c r="E57" s="29">
        <f>DSUM($B$37:$X$43,E$37,$C$50:$D57)</f>
        <v>0</v>
      </c>
      <c r="F57" s="29">
        <f>DSUM($B$37:$X$43,F$37,$C$50:$D57)</f>
        <v>0</v>
      </c>
      <c r="G57" s="29">
        <f>DSUM($B$37:$X$43,G$37,$C$50:$D57)</f>
        <v>0</v>
      </c>
      <c r="H57" s="29">
        <f>DSUM($B$37:$X$43,H$37,$C$50:$D57)</f>
        <v>0</v>
      </c>
      <c r="I57" s="29">
        <f>DSUM($B$37:$X$43,I$37,$C$50:$D57)</f>
        <v>0</v>
      </c>
      <c r="J57" s="29">
        <f>DSUM($B$37:$X$43,J$37,$C$50:$D57)</f>
        <v>0</v>
      </c>
      <c r="K57" s="29">
        <f>DSUM($B$37:$X$43,K$37,$C$50:$D57)</f>
        <v>0</v>
      </c>
      <c r="L57" s="29">
        <f>DSUM($B$37:$X$43,L$37,$C$50:$D57)</f>
        <v>0</v>
      </c>
      <c r="M57" s="29">
        <f>DSUM($B$37:$X$43,M$37,$C$50:$D57)</f>
        <v>0</v>
      </c>
      <c r="N57" s="29">
        <f>DSUM($B$37:$X$43,N$37,$C$50:$D57)</f>
        <v>0</v>
      </c>
      <c r="O57" s="29">
        <f>DSUM($B$37:$X$43,O$37,$C$50:$D57)</f>
        <v>0</v>
      </c>
      <c r="P57" s="29">
        <f>DSUM($B$37:$X$43,P$37,$C$50:$D57)</f>
        <v>0</v>
      </c>
      <c r="Q57" s="29">
        <f>DSUM($B$37:$X$43,Q$37,$C$50:$D57)</f>
        <v>0</v>
      </c>
      <c r="R57" s="29">
        <f>DSUM($B$37:$X$43,R$37,$C$50:$D57)</f>
        <v>0</v>
      </c>
      <c r="S57" s="29">
        <f>DSUM($B$37:$X$43,S$37,$C$50:$D57)</f>
        <v>0</v>
      </c>
      <c r="T57" s="29">
        <f>DSUM($B$37:$X$43,T$37,$C$50:$D57)</f>
        <v>0</v>
      </c>
      <c r="U57" s="29">
        <f>DSUM($B$37:$X$43,U$37,$C$50:$D57)</f>
        <v>0</v>
      </c>
      <c r="V57" s="29">
        <f>DSUM($B$37:$X$43,V$37,$C$50:$D57)</f>
        <v>0</v>
      </c>
      <c r="W57" s="29">
        <f>DSUM($B$37:$X$43,W$37,$C$50:$D57)</f>
        <v>0</v>
      </c>
      <c r="X57" s="29">
        <f>DSUM($B$37:$Y$43,X$37,$C$50:$D57)</f>
        <v>0</v>
      </c>
      <c r="Y57" s="29">
        <f>DSUM($B$37:$Y$43,Y$37,$C$50:$D57)</f>
        <v>0</v>
      </c>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row>
    <row r="58" spans="2:80">
      <c r="B58" s="7" t="s">
        <v>89</v>
      </c>
      <c r="C58" s="50" t="s">
        <v>90</v>
      </c>
      <c r="D58" s="50" t="s">
        <v>91</v>
      </c>
      <c r="E58" s="29">
        <f>DSUM($B$37:$X$43,E$37,$C$50:$D58)</f>
        <v>0</v>
      </c>
      <c r="F58" s="29">
        <f>DSUM($B$37:$X$43,F$37,$C$50:$D58)</f>
        <v>0</v>
      </c>
      <c r="G58" s="29">
        <f>DSUM($B$37:$X$43,G$37,$C$50:$D58)</f>
        <v>0</v>
      </c>
      <c r="H58" s="29">
        <f>DSUM($B$37:$X$43,H$37,$C$50:$D58)</f>
        <v>0</v>
      </c>
      <c r="I58" s="29">
        <f>DSUM($B$37:$X$43,I$37,$C$50:$D58)</f>
        <v>0</v>
      </c>
      <c r="J58" s="29">
        <f>DSUM($B$37:$X$43,J$37,$C$50:$D58)</f>
        <v>0</v>
      </c>
      <c r="K58" s="29">
        <f>DSUM($B$37:$X$43,K$37,$C$50:$D58)</f>
        <v>0</v>
      </c>
      <c r="L58" s="29">
        <f>DSUM($B$37:$X$43,L$37,$C$50:$D58)</f>
        <v>0</v>
      </c>
      <c r="M58" s="29">
        <f>DSUM($B$37:$X$43,M$37,$C$50:$D58)</f>
        <v>0</v>
      </c>
      <c r="N58" s="29">
        <f>DSUM($B$37:$X$43,N$37,$C$50:$D58)</f>
        <v>0</v>
      </c>
      <c r="O58" s="29">
        <f>DSUM($B$37:$X$43,O$37,$C$50:$D58)</f>
        <v>0</v>
      </c>
      <c r="P58" s="29">
        <f>DSUM($B$37:$X$43,P$37,$C$50:$D58)</f>
        <v>0</v>
      </c>
      <c r="Q58" s="29">
        <f>DSUM($B$37:$X$43,Q$37,$C$50:$D58)</f>
        <v>0</v>
      </c>
      <c r="R58" s="29">
        <f>DSUM($B$37:$X$43,R$37,$C$50:$D58)</f>
        <v>0</v>
      </c>
      <c r="S58" s="29">
        <f>DSUM($B$37:$X$43,S$37,$C$50:$D58)</f>
        <v>0</v>
      </c>
      <c r="T58" s="29">
        <f>DSUM($B$37:$X$43,T$37,$C$50:$D58)</f>
        <v>0</v>
      </c>
      <c r="U58" s="29">
        <f>DSUM($B$37:$X$43,U$37,$C$50:$D58)</f>
        <v>0</v>
      </c>
      <c r="V58" s="29">
        <f>DSUM($B$37:$X$43,V$37,$C$50:$D58)</f>
        <v>0</v>
      </c>
      <c r="W58" s="29">
        <f>DSUM($B$37:$X$43,W$37,$C$50:$D58)</f>
        <v>0</v>
      </c>
      <c r="X58" s="29">
        <f>DSUM($B$37:$Y$43,X$37,$C$50:$D58)</f>
        <v>0</v>
      </c>
      <c r="Y58" s="29">
        <f>DSUM($B$37:$Y$43,Y$37,$C$50:$D58)</f>
        <v>0</v>
      </c>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row>
    <row r="59" spans="2:80">
      <c r="B59" s="7" t="s">
        <v>92</v>
      </c>
      <c r="C59" s="50" t="s">
        <v>93</v>
      </c>
      <c r="D59" s="50" t="s">
        <v>94</v>
      </c>
      <c r="E59" s="29">
        <f>DSUM($B$37:$X$43,E$37,$C$50:$D59)</f>
        <v>0</v>
      </c>
      <c r="F59" s="29">
        <f>DSUM($B$37:$X$43,F$37,$C$50:$D59)</f>
        <v>0</v>
      </c>
      <c r="G59" s="29">
        <f>DSUM($B$37:$X$43,G$37,$C$50:$D59)</f>
        <v>0</v>
      </c>
      <c r="H59" s="29">
        <f>DSUM($B$37:$X$43,H$37,$C$50:$D59)</f>
        <v>0</v>
      </c>
      <c r="I59" s="29">
        <f>DSUM($B$37:$X$43,I$37,$C$50:$D59)</f>
        <v>0</v>
      </c>
      <c r="J59" s="29">
        <f>DSUM($B$37:$X$43,J$37,$C$50:$D59)</f>
        <v>0</v>
      </c>
      <c r="K59" s="29">
        <f>DSUM($B$37:$X$43,K$37,$C$50:$D59)</f>
        <v>0</v>
      </c>
      <c r="L59" s="29">
        <f>DSUM($B$37:$X$43,L$37,$C$50:$D59)</f>
        <v>0</v>
      </c>
      <c r="M59" s="29">
        <f>DSUM($B$37:$X$43,M$37,$C$50:$D59)</f>
        <v>0</v>
      </c>
      <c r="N59" s="29">
        <f>DSUM($B$37:$X$43,N$37,$C$50:$D59)</f>
        <v>0</v>
      </c>
      <c r="O59" s="29">
        <f>DSUM($B$37:$X$43,O$37,$C$50:$D59)</f>
        <v>0</v>
      </c>
      <c r="P59" s="29">
        <f>DSUM($B$37:$X$43,P$37,$C$50:$D59)</f>
        <v>0</v>
      </c>
      <c r="Q59" s="29">
        <f>DSUM($B$37:$X$43,Q$37,$C$50:$D59)</f>
        <v>0</v>
      </c>
      <c r="R59" s="29">
        <f>DSUM($B$37:$X$43,R$37,$C$50:$D59)</f>
        <v>0</v>
      </c>
      <c r="S59" s="29">
        <f>DSUM($B$37:$X$43,S$37,$C$50:$D59)</f>
        <v>0</v>
      </c>
      <c r="T59" s="29">
        <f>DSUM($B$37:$X$43,T$37,$C$50:$D59)</f>
        <v>0</v>
      </c>
      <c r="U59" s="29">
        <f>DSUM($B$37:$X$43,U$37,$C$50:$D59)</f>
        <v>0</v>
      </c>
      <c r="V59" s="29">
        <f>DSUM($B$37:$X$43,V$37,$C$50:$D59)</f>
        <v>0</v>
      </c>
      <c r="W59" s="29">
        <f>DSUM($B$37:$X$43,W$37,$C$50:$D59)</f>
        <v>0</v>
      </c>
      <c r="X59" s="29">
        <f>DSUM($B$37:$Y$43,X$37,$C$50:$D59)</f>
        <v>0</v>
      </c>
      <c r="Y59" s="29">
        <f>DSUM($B$37:$Y$43,Y$37,$C$50:$D59)</f>
        <v>0</v>
      </c>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row>
    <row r="60" spans="2:80">
      <c r="B60" s="7" t="s">
        <v>95</v>
      </c>
      <c r="C60" s="50" t="s">
        <v>96</v>
      </c>
      <c r="D60" s="50" t="s">
        <v>97</v>
      </c>
      <c r="E60" s="29">
        <f>DSUM($B$37:$X$43,E$37,$C$50:$D60)</f>
        <v>0</v>
      </c>
      <c r="F60" s="29">
        <f>DSUM($B$37:$X$43,F$37,$C$50:$D60)</f>
        <v>0</v>
      </c>
      <c r="G60" s="29">
        <f>DSUM($B$37:$X$43,G$37,$C$50:$D60)</f>
        <v>0</v>
      </c>
      <c r="H60" s="29">
        <f>DSUM($B$37:$X$43,H$37,$C$50:$D60)</f>
        <v>0</v>
      </c>
      <c r="I60" s="29">
        <f>DSUM($B$37:$X$43,I$37,$C$50:$D60)</f>
        <v>0</v>
      </c>
      <c r="J60" s="29">
        <f>DSUM($B$37:$X$43,J$37,$C$50:$D60)</f>
        <v>0</v>
      </c>
      <c r="K60" s="29">
        <f>DSUM($B$37:$X$43,K$37,$C$50:$D60)</f>
        <v>0</v>
      </c>
      <c r="L60" s="29">
        <f>DSUM($B$37:$X$43,L$37,$C$50:$D60)</f>
        <v>0</v>
      </c>
      <c r="M60" s="29">
        <f>DSUM($B$37:$X$43,M$37,$C$50:$D60)</f>
        <v>0</v>
      </c>
      <c r="N60" s="29">
        <f>DSUM($B$37:$X$43,N$37,$C$50:$D60)</f>
        <v>0</v>
      </c>
      <c r="O60" s="29">
        <f>DSUM($B$37:$X$43,O$37,$C$50:$D60)</f>
        <v>0</v>
      </c>
      <c r="P60" s="29">
        <f>DSUM($B$37:$X$43,P$37,$C$50:$D60)</f>
        <v>0</v>
      </c>
      <c r="Q60" s="29">
        <f>DSUM($B$37:$X$43,Q$37,$C$50:$D60)</f>
        <v>0</v>
      </c>
      <c r="R60" s="29">
        <f>DSUM($B$37:$X$43,R$37,$C$50:$D60)</f>
        <v>0</v>
      </c>
      <c r="S60" s="29">
        <f>DSUM($B$37:$X$43,S$37,$C$50:$D60)</f>
        <v>0</v>
      </c>
      <c r="T60" s="29">
        <f>DSUM($B$37:$X$43,T$37,$C$50:$D60)</f>
        <v>0</v>
      </c>
      <c r="U60" s="29">
        <f>DSUM($B$37:$X$43,U$37,$C$50:$D60)</f>
        <v>0</v>
      </c>
      <c r="V60" s="29">
        <f>DSUM($B$37:$X$43,V$37,$C$50:$D60)</f>
        <v>0</v>
      </c>
      <c r="W60" s="29">
        <f>DSUM($B$37:$X$43,W$37,$C$50:$D60)</f>
        <v>0</v>
      </c>
      <c r="X60" s="29">
        <f>DSUM($B$37:$Y$43,X$37,$C$50:$D60)</f>
        <v>0</v>
      </c>
      <c r="Y60" s="29">
        <f>DSUM($B$37:$Y$43,Y$37,$C$50:$D60)</f>
        <v>0</v>
      </c>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row>
    <row r="61" spans="2:80">
      <c r="B61" s="7" t="s">
        <v>98</v>
      </c>
      <c r="C61" s="50" t="s">
        <v>99</v>
      </c>
      <c r="D61" s="50" t="s">
        <v>100</v>
      </c>
      <c r="E61" s="29">
        <f>DSUM($B$37:$X$43,E$37,$C$50:$D61)</f>
        <v>3.0729946024877001E-2</v>
      </c>
      <c r="F61" s="29">
        <f>DSUM($B$37:$X$43,F$37,$C$50:$D61)</f>
        <v>6.5486462491611191E-2</v>
      </c>
      <c r="G61" s="29">
        <f>DSUM($B$37:$X$43,G$37,$C$50:$D61)</f>
        <v>0.10393258651917957</v>
      </c>
      <c r="H61" s="29">
        <f>DSUM($B$37:$X$43,H$37,$C$50:$D61)</f>
        <v>0.14756610573399828</v>
      </c>
      <c r="I61" s="29">
        <f>DSUM($B$37:$X$43,I$37,$C$50:$D61)</f>
        <v>0.19578504625065354</v>
      </c>
      <c r="J61" s="29">
        <f>DSUM($B$37:$X$43,J$37,$C$50:$D61)</f>
        <v>0.24467518087926673</v>
      </c>
      <c r="K61" s="29">
        <f>DSUM($B$37:$X$43,K$37,$C$50:$D61)</f>
        <v>0.29985206218502269</v>
      </c>
      <c r="L61" s="29">
        <f>DSUM($B$37:$X$43,L$37,$C$50:$D61)</f>
        <v>0.36144511865110146</v>
      </c>
      <c r="M61" s="29">
        <f>DSUM($B$37:$X$43,M$37,$C$50:$D61)</f>
        <v>0.41650060846382264</v>
      </c>
      <c r="N61" s="29">
        <f>DSUM($B$37:$X$43,N$37,$C$50:$D61)</f>
        <v>0.47532941416056923</v>
      </c>
      <c r="O61" s="29">
        <f>DSUM($B$37:$X$43,O$37,$C$50:$D61)</f>
        <v>0.51872265876276857</v>
      </c>
      <c r="P61" s="29">
        <f>DSUM($B$37:$X$43,P$37,$C$50:$D61)</f>
        <v>0.53921154483194378</v>
      </c>
      <c r="Q61" s="29">
        <f>DSUM($B$37:$X$43,Q$37,$C$50:$D61)</f>
        <v>0.54074220631286762</v>
      </c>
      <c r="R61" s="29">
        <f>DSUM($B$37:$X$43,R$37,$C$50:$D61)</f>
        <v>0.549407646703714</v>
      </c>
      <c r="S61" s="29">
        <f>DSUM($B$37:$X$43,S$37,$C$50:$D61)</f>
        <v>0.55933604902578815</v>
      </c>
      <c r="T61" s="29">
        <f>DSUM($B$37:$X$43,T$37,$C$50:$D61)</f>
        <v>0.55818087462243771</v>
      </c>
      <c r="U61" s="29">
        <f>DSUM($B$37:$X$43,U$37,$C$50:$D61)</f>
        <v>0.54004955024668777</v>
      </c>
      <c r="V61" s="29">
        <f>DSUM($B$37:$X$43,V$37,$C$50:$D61)</f>
        <v>0.53919801998943595</v>
      </c>
      <c r="W61" s="29">
        <f>DSUM($B$37:$X$43,W$37,$C$50:$D61)</f>
        <v>0.54057932479337201</v>
      </c>
      <c r="X61" s="29">
        <f>DSUM($B$37:$Y$43,X$37,$C$50:$D61)</f>
        <v>0.54425069804257287</v>
      </c>
      <c r="Y61" s="29">
        <f>DSUM($B$37:$Y$43,Y$37,$C$50:$D61)</f>
        <v>7.7709811046916908</v>
      </c>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row>
    <row r="62" spans="2:80">
      <c r="B62" s="7" t="s">
        <v>101</v>
      </c>
      <c r="C62" s="50" t="s">
        <v>102</v>
      </c>
      <c r="D62" s="50" t="s">
        <v>103</v>
      </c>
      <c r="E62" s="29">
        <f>DSUM($B$37:$X$43,E$37,$C$50:$D62)</f>
        <v>3.0729946024877001E-2</v>
      </c>
      <c r="F62" s="29">
        <f>DSUM($B$37:$X$43,F$37,$C$50:$D62)</f>
        <v>6.5486462491611191E-2</v>
      </c>
      <c r="G62" s="29">
        <f>DSUM($B$37:$X$43,G$37,$C$50:$D62)</f>
        <v>0.10393258651917957</v>
      </c>
      <c r="H62" s="29">
        <f>DSUM($B$37:$X$43,H$37,$C$50:$D62)</f>
        <v>0.14756610573399828</v>
      </c>
      <c r="I62" s="29">
        <f>DSUM($B$37:$X$43,I$37,$C$50:$D62)</f>
        <v>0.19578504625065354</v>
      </c>
      <c r="J62" s="29">
        <f>DSUM($B$37:$X$43,J$37,$C$50:$D62)</f>
        <v>0.24467518087926673</v>
      </c>
      <c r="K62" s="29">
        <f>DSUM($B$37:$X$43,K$37,$C$50:$D62)</f>
        <v>0.29985206218502269</v>
      </c>
      <c r="L62" s="29">
        <f>DSUM($B$37:$X$43,L$37,$C$50:$D62)</f>
        <v>0.36144511865110146</v>
      </c>
      <c r="M62" s="29">
        <f>DSUM($B$37:$X$43,M$37,$C$50:$D62)</f>
        <v>0.41650060846382264</v>
      </c>
      <c r="N62" s="29">
        <f>DSUM($B$37:$X$43,N$37,$C$50:$D62)</f>
        <v>0.47532941416056923</v>
      </c>
      <c r="O62" s="29">
        <f>DSUM($B$37:$X$43,O$37,$C$50:$D62)</f>
        <v>0.51872265876276857</v>
      </c>
      <c r="P62" s="29">
        <f>DSUM($B$37:$X$43,P$37,$C$50:$D62)</f>
        <v>0.53921154483194378</v>
      </c>
      <c r="Q62" s="29">
        <f>DSUM($B$37:$X$43,Q$37,$C$50:$D62)</f>
        <v>0.54074220631286762</v>
      </c>
      <c r="R62" s="29">
        <f>DSUM($B$37:$X$43,R$37,$C$50:$D62)</f>
        <v>0.549407646703714</v>
      </c>
      <c r="S62" s="29">
        <f>DSUM($B$37:$X$43,S$37,$C$50:$D62)</f>
        <v>0.55933604902578815</v>
      </c>
      <c r="T62" s="29">
        <f>DSUM($B$37:$X$43,T$37,$C$50:$D62)</f>
        <v>0.55818087462243771</v>
      </c>
      <c r="U62" s="29">
        <f>DSUM($B$37:$X$43,U$37,$C$50:$D62)</f>
        <v>0.54004955024668777</v>
      </c>
      <c r="V62" s="29">
        <f>DSUM($B$37:$X$43,V$37,$C$50:$D62)</f>
        <v>0.53919801998943595</v>
      </c>
      <c r="W62" s="29">
        <f>DSUM($B$37:$X$43,W$37,$C$50:$D62)</f>
        <v>0.54057932479337201</v>
      </c>
      <c r="X62" s="29">
        <f>DSUM($B$37:$Y$43,X$37,$C$50:$D62)</f>
        <v>0.54425069804257287</v>
      </c>
      <c r="Y62" s="29">
        <f>DSUM($B$37:$Y$43,Y$37,$C$50:$D62)</f>
        <v>7.7709811046916908</v>
      </c>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row>
    <row r="63" spans="2:80">
      <c r="B63" s="7" t="s">
        <v>104</v>
      </c>
      <c r="C63" s="50" t="s">
        <v>105</v>
      </c>
      <c r="D63" s="50" t="s">
        <v>106</v>
      </c>
      <c r="E63" s="29">
        <f>DSUM($B$37:$X$43,E$37,$C$50:$D63)</f>
        <v>3.0729946024877001E-2</v>
      </c>
      <c r="F63" s="29">
        <f>DSUM($B$37:$X$43,F$37,$C$50:$D63)</f>
        <v>6.5486462491611191E-2</v>
      </c>
      <c r="G63" s="29">
        <f>DSUM($B$37:$X$43,G$37,$C$50:$D63)</f>
        <v>0.10393258651917957</v>
      </c>
      <c r="H63" s="29">
        <f>DSUM($B$37:$X$43,H$37,$C$50:$D63)</f>
        <v>0.14756610573399828</v>
      </c>
      <c r="I63" s="29">
        <f>DSUM($B$37:$X$43,I$37,$C$50:$D63)</f>
        <v>0.19578504625065354</v>
      </c>
      <c r="J63" s="29">
        <f>DSUM($B$37:$X$43,J$37,$C$50:$D63)</f>
        <v>0.24467518087926673</v>
      </c>
      <c r="K63" s="29">
        <f>DSUM($B$37:$X$43,K$37,$C$50:$D63)</f>
        <v>0.29985206218502269</v>
      </c>
      <c r="L63" s="29">
        <f>DSUM($B$37:$X$43,L$37,$C$50:$D63)</f>
        <v>0.36144511865110146</v>
      </c>
      <c r="M63" s="29">
        <f>DSUM($B$37:$X$43,M$37,$C$50:$D63)</f>
        <v>0.41650060846382264</v>
      </c>
      <c r="N63" s="29">
        <f>DSUM($B$37:$X$43,N$37,$C$50:$D63)</f>
        <v>0.47532941416056923</v>
      </c>
      <c r="O63" s="29">
        <f>DSUM($B$37:$X$43,O$37,$C$50:$D63)</f>
        <v>0.51872265876276857</v>
      </c>
      <c r="P63" s="29">
        <f>DSUM($B$37:$X$43,P$37,$C$50:$D63)</f>
        <v>0.53921154483194378</v>
      </c>
      <c r="Q63" s="29">
        <f>DSUM($B$37:$X$43,Q$37,$C$50:$D63)</f>
        <v>0.54074220631286762</v>
      </c>
      <c r="R63" s="29">
        <f>DSUM($B$37:$X$43,R$37,$C$50:$D63)</f>
        <v>0.549407646703714</v>
      </c>
      <c r="S63" s="29">
        <f>DSUM($B$37:$X$43,S$37,$C$50:$D63)</f>
        <v>0.55933604902578815</v>
      </c>
      <c r="T63" s="29">
        <f>DSUM($B$37:$X$43,T$37,$C$50:$D63)</f>
        <v>0.55818087462243771</v>
      </c>
      <c r="U63" s="29">
        <f>DSUM($B$37:$X$43,U$37,$C$50:$D63)</f>
        <v>0.54004955024668777</v>
      </c>
      <c r="V63" s="29">
        <f>DSUM($B$37:$X$43,V$37,$C$50:$D63)</f>
        <v>0.53919801998943595</v>
      </c>
      <c r="W63" s="29">
        <f>DSUM($B$37:$X$43,W$37,$C$50:$D63)</f>
        <v>0.54057932479337201</v>
      </c>
      <c r="X63" s="29">
        <f>DSUM($B$37:$Y$43,X$37,$C$50:$D63)</f>
        <v>0.54425069804257287</v>
      </c>
      <c r="Y63" s="29">
        <f>DSUM($B$37:$Y$43,Y$37,$C$50:$D63)</f>
        <v>7.7709811046916908</v>
      </c>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row>
    <row r="64" spans="2:80">
      <c r="B64" s="7" t="s">
        <v>107</v>
      </c>
      <c r="C64" s="50" t="s">
        <v>108</v>
      </c>
      <c r="D64" s="50" t="s">
        <v>109</v>
      </c>
      <c r="E64" s="29">
        <f>DSUM($B$37:$X$43,E$37,$C$50:$D64)</f>
        <v>3.0729946024877001E-2</v>
      </c>
      <c r="F64" s="29">
        <f>DSUM($B$37:$X$43,F$37,$C$50:$D64)</f>
        <v>6.5486462491611191E-2</v>
      </c>
      <c r="G64" s="29">
        <f>DSUM($B$37:$X$43,G$37,$C$50:$D64)</f>
        <v>0.10393258651917957</v>
      </c>
      <c r="H64" s="29">
        <f>DSUM($B$37:$X$43,H$37,$C$50:$D64)</f>
        <v>0.14756610573399828</v>
      </c>
      <c r="I64" s="29">
        <f>DSUM($B$37:$X$43,I$37,$C$50:$D64)</f>
        <v>0.19578504625065354</v>
      </c>
      <c r="J64" s="29">
        <f>DSUM($B$37:$X$43,J$37,$C$50:$D64)</f>
        <v>0.24467518087926673</v>
      </c>
      <c r="K64" s="29">
        <f>DSUM($B$37:$X$43,K$37,$C$50:$D64)</f>
        <v>0.29985206218502269</v>
      </c>
      <c r="L64" s="29">
        <f>DSUM($B$37:$X$43,L$37,$C$50:$D64)</f>
        <v>0.36144511865110146</v>
      </c>
      <c r="M64" s="29">
        <f>DSUM($B$37:$X$43,M$37,$C$50:$D64)</f>
        <v>0.41650060846382264</v>
      </c>
      <c r="N64" s="29">
        <f>DSUM($B$37:$X$43,N$37,$C$50:$D64)</f>
        <v>0.47532941416056923</v>
      </c>
      <c r="O64" s="29">
        <f>DSUM($B$37:$X$43,O$37,$C$50:$D64)</f>
        <v>0.51872265876276857</v>
      </c>
      <c r="P64" s="29">
        <f>DSUM($B$37:$X$43,P$37,$C$50:$D64)</f>
        <v>0.53921154483194378</v>
      </c>
      <c r="Q64" s="29">
        <f>DSUM($B$37:$X$43,Q$37,$C$50:$D64)</f>
        <v>0.54074220631286762</v>
      </c>
      <c r="R64" s="29">
        <f>DSUM($B$37:$X$43,R$37,$C$50:$D64)</f>
        <v>0.549407646703714</v>
      </c>
      <c r="S64" s="29">
        <f>DSUM($B$37:$X$43,S$37,$C$50:$D64)</f>
        <v>0.55933604902578815</v>
      </c>
      <c r="T64" s="29">
        <f>DSUM($B$37:$X$43,T$37,$C$50:$D64)</f>
        <v>0.55818087462243771</v>
      </c>
      <c r="U64" s="29">
        <f>DSUM($B$37:$X$43,U$37,$C$50:$D64)</f>
        <v>0.54004955024668777</v>
      </c>
      <c r="V64" s="29">
        <f>DSUM($B$37:$X$43,V$37,$C$50:$D64)</f>
        <v>0.53919801998943595</v>
      </c>
      <c r="W64" s="29">
        <f>DSUM($B$37:$X$43,W$37,$C$50:$D64)</f>
        <v>0.54057932479337201</v>
      </c>
      <c r="X64" s="29">
        <f>DSUM($B$37:$Y$43,X$37,$C$50:$D64)</f>
        <v>0.54425069804257287</v>
      </c>
      <c r="Y64" s="29">
        <f>DSUM($B$37:$Y$43,Y$37,$C$50:$D64)</f>
        <v>7.7709811046916908</v>
      </c>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row>
    <row r="65" spans="2:80">
      <c r="B65" s="7" t="s">
        <v>110</v>
      </c>
      <c r="C65" s="50" t="s">
        <v>111</v>
      </c>
      <c r="D65" s="50" t="s">
        <v>112</v>
      </c>
      <c r="E65" s="29">
        <f>DSUM($B$37:$X$43,E$37,$C$50:$D65)</f>
        <v>3.0729946024877001E-2</v>
      </c>
      <c r="F65" s="29">
        <f>DSUM($B$37:$X$43,F$37,$C$50:$D65)</f>
        <v>6.5486462491611191E-2</v>
      </c>
      <c r="G65" s="29">
        <f>DSUM($B$37:$X$43,G$37,$C$50:$D65)</f>
        <v>0.10393258651917957</v>
      </c>
      <c r="H65" s="29">
        <f>DSUM($B$37:$X$43,H$37,$C$50:$D65)</f>
        <v>0.14756610573399828</v>
      </c>
      <c r="I65" s="29">
        <f>DSUM($B$37:$X$43,I$37,$C$50:$D65)</f>
        <v>0.19578504625065354</v>
      </c>
      <c r="J65" s="29">
        <f>DSUM($B$37:$X$43,J$37,$C$50:$D65)</f>
        <v>0.24467518087926673</v>
      </c>
      <c r="K65" s="29">
        <f>DSUM($B$37:$X$43,K$37,$C$50:$D65)</f>
        <v>0.29985206218502269</v>
      </c>
      <c r="L65" s="29">
        <f>DSUM($B$37:$X$43,L$37,$C$50:$D65)</f>
        <v>0.36144511865110146</v>
      </c>
      <c r="M65" s="29">
        <f>DSUM($B$37:$X$43,M$37,$C$50:$D65)</f>
        <v>0.41650060846382264</v>
      </c>
      <c r="N65" s="29">
        <f>DSUM($B$37:$X$43,N$37,$C$50:$D65)</f>
        <v>0.47532941416056923</v>
      </c>
      <c r="O65" s="29">
        <f>DSUM($B$37:$X$43,O$37,$C$50:$D65)</f>
        <v>0.51872265876276857</v>
      </c>
      <c r="P65" s="29">
        <f>DSUM($B$37:$X$43,P$37,$C$50:$D65)</f>
        <v>0.53921154483194378</v>
      </c>
      <c r="Q65" s="29">
        <f>DSUM($B$37:$X$43,Q$37,$C$50:$D65)</f>
        <v>0.54074220631286762</v>
      </c>
      <c r="R65" s="29">
        <f>DSUM($B$37:$X$43,R$37,$C$50:$D65)</f>
        <v>0.549407646703714</v>
      </c>
      <c r="S65" s="29">
        <f>DSUM($B$37:$X$43,S$37,$C$50:$D65)</f>
        <v>0.55933604902578815</v>
      </c>
      <c r="T65" s="29">
        <f>DSUM($B$37:$X$43,T$37,$C$50:$D65)</f>
        <v>0.55818087462243771</v>
      </c>
      <c r="U65" s="29">
        <f>DSUM($B$37:$X$43,U$37,$C$50:$D65)</f>
        <v>0.54004955024668777</v>
      </c>
      <c r="V65" s="29">
        <f>DSUM($B$37:$X$43,V$37,$C$50:$D65)</f>
        <v>0.53919801998943595</v>
      </c>
      <c r="W65" s="29">
        <f>DSUM($B$37:$X$43,W$37,$C$50:$D65)</f>
        <v>0.54057932479337201</v>
      </c>
      <c r="X65" s="29">
        <f>DSUM($B$37:$Y$43,X$37,$C$50:$D65)</f>
        <v>0.54425069804257287</v>
      </c>
      <c r="Y65" s="29">
        <f>DSUM($B$37:$Y$43,Y$37,$C$50:$D65)</f>
        <v>7.7709811046916908</v>
      </c>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row>
    <row r="66" spans="2:80">
      <c r="B66" s="7" t="s">
        <v>113</v>
      </c>
      <c r="C66" s="50" t="s">
        <v>114</v>
      </c>
      <c r="D66" s="50" t="s">
        <v>115</v>
      </c>
      <c r="E66" s="29">
        <f>DSUM($B$37:$X$43,E$37,$C$50:$D66)</f>
        <v>3.0729946024877001E-2</v>
      </c>
      <c r="F66" s="29">
        <f>DSUM($B$37:$X$43,F$37,$C$50:$D66)</f>
        <v>6.5486462491611191E-2</v>
      </c>
      <c r="G66" s="29">
        <f>DSUM($B$37:$X$43,G$37,$C$50:$D66)</f>
        <v>0.10393258651917957</v>
      </c>
      <c r="H66" s="29">
        <f>DSUM($B$37:$X$43,H$37,$C$50:$D66)</f>
        <v>0.14756610573399828</v>
      </c>
      <c r="I66" s="29">
        <f>DSUM($B$37:$X$43,I$37,$C$50:$D66)</f>
        <v>0.19578504625065354</v>
      </c>
      <c r="J66" s="29">
        <f>DSUM($B$37:$X$43,J$37,$C$50:$D66)</f>
        <v>0.24467518087926673</v>
      </c>
      <c r="K66" s="29">
        <f>DSUM($B$37:$X$43,K$37,$C$50:$D66)</f>
        <v>0.29985206218502269</v>
      </c>
      <c r="L66" s="29">
        <f>DSUM($B$37:$X$43,L$37,$C$50:$D66)</f>
        <v>0.36144511865110146</v>
      </c>
      <c r="M66" s="29">
        <f>DSUM($B$37:$X$43,M$37,$C$50:$D66)</f>
        <v>0.41650060846382264</v>
      </c>
      <c r="N66" s="29">
        <f>DSUM($B$37:$X$43,N$37,$C$50:$D66)</f>
        <v>0.47532941416056923</v>
      </c>
      <c r="O66" s="29">
        <f>DSUM($B$37:$X$43,O$37,$C$50:$D66)</f>
        <v>0.51872265876276857</v>
      </c>
      <c r="P66" s="29">
        <f>DSUM($B$37:$X$43,P$37,$C$50:$D66)</f>
        <v>0.53921154483194378</v>
      </c>
      <c r="Q66" s="29">
        <f>DSUM($B$37:$X$43,Q$37,$C$50:$D66)</f>
        <v>0.54074220631286762</v>
      </c>
      <c r="R66" s="29">
        <f>DSUM($B$37:$X$43,R$37,$C$50:$D66)</f>
        <v>0.549407646703714</v>
      </c>
      <c r="S66" s="29">
        <f>DSUM($B$37:$X$43,S$37,$C$50:$D66)</f>
        <v>0.55933604902578815</v>
      </c>
      <c r="T66" s="29">
        <f>DSUM($B$37:$X$43,T$37,$C$50:$D66)</f>
        <v>0.55818087462243771</v>
      </c>
      <c r="U66" s="29">
        <f>DSUM($B$37:$X$43,U$37,$C$50:$D66)</f>
        <v>0.54004955024668777</v>
      </c>
      <c r="V66" s="29">
        <f>DSUM($B$37:$X$43,V$37,$C$50:$D66)</f>
        <v>0.53919801998943595</v>
      </c>
      <c r="W66" s="29">
        <f>DSUM($B$37:$X$43,W$37,$C$50:$D66)</f>
        <v>0.54057932479337201</v>
      </c>
      <c r="X66" s="29">
        <f>DSUM($B$37:$Y$43,X$37,$C$50:$D66)</f>
        <v>0.54425069804257287</v>
      </c>
      <c r="Y66" s="29">
        <f>DSUM($B$37:$Y$43,Y$37,$C$50:$D66)</f>
        <v>7.7709811046916908</v>
      </c>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row>
    <row r="67" spans="2:80">
      <c r="B67" s="7" t="s">
        <v>116</v>
      </c>
      <c r="C67" s="50" t="s">
        <v>117</v>
      </c>
      <c r="D67" s="50" t="s">
        <v>118</v>
      </c>
      <c r="E67" s="29">
        <f>DSUM($B$37:$X$43,E$37,$C$50:$D67)</f>
        <v>3.0729946024877001E-2</v>
      </c>
      <c r="F67" s="29">
        <f>DSUM($B$37:$X$43,F$37,$C$50:$D67)</f>
        <v>6.5486462491611191E-2</v>
      </c>
      <c r="G67" s="29">
        <f>DSUM($B$37:$X$43,G$37,$C$50:$D67)</f>
        <v>0.10393258651917957</v>
      </c>
      <c r="H67" s="29">
        <f>DSUM($B$37:$X$43,H$37,$C$50:$D67)</f>
        <v>0.14756610573399828</v>
      </c>
      <c r="I67" s="29">
        <f>DSUM($B$37:$X$43,I$37,$C$50:$D67)</f>
        <v>0.19578504625065354</v>
      </c>
      <c r="J67" s="29">
        <f>DSUM($B$37:$X$43,J$37,$C$50:$D67)</f>
        <v>0.24467518087926673</v>
      </c>
      <c r="K67" s="29">
        <f>DSUM($B$37:$X$43,K$37,$C$50:$D67)</f>
        <v>0.29985206218502269</v>
      </c>
      <c r="L67" s="29">
        <f>DSUM($B$37:$X$43,L$37,$C$50:$D67)</f>
        <v>0.36144511865110146</v>
      </c>
      <c r="M67" s="29">
        <f>DSUM($B$37:$X$43,M$37,$C$50:$D67)</f>
        <v>0.41650060846382264</v>
      </c>
      <c r="N67" s="29">
        <f>DSUM($B$37:$X$43,N$37,$C$50:$D67)</f>
        <v>0.47532941416056923</v>
      </c>
      <c r="O67" s="29">
        <f>DSUM($B$37:$X$43,O$37,$C$50:$D67)</f>
        <v>0.51872265876276857</v>
      </c>
      <c r="P67" s="29">
        <f>DSUM($B$37:$X$43,P$37,$C$50:$D67)</f>
        <v>0.53921154483194378</v>
      </c>
      <c r="Q67" s="29">
        <f>DSUM($B$37:$X$43,Q$37,$C$50:$D67)</f>
        <v>0.54074220631286762</v>
      </c>
      <c r="R67" s="29">
        <f>DSUM($B$37:$X$43,R$37,$C$50:$D67)</f>
        <v>0.549407646703714</v>
      </c>
      <c r="S67" s="29">
        <f>DSUM($B$37:$X$43,S$37,$C$50:$D67)</f>
        <v>0.55933604902578815</v>
      </c>
      <c r="T67" s="29">
        <f>DSUM($B$37:$X$43,T$37,$C$50:$D67)</f>
        <v>0.55818087462243771</v>
      </c>
      <c r="U67" s="29">
        <f>DSUM($B$37:$X$43,U$37,$C$50:$D67)</f>
        <v>0.54004955024668777</v>
      </c>
      <c r="V67" s="29">
        <f>DSUM($B$37:$X$43,V$37,$C$50:$D67)</f>
        <v>0.53919801998943595</v>
      </c>
      <c r="W67" s="29">
        <f>DSUM($B$37:$X$43,W$37,$C$50:$D67)</f>
        <v>0.54057932479337201</v>
      </c>
      <c r="X67" s="29">
        <f>DSUM($B$37:$Y$43,X$37,$C$50:$D67)</f>
        <v>0.54425069804257287</v>
      </c>
      <c r="Y67" s="29">
        <f>DSUM($B$37:$Y$43,Y$37,$C$50:$D67)</f>
        <v>7.7709811046916908</v>
      </c>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row>
    <row r="68" spans="2:80">
      <c r="B68" s="7" t="s">
        <v>119</v>
      </c>
      <c r="C68" s="50" t="s">
        <v>120</v>
      </c>
      <c r="D68" s="50" t="s">
        <v>121</v>
      </c>
      <c r="E68" s="29">
        <f>DSUM($B$37:$X$43,E$37,$C$50:$D68)</f>
        <v>3.0729946024877001E-2</v>
      </c>
      <c r="F68" s="29">
        <f>DSUM($B$37:$X$43,F$37,$C$50:$D68)</f>
        <v>6.5486462491611191E-2</v>
      </c>
      <c r="G68" s="29">
        <f>DSUM($B$37:$X$43,G$37,$C$50:$D68)</f>
        <v>0.10393258651917957</v>
      </c>
      <c r="H68" s="29">
        <f>DSUM($B$37:$X$43,H$37,$C$50:$D68)</f>
        <v>0.14756610573399828</v>
      </c>
      <c r="I68" s="29">
        <f>DSUM($B$37:$X$43,I$37,$C$50:$D68)</f>
        <v>0.19578504625065354</v>
      </c>
      <c r="J68" s="29">
        <f>DSUM($B$37:$X$43,J$37,$C$50:$D68)</f>
        <v>0.24467518087926673</v>
      </c>
      <c r="K68" s="29">
        <f>DSUM($B$37:$X$43,K$37,$C$50:$D68)</f>
        <v>0.29985206218502269</v>
      </c>
      <c r="L68" s="29">
        <f>DSUM($B$37:$X$43,L$37,$C$50:$D68)</f>
        <v>0.36144511865110146</v>
      </c>
      <c r="M68" s="29">
        <f>DSUM($B$37:$X$43,M$37,$C$50:$D68)</f>
        <v>0.41650060846382264</v>
      </c>
      <c r="N68" s="29">
        <f>DSUM($B$37:$X$43,N$37,$C$50:$D68)</f>
        <v>0.47532941416056923</v>
      </c>
      <c r="O68" s="29">
        <f>DSUM($B$37:$X$43,O$37,$C$50:$D68)</f>
        <v>0.51872265876276857</v>
      </c>
      <c r="P68" s="29">
        <f>DSUM($B$37:$X$43,P$37,$C$50:$D68)</f>
        <v>0.53921154483194378</v>
      </c>
      <c r="Q68" s="29">
        <f>DSUM($B$37:$X$43,Q$37,$C$50:$D68)</f>
        <v>0.54074220631286762</v>
      </c>
      <c r="R68" s="29">
        <f>DSUM($B$37:$X$43,R$37,$C$50:$D68)</f>
        <v>0.549407646703714</v>
      </c>
      <c r="S68" s="29">
        <f>DSUM($B$37:$X$43,S$37,$C$50:$D68)</f>
        <v>0.55933604902578815</v>
      </c>
      <c r="T68" s="29">
        <f>DSUM($B$37:$X$43,T$37,$C$50:$D68)</f>
        <v>0.55818087462243771</v>
      </c>
      <c r="U68" s="29">
        <f>DSUM($B$37:$X$43,U$37,$C$50:$D68)</f>
        <v>0.54004955024668777</v>
      </c>
      <c r="V68" s="29">
        <f>DSUM($B$37:$X$43,V$37,$C$50:$D68)</f>
        <v>0.53919801998943595</v>
      </c>
      <c r="W68" s="29">
        <f>DSUM($B$37:$X$43,W$37,$C$50:$D68)</f>
        <v>0.54057932479337201</v>
      </c>
      <c r="X68" s="29">
        <f>DSUM($B$37:$Y$43,X$37,$C$50:$D68)</f>
        <v>0.54425069804257287</v>
      </c>
      <c r="Y68" s="29">
        <f>DSUM($B$37:$Y$43,Y$37,$C$50:$D68)</f>
        <v>7.7709811046916908</v>
      </c>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row>
    <row r="69" spans="2:80">
      <c r="B69" s="7" t="s">
        <v>122</v>
      </c>
      <c r="C69" s="50" t="s">
        <v>123</v>
      </c>
      <c r="D69" s="50" t="s">
        <v>124</v>
      </c>
      <c r="E69" s="29">
        <f>DSUM($B$37:$X$43,E$37,$C$50:$D69)</f>
        <v>3.0729946024877001E-2</v>
      </c>
      <c r="F69" s="29">
        <f>DSUM($B$37:$X$43,F$37,$C$50:$D69)</f>
        <v>6.5486462491611191E-2</v>
      </c>
      <c r="G69" s="29">
        <f>DSUM($B$37:$X$43,G$37,$C$50:$D69)</f>
        <v>0.10393258651917957</v>
      </c>
      <c r="H69" s="29">
        <f>DSUM($B$37:$X$43,H$37,$C$50:$D69)</f>
        <v>0.14756610573399828</v>
      </c>
      <c r="I69" s="29">
        <f>DSUM($B$37:$X$43,I$37,$C$50:$D69)</f>
        <v>0.19578504625065354</v>
      </c>
      <c r="J69" s="29">
        <f>DSUM($B$37:$X$43,J$37,$C$50:$D69)</f>
        <v>0.24467518087926673</v>
      </c>
      <c r="K69" s="29">
        <f>DSUM($B$37:$X$43,K$37,$C$50:$D69)</f>
        <v>0.29985206218502269</v>
      </c>
      <c r="L69" s="29">
        <f>DSUM($B$37:$X$43,L$37,$C$50:$D69)</f>
        <v>0.36144511865110146</v>
      </c>
      <c r="M69" s="29">
        <f>DSUM($B$37:$X$43,M$37,$C$50:$D69)</f>
        <v>0.41650060846382264</v>
      </c>
      <c r="N69" s="29">
        <f>DSUM($B$37:$X$43,N$37,$C$50:$D69)</f>
        <v>0.47532941416056923</v>
      </c>
      <c r="O69" s="29">
        <f>DSUM($B$37:$X$43,O$37,$C$50:$D69)</f>
        <v>0.51872265876276857</v>
      </c>
      <c r="P69" s="29">
        <f>DSUM($B$37:$X$43,P$37,$C$50:$D69)</f>
        <v>0.53921154483194378</v>
      </c>
      <c r="Q69" s="29">
        <f>DSUM($B$37:$X$43,Q$37,$C$50:$D69)</f>
        <v>0.54074220631286762</v>
      </c>
      <c r="R69" s="29">
        <f>DSUM($B$37:$X$43,R$37,$C$50:$D69)</f>
        <v>0.549407646703714</v>
      </c>
      <c r="S69" s="29">
        <f>DSUM($B$37:$X$43,S$37,$C$50:$D69)</f>
        <v>0.55933604902578815</v>
      </c>
      <c r="T69" s="29">
        <f>DSUM($B$37:$X$43,T$37,$C$50:$D69)</f>
        <v>0.55818087462243771</v>
      </c>
      <c r="U69" s="29">
        <f>DSUM($B$37:$X$43,U$37,$C$50:$D69)</f>
        <v>0.54004955024668777</v>
      </c>
      <c r="V69" s="29">
        <f>DSUM($B$37:$X$43,V$37,$C$50:$D69)</f>
        <v>0.53919801998943595</v>
      </c>
      <c r="W69" s="29">
        <f>DSUM($B$37:$X$43,W$37,$C$50:$D69)</f>
        <v>0.54057932479337201</v>
      </c>
      <c r="X69" s="29">
        <f>DSUM($B$37:$Y$43,X$37,$C$50:$D69)</f>
        <v>0.54425069804257287</v>
      </c>
      <c r="Y69" s="29">
        <f>DSUM($B$37:$Y$43,Y$37,$C$50:$D69)</f>
        <v>7.7709811046916908</v>
      </c>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row>
    <row r="70" spans="2:80">
      <c r="B70" s="7" t="s">
        <v>125</v>
      </c>
      <c r="C70" s="50" t="s">
        <v>126</v>
      </c>
      <c r="D70" s="50" t="s">
        <v>127</v>
      </c>
      <c r="E70" s="29">
        <f>DSUM($B$37:$X$43,E$37,$C$50:$D70)</f>
        <v>3.0729946024877001E-2</v>
      </c>
      <c r="F70" s="29">
        <f>DSUM($B$37:$X$43,F$37,$C$50:$D70)</f>
        <v>6.5486462491611191E-2</v>
      </c>
      <c r="G70" s="29">
        <f>DSUM($B$37:$X$43,G$37,$C$50:$D70)</f>
        <v>0.10393258651917957</v>
      </c>
      <c r="H70" s="29">
        <f>DSUM($B$37:$X$43,H$37,$C$50:$D70)</f>
        <v>0.14756610573399828</v>
      </c>
      <c r="I70" s="29">
        <f>DSUM($B$37:$X$43,I$37,$C$50:$D70)</f>
        <v>0.19578504625065354</v>
      </c>
      <c r="J70" s="29">
        <f>DSUM($B$37:$X$43,J$37,$C$50:$D70)</f>
        <v>0.24467518087926673</v>
      </c>
      <c r="K70" s="29">
        <f>DSUM($B$37:$X$43,K$37,$C$50:$D70)</f>
        <v>0.29985206218502269</v>
      </c>
      <c r="L70" s="29">
        <f>DSUM($B$37:$X$43,L$37,$C$50:$D70)</f>
        <v>0.36144511865110146</v>
      </c>
      <c r="M70" s="29">
        <f>DSUM($B$37:$X$43,M$37,$C$50:$D70)</f>
        <v>0.41650060846382264</v>
      </c>
      <c r="N70" s="29">
        <f>DSUM($B$37:$X$43,N$37,$C$50:$D70)</f>
        <v>0.47532941416056923</v>
      </c>
      <c r="O70" s="29">
        <f>DSUM($B$37:$X$43,O$37,$C$50:$D70)</f>
        <v>0.51872265876276857</v>
      </c>
      <c r="P70" s="29">
        <f>DSUM($B$37:$X$43,P$37,$C$50:$D70)</f>
        <v>0.53921154483194378</v>
      </c>
      <c r="Q70" s="29">
        <f>DSUM($B$37:$X$43,Q$37,$C$50:$D70)</f>
        <v>0.54074220631286762</v>
      </c>
      <c r="R70" s="29">
        <f>DSUM($B$37:$X$43,R$37,$C$50:$D70)</f>
        <v>0.549407646703714</v>
      </c>
      <c r="S70" s="29">
        <f>DSUM($B$37:$X$43,S$37,$C$50:$D70)</f>
        <v>0.55933604902578815</v>
      </c>
      <c r="T70" s="29">
        <f>DSUM($B$37:$X$43,T$37,$C$50:$D70)</f>
        <v>0.55818087462243771</v>
      </c>
      <c r="U70" s="29">
        <f>DSUM($B$37:$X$43,U$37,$C$50:$D70)</f>
        <v>0.54004955024668777</v>
      </c>
      <c r="V70" s="29">
        <f>DSUM($B$37:$X$43,V$37,$C$50:$D70)</f>
        <v>0.53919801998943595</v>
      </c>
      <c r="W70" s="29">
        <f>DSUM($B$37:$X$43,W$37,$C$50:$D70)</f>
        <v>0.54057932479337201</v>
      </c>
      <c r="X70" s="29">
        <f>DSUM($B$37:$Y$43,X$37,$C$50:$D70)</f>
        <v>0.54425069804257287</v>
      </c>
      <c r="Y70" s="29">
        <f>DSUM($B$37:$Y$43,Y$37,$C$50:$D70)</f>
        <v>7.7709811046916908</v>
      </c>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row>
    <row r="71" spans="2:80">
      <c r="B71" s="7" t="s">
        <v>128</v>
      </c>
      <c r="C71" s="50" t="s">
        <v>129</v>
      </c>
      <c r="D71" s="50" t="s">
        <v>130</v>
      </c>
      <c r="E71" s="29">
        <f>DSUM($B$37:$X$43,E$37,$C$50:$D71)</f>
        <v>3.0729946024877001E-2</v>
      </c>
      <c r="F71" s="29">
        <f>DSUM($B$37:$X$43,F$37,$C$50:$D71)</f>
        <v>6.5486462491611191E-2</v>
      </c>
      <c r="G71" s="29">
        <f>DSUM($B$37:$X$43,G$37,$C$50:$D71)</f>
        <v>0.10393258651917957</v>
      </c>
      <c r="H71" s="29">
        <f>DSUM($B$37:$X$43,H$37,$C$50:$D71)</f>
        <v>0.14756610573399828</v>
      </c>
      <c r="I71" s="29">
        <f>DSUM($B$37:$X$43,I$37,$C$50:$D71)</f>
        <v>0.19578504625065354</v>
      </c>
      <c r="J71" s="29">
        <f>DSUM($B$37:$X$43,J$37,$C$50:$D71)</f>
        <v>0.24467518087926673</v>
      </c>
      <c r="K71" s="29">
        <f>DSUM($B$37:$X$43,K$37,$C$50:$D71)</f>
        <v>0.29985206218502269</v>
      </c>
      <c r="L71" s="29">
        <f>DSUM($B$37:$X$43,L$37,$C$50:$D71)</f>
        <v>0.36144511865110146</v>
      </c>
      <c r="M71" s="29">
        <f>DSUM($B$37:$X$43,M$37,$C$50:$D71)</f>
        <v>0.41650060846382264</v>
      </c>
      <c r="N71" s="29">
        <f>DSUM($B$37:$X$43,N$37,$C$50:$D71)</f>
        <v>0.47532941416056923</v>
      </c>
      <c r="O71" s="29">
        <f>DSUM($B$37:$X$43,O$37,$C$50:$D71)</f>
        <v>0.51872265876276857</v>
      </c>
      <c r="P71" s="29">
        <f>DSUM($B$37:$X$43,P$37,$C$50:$D71)</f>
        <v>0.53921154483194378</v>
      </c>
      <c r="Q71" s="29">
        <f>DSUM($B$37:$X$43,Q$37,$C$50:$D71)</f>
        <v>0.54074220631286762</v>
      </c>
      <c r="R71" s="29">
        <f>DSUM($B$37:$X$43,R$37,$C$50:$D71)</f>
        <v>0.549407646703714</v>
      </c>
      <c r="S71" s="29">
        <f>DSUM($B$37:$X$43,S$37,$C$50:$D71)</f>
        <v>0.55933604902578815</v>
      </c>
      <c r="T71" s="29">
        <f>DSUM($B$37:$X$43,T$37,$C$50:$D71)</f>
        <v>0.55818087462243771</v>
      </c>
      <c r="U71" s="29">
        <f>DSUM($B$37:$X$43,U$37,$C$50:$D71)</f>
        <v>0.54004955024668777</v>
      </c>
      <c r="V71" s="29">
        <f>DSUM($B$37:$X$43,V$37,$C$50:$D71)</f>
        <v>0.53919801998943595</v>
      </c>
      <c r="W71" s="29">
        <f>DSUM($B$37:$X$43,W$37,$C$50:$D71)</f>
        <v>0.54057932479337201</v>
      </c>
      <c r="X71" s="29">
        <f>DSUM($B$37:$Y$43,X$37,$C$50:$D71)</f>
        <v>0.54425069804257287</v>
      </c>
      <c r="Y71" s="29">
        <f>DSUM($B$37:$Y$43,Y$37,$C$50:$D71)</f>
        <v>7.7709811046916908</v>
      </c>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row>
    <row r="72" spans="2:80">
      <c r="B72" s="7" t="s">
        <v>372</v>
      </c>
      <c r="C72" s="50" t="s">
        <v>132</v>
      </c>
      <c r="D72" s="50" t="s">
        <v>362</v>
      </c>
      <c r="E72" s="29">
        <f>DSUM($B$37:$X$43,E$37,$C$50:$D72)</f>
        <v>3.0729946024877001E-2</v>
      </c>
      <c r="F72" s="29">
        <f>DSUM($B$37:$X$43,F$37,$C$50:$D72)</f>
        <v>6.5486462491611191E-2</v>
      </c>
      <c r="G72" s="29">
        <f>DSUM($B$37:$X$43,G$37,$C$50:$D72)</f>
        <v>0.10393258651917957</v>
      </c>
      <c r="H72" s="29">
        <f>DSUM($B$37:$X$43,H$37,$C$50:$D72)</f>
        <v>0.14756610573399828</v>
      </c>
      <c r="I72" s="29">
        <f>DSUM($B$37:$X$43,I$37,$C$50:$D72)</f>
        <v>0.19578504625065354</v>
      </c>
      <c r="J72" s="29">
        <f>DSUM($B$37:$X$43,J$37,$C$50:$D72)</f>
        <v>0.24467518087926673</v>
      </c>
      <c r="K72" s="29">
        <f>DSUM($B$37:$X$43,K$37,$C$50:$D72)</f>
        <v>0.29985206218502269</v>
      </c>
      <c r="L72" s="29">
        <f>DSUM($B$37:$X$43,L$37,$C$50:$D72)</f>
        <v>0.36144511865110146</v>
      </c>
      <c r="M72" s="29">
        <f>DSUM($B$37:$X$43,M$37,$C$50:$D72)</f>
        <v>0.41650060846382264</v>
      </c>
      <c r="N72" s="29">
        <f>DSUM($B$37:$X$43,N$37,$C$50:$D72)</f>
        <v>0.47532941416056923</v>
      </c>
      <c r="O72" s="29">
        <f>DSUM($B$37:$X$43,O$37,$C$50:$D72)</f>
        <v>0.51872265876276857</v>
      </c>
      <c r="P72" s="29">
        <f>DSUM($B$37:$X$43,P$37,$C$50:$D72)</f>
        <v>0.53921154483194378</v>
      </c>
      <c r="Q72" s="29">
        <f>DSUM($B$37:$X$43,Q$37,$C$50:$D72)</f>
        <v>0.54074220631286762</v>
      </c>
      <c r="R72" s="29">
        <f>DSUM($B$37:$X$43,R$37,$C$50:$D72)</f>
        <v>0.549407646703714</v>
      </c>
      <c r="S72" s="29">
        <f>DSUM($B$37:$X$43,S$37,$C$50:$D72)</f>
        <v>0.55933604902578815</v>
      </c>
      <c r="T72" s="29">
        <f>DSUM($B$37:$X$43,T$37,$C$50:$D72)</f>
        <v>0.55818087462243771</v>
      </c>
      <c r="U72" s="29">
        <f>DSUM($B$37:$X$43,U$37,$C$50:$D72)</f>
        <v>0.54004955024668777</v>
      </c>
      <c r="V72" s="29">
        <f>DSUM($B$37:$X$43,V$37,$C$50:$D72)</f>
        <v>0.53919801998943595</v>
      </c>
      <c r="W72" s="29">
        <f>DSUM($B$37:$X$43,W$37,$C$50:$D72)</f>
        <v>0.54057932479337201</v>
      </c>
      <c r="X72" s="29">
        <f>DSUM($B$37:$Y$43,X$37,$C$50:$D72)</f>
        <v>0.54425069804257287</v>
      </c>
      <c r="Y72" s="29">
        <f>DSUM($B$37:$Y$43,Y$37,$C$50:$D72)</f>
        <v>7.7709811046916908</v>
      </c>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row>
    <row r="73" spans="2:80">
      <c r="B73" s="7" t="s">
        <v>373</v>
      </c>
      <c r="C73" s="50" t="s">
        <v>352</v>
      </c>
      <c r="D73" s="50" t="s">
        <v>363</v>
      </c>
      <c r="E73" s="29">
        <f>DSUM($B$37:$X$43,E$37,$C$50:$D73)</f>
        <v>3.0729946024877001E-2</v>
      </c>
      <c r="F73" s="29">
        <f>DSUM($B$37:$X$43,F$37,$C$50:$D73)</f>
        <v>6.5486462491611191E-2</v>
      </c>
      <c r="G73" s="29">
        <f>DSUM($B$37:$X$43,G$37,$C$50:$D73)</f>
        <v>0.10393258651917957</v>
      </c>
      <c r="H73" s="29">
        <f>DSUM($B$37:$X$43,H$37,$C$50:$D73)</f>
        <v>0.14756610573399828</v>
      </c>
      <c r="I73" s="29">
        <f>DSUM($B$37:$X$43,I$37,$C$50:$D73)</f>
        <v>0.19578504625065354</v>
      </c>
      <c r="J73" s="29">
        <f>DSUM($B$37:$X$43,J$37,$C$50:$D73)</f>
        <v>0.24467518087926673</v>
      </c>
      <c r="K73" s="29">
        <f>DSUM($B$37:$X$43,K$37,$C$50:$D73)</f>
        <v>0.29985206218502269</v>
      </c>
      <c r="L73" s="29">
        <f>DSUM($B$37:$X$43,L$37,$C$50:$D73)</f>
        <v>0.36144511865110146</v>
      </c>
      <c r="M73" s="29">
        <f>DSUM($B$37:$X$43,M$37,$C$50:$D73)</f>
        <v>0.41650060846382264</v>
      </c>
      <c r="N73" s="29">
        <f>DSUM($B$37:$X$43,N$37,$C$50:$D73)</f>
        <v>0.47532941416056923</v>
      </c>
      <c r="O73" s="29">
        <f>DSUM($B$37:$X$43,O$37,$C$50:$D73)</f>
        <v>0.51872265876276857</v>
      </c>
      <c r="P73" s="29">
        <f>DSUM($B$37:$X$43,P$37,$C$50:$D73)</f>
        <v>0.53921154483194378</v>
      </c>
      <c r="Q73" s="29">
        <f>DSUM($B$37:$X$43,Q$37,$C$50:$D73)</f>
        <v>0.54074220631286762</v>
      </c>
      <c r="R73" s="29">
        <f>DSUM($B$37:$X$43,R$37,$C$50:$D73)</f>
        <v>0.549407646703714</v>
      </c>
      <c r="S73" s="29">
        <f>DSUM($B$37:$X$43,S$37,$C$50:$D73)</f>
        <v>0.55933604902578815</v>
      </c>
      <c r="T73" s="29">
        <f>DSUM($B$37:$X$43,T$37,$C$50:$D73)</f>
        <v>0.55818087462243771</v>
      </c>
      <c r="U73" s="29">
        <f>DSUM($B$37:$X$43,U$37,$C$50:$D73)</f>
        <v>0.54004955024668777</v>
      </c>
      <c r="V73" s="29">
        <f>DSUM($B$37:$X$43,V$37,$C$50:$D73)</f>
        <v>0.53919801998943595</v>
      </c>
      <c r="W73" s="29">
        <f>DSUM($B$37:$X$43,W$37,$C$50:$D73)</f>
        <v>0.54057932479337201</v>
      </c>
      <c r="X73" s="29">
        <f>DSUM($B$37:$Y$43,X$37,$C$50:$D73)</f>
        <v>0.54425069804257287</v>
      </c>
      <c r="Y73" s="29">
        <f>DSUM($B$37:$Y$43,Y$37,$C$50:$D73)</f>
        <v>7.7709811046916908</v>
      </c>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row>
    <row r="74" spans="2:80">
      <c r="B74" s="7" t="s">
        <v>374</v>
      </c>
      <c r="C74" s="50" t="s">
        <v>353</v>
      </c>
      <c r="D74" s="50" t="s">
        <v>364</v>
      </c>
      <c r="E74" s="29">
        <f>DSUM($B$37:$X$43,E$37,$C$50:$D74)</f>
        <v>3.0729946024877001E-2</v>
      </c>
      <c r="F74" s="29">
        <f>DSUM($B$37:$X$43,F$37,$C$50:$D74)</f>
        <v>6.5486462491611191E-2</v>
      </c>
      <c r="G74" s="29">
        <f>DSUM($B$37:$X$43,G$37,$C$50:$D74)</f>
        <v>0.10393258651917957</v>
      </c>
      <c r="H74" s="29">
        <f>DSUM($B$37:$X$43,H$37,$C$50:$D74)</f>
        <v>0.14756610573399828</v>
      </c>
      <c r="I74" s="29">
        <f>DSUM($B$37:$X$43,I$37,$C$50:$D74)</f>
        <v>0.19578504625065354</v>
      </c>
      <c r="J74" s="29">
        <f>DSUM($B$37:$X$43,J$37,$C$50:$D74)</f>
        <v>0.24467518087926673</v>
      </c>
      <c r="K74" s="29">
        <f>DSUM($B$37:$X$43,K$37,$C$50:$D74)</f>
        <v>0.29985206218502269</v>
      </c>
      <c r="L74" s="29">
        <f>DSUM($B$37:$X$43,L$37,$C$50:$D74)</f>
        <v>0.36144511865110146</v>
      </c>
      <c r="M74" s="29">
        <f>DSUM($B$37:$X$43,M$37,$C$50:$D74)</f>
        <v>0.41650060846382264</v>
      </c>
      <c r="N74" s="29">
        <f>DSUM($B$37:$X$43,N$37,$C$50:$D74)</f>
        <v>0.47532941416056923</v>
      </c>
      <c r="O74" s="29">
        <f>DSUM($B$37:$X$43,O$37,$C$50:$D74)</f>
        <v>0.51872265876276857</v>
      </c>
      <c r="P74" s="29">
        <f>DSUM($B$37:$X$43,P$37,$C$50:$D74)</f>
        <v>0.53921154483194378</v>
      </c>
      <c r="Q74" s="29">
        <f>DSUM($B$37:$X$43,Q$37,$C$50:$D74)</f>
        <v>0.54074220631286762</v>
      </c>
      <c r="R74" s="29">
        <f>DSUM($B$37:$X$43,R$37,$C$50:$D74)</f>
        <v>0.549407646703714</v>
      </c>
      <c r="S74" s="29">
        <f>DSUM($B$37:$X$43,S$37,$C$50:$D74)</f>
        <v>0.55933604902578815</v>
      </c>
      <c r="T74" s="29">
        <f>DSUM($B$37:$X$43,T$37,$C$50:$D74)</f>
        <v>0.55818087462243771</v>
      </c>
      <c r="U74" s="29">
        <f>DSUM($B$37:$X$43,U$37,$C$50:$D74)</f>
        <v>0.54004955024668777</v>
      </c>
      <c r="V74" s="29">
        <f>DSUM($B$37:$X$43,V$37,$C$50:$D74)</f>
        <v>0.53919801998943595</v>
      </c>
      <c r="W74" s="29">
        <f>DSUM($B$37:$X$43,W$37,$C$50:$D74)</f>
        <v>0.54057932479337201</v>
      </c>
      <c r="X74" s="29">
        <f>DSUM($B$37:$Y$43,X$37,$C$50:$D74)</f>
        <v>0.54425069804257287</v>
      </c>
      <c r="Y74" s="29">
        <f>DSUM($B$37:$Y$43,Y$37,$C$50:$D74)</f>
        <v>7.7709811046916908</v>
      </c>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row>
    <row r="75" spans="2:80">
      <c r="B75" s="7" t="s">
        <v>375</v>
      </c>
      <c r="C75" s="50" t="s">
        <v>354</v>
      </c>
      <c r="D75" s="50" t="s">
        <v>365</v>
      </c>
      <c r="E75" s="29">
        <f>DSUM($B$37:$X$43,E$37,$C$50:$D75)</f>
        <v>3.0729946024877001E-2</v>
      </c>
      <c r="F75" s="29">
        <f>DSUM($B$37:$X$43,F$37,$C$50:$D75)</f>
        <v>6.5486462491611191E-2</v>
      </c>
      <c r="G75" s="29">
        <f>DSUM($B$37:$X$43,G$37,$C$50:$D75)</f>
        <v>0.10393258651917957</v>
      </c>
      <c r="H75" s="29">
        <f>DSUM($B$37:$X$43,H$37,$C$50:$D75)</f>
        <v>0.14756610573399828</v>
      </c>
      <c r="I75" s="29">
        <f>DSUM($B$37:$X$43,I$37,$C$50:$D75)</f>
        <v>0.19578504625065354</v>
      </c>
      <c r="J75" s="29">
        <f>DSUM($B$37:$X$43,J$37,$C$50:$D75)</f>
        <v>0.24467518087926673</v>
      </c>
      <c r="K75" s="29">
        <f>DSUM($B$37:$X$43,K$37,$C$50:$D75)</f>
        <v>0.29985206218502269</v>
      </c>
      <c r="L75" s="29">
        <f>DSUM($B$37:$X$43,L$37,$C$50:$D75)</f>
        <v>0.36144511865110146</v>
      </c>
      <c r="M75" s="29">
        <f>DSUM($B$37:$X$43,M$37,$C$50:$D75)</f>
        <v>0.41650060846382264</v>
      </c>
      <c r="N75" s="29">
        <f>DSUM($B$37:$X$43,N$37,$C$50:$D75)</f>
        <v>0.47532941416056923</v>
      </c>
      <c r="O75" s="29">
        <f>DSUM($B$37:$X$43,O$37,$C$50:$D75)</f>
        <v>0.51872265876276857</v>
      </c>
      <c r="P75" s="29">
        <f>DSUM($B$37:$X$43,P$37,$C$50:$D75)</f>
        <v>0.53921154483194378</v>
      </c>
      <c r="Q75" s="29">
        <f>DSUM($B$37:$X$43,Q$37,$C$50:$D75)</f>
        <v>0.54074220631286762</v>
      </c>
      <c r="R75" s="29">
        <f>DSUM($B$37:$X$43,R$37,$C$50:$D75)</f>
        <v>0.549407646703714</v>
      </c>
      <c r="S75" s="29">
        <f>DSUM($B$37:$X$43,S$37,$C$50:$D75)</f>
        <v>0.55933604902578815</v>
      </c>
      <c r="T75" s="29">
        <f>DSUM($B$37:$X$43,T$37,$C$50:$D75)</f>
        <v>0.55818087462243771</v>
      </c>
      <c r="U75" s="29">
        <f>DSUM($B$37:$X$43,U$37,$C$50:$D75)</f>
        <v>0.54004955024668777</v>
      </c>
      <c r="V75" s="29">
        <f>DSUM($B$37:$X$43,V$37,$C$50:$D75)</f>
        <v>0.53919801998943595</v>
      </c>
      <c r="W75" s="29">
        <f>DSUM($B$37:$X$43,W$37,$C$50:$D75)</f>
        <v>0.54057932479337201</v>
      </c>
      <c r="X75" s="29">
        <f>DSUM($B$37:$Y$43,X$37,$C$50:$D75)</f>
        <v>0.54425069804257287</v>
      </c>
      <c r="Y75" s="29">
        <f>DSUM($B$37:$Y$43,Y$37,$C$50:$D75)</f>
        <v>7.7709811046916908</v>
      </c>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row>
    <row r="76" spans="2:80">
      <c r="B76" s="7" t="s">
        <v>376</v>
      </c>
      <c r="C76" s="50" t="s">
        <v>355</v>
      </c>
      <c r="D76" s="50" t="s">
        <v>366</v>
      </c>
      <c r="E76" s="29">
        <f>DSUM($B$37:$X$43,E$37,$C$50:$D76)</f>
        <v>3.0729946024877001E-2</v>
      </c>
      <c r="F76" s="29">
        <f>DSUM($B$37:$X$43,F$37,$C$50:$D76)</f>
        <v>6.5486462491611191E-2</v>
      </c>
      <c r="G76" s="29">
        <f>DSUM($B$37:$X$43,G$37,$C$50:$D76)</f>
        <v>0.10393258651917957</v>
      </c>
      <c r="H76" s="29">
        <f>DSUM($B$37:$X$43,H$37,$C$50:$D76)</f>
        <v>0.14756610573399828</v>
      </c>
      <c r="I76" s="29">
        <f>DSUM($B$37:$X$43,I$37,$C$50:$D76)</f>
        <v>0.19578504625065354</v>
      </c>
      <c r="J76" s="29">
        <f>DSUM($B$37:$X$43,J$37,$C$50:$D76)</f>
        <v>0.24467518087926673</v>
      </c>
      <c r="K76" s="29">
        <f>DSUM($B$37:$X$43,K$37,$C$50:$D76)</f>
        <v>0.29985206218502269</v>
      </c>
      <c r="L76" s="29">
        <f>DSUM($B$37:$X$43,L$37,$C$50:$D76)</f>
        <v>0.36144511865110146</v>
      </c>
      <c r="M76" s="29">
        <f>DSUM($B$37:$X$43,M$37,$C$50:$D76)</f>
        <v>0.41650060846382264</v>
      </c>
      <c r="N76" s="29">
        <f>DSUM($B$37:$X$43,N$37,$C$50:$D76)</f>
        <v>0.47532941416056923</v>
      </c>
      <c r="O76" s="29">
        <f>DSUM($B$37:$X$43,O$37,$C$50:$D76)</f>
        <v>0.51872265876276857</v>
      </c>
      <c r="P76" s="29">
        <f>DSUM($B$37:$X$43,P$37,$C$50:$D76)</f>
        <v>0.53921154483194378</v>
      </c>
      <c r="Q76" s="29">
        <f>DSUM($B$37:$X$43,Q$37,$C$50:$D76)</f>
        <v>0.54074220631286762</v>
      </c>
      <c r="R76" s="29">
        <f>DSUM($B$37:$X$43,R$37,$C$50:$D76)</f>
        <v>0.549407646703714</v>
      </c>
      <c r="S76" s="29">
        <f>DSUM($B$37:$X$43,S$37,$C$50:$D76)</f>
        <v>0.55933604902578815</v>
      </c>
      <c r="T76" s="29">
        <f>DSUM($B$37:$X$43,T$37,$C$50:$D76)</f>
        <v>0.55818087462243771</v>
      </c>
      <c r="U76" s="29">
        <f>DSUM($B$37:$X$43,U$37,$C$50:$D76)</f>
        <v>0.54004955024668777</v>
      </c>
      <c r="V76" s="29">
        <f>DSUM($B$37:$X$43,V$37,$C$50:$D76)</f>
        <v>0.53919801998943595</v>
      </c>
      <c r="W76" s="29">
        <f>DSUM($B$37:$X$43,W$37,$C$50:$D76)</f>
        <v>0.54057932479337201</v>
      </c>
      <c r="X76" s="29">
        <f>DSUM($B$37:$Y$43,X$37,$C$50:$D76)</f>
        <v>0.54425069804257287</v>
      </c>
      <c r="Y76" s="29">
        <f>DSUM($B$37:$Y$43,Y$37,$C$50:$D76)</f>
        <v>7.7709811046916908</v>
      </c>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row>
    <row r="77" spans="2:80">
      <c r="B77" s="7" t="s">
        <v>377</v>
      </c>
      <c r="C77" s="50" t="s">
        <v>356</v>
      </c>
      <c r="D77" s="50" t="s">
        <v>367</v>
      </c>
      <c r="E77" s="29">
        <f>DSUM($B$37:$X$43,E$37,$C$50:$D77)</f>
        <v>3.0729946024877001E-2</v>
      </c>
      <c r="F77" s="29">
        <f>DSUM($B$37:$X$43,F$37,$C$50:$D77)</f>
        <v>6.5486462491611191E-2</v>
      </c>
      <c r="G77" s="29">
        <f>DSUM($B$37:$X$43,G$37,$C$50:$D77)</f>
        <v>0.10393258651917957</v>
      </c>
      <c r="H77" s="29">
        <f>DSUM($B$37:$X$43,H$37,$C$50:$D77)</f>
        <v>0.14756610573399828</v>
      </c>
      <c r="I77" s="29">
        <f>DSUM($B$37:$X$43,I$37,$C$50:$D77)</f>
        <v>0.19578504625065354</v>
      </c>
      <c r="J77" s="29">
        <f>DSUM($B$37:$X$43,J$37,$C$50:$D77)</f>
        <v>0.24467518087926673</v>
      </c>
      <c r="K77" s="29">
        <f>DSUM($B$37:$X$43,K$37,$C$50:$D77)</f>
        <v>0.29985206218502269</v>
      </c>
      <c r="L77" s="29">
        <f>DSUM($B$37:$X$43,L$37,$C$50:$D77)</f>
        <v>0.36144511865110146</v>
      </c>
      <c r="M77" s="29">
        <f>DSUM($B$37:$X$43,M$37,$C$50:$D77)</f>
        <v>0.41650060846382264</v>
      </c>
      <c r="N77" s="29">
        <f>DSUM($B$37:$X$43,N$37,$C$50:$D77)</f>
        <v>0.47532941416056923</v>
      </c>
      <c r="O77" s="29">
        <f>DSUM($B$37:$X$43,O$37,$C$50:$D77)</f>
        <v>0.51872265876276857</v>
      </c>
      <c r="P77" s="29">
        <f>DSUM($B$37:$X$43,P$37,$C$50:$D77)</f>
        <v>0.53921154483194378</v>
      </c>
      <c r="Q77" s="29">
        <f>DSUM($B$37:$X$43,Q$37,$C$50:$D77)</f>
        <v>0.54074220631286762</v>
      </c>
      <c r="R77" s="29">
        <f>DSUM($B$37:$X$43,R$37,$C$50:$D77)</f>
        <v>0.549407646703714</v>
      </c>
      <c r="S77" s="29">
        <f>DSUM($B$37:$X$43,S$37,$C$50:$D77)</f>
        <v>0.55933604902578815</v>
      </c>
      <c r="T77" s="29">
        <f>DSUM($B$37:$X$43,T$37,$C$50:$D77)</f>
        <v>0.55818087462243771</v>
      </c>
      <c r="U77" s="29">
        <f>DSUM($B$37:$X$43,U$37,$C$50:$D77)</f>
        <v>0.54004955024668777</v>
      </c>
      <c r="V77" s="29">
        <f>DSUM($B$37:$X$43,V$37,$C$50:$D77)</f>
        <v>0.53919801998943595</v>
      </c>
      <c r="W77" s="29">
        <f>DSUM($B$37:$X$43,W$37,$C$50:$D77)</f>
        <v>0.54057932479337201</v>
      </c>
      <c r="X77" s="29">
        <f>DSUM($B$37:$Y$43,X$37,$C$50:$D77)</f>
        <v>0.54425069804257287</v>
      </c>
      <c r="Y77" s="29">
        <f>DSUM($B$37:$Y$43,Y$37,$C$50:$D77)</f>
        <v>7.7709811046916908</v>
      </c>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row>
    <row r="78" spans="2:80">
      <c r="B78" s="7" t="s">
        <v>378</v>
      </c>
      <c r="C78" s="50" t="s">
        <v>357</v>
      </c>
      <c r="D78" s="50" t="s">
        <v>368</v>
      </c>
      <c r="E78" s="29">
        <f>DSUM($B$37:$X$43,E$37,$C$50:$D78)</f>
        <v>3.0729946024877001E-2</v>
      </c>
      <c r="F78" s="29">
        <f>DSUM($B$37:$X$43,F$37,$C$50:$D78)</f>
        <v>6.5486462491611191E-2</v>
      </c>
      <c r="G78" s="29">
        <f>DSUM($B$37:$X$43,G$37,$C$50:$D78)</f>
        <v>0.10393258651917957</v>
      </c>
      <c r="H78" s="29">
        <f>DSUM($B$37:$X$43,H$37,$C$50:$D78)</f>
        <v>0.14756610573399828</v>
      </c>
      <c r="I78" s="29">
        <f>DSUM($B$37:$X$43,I$37,$C$50:$D78)</f>
        <v>0.19578504625065354</v>
      </c>
      <c r="J78" s="29">
        <f>DSUM($B$37:$X$43,J$37,$C$50:$D78)</f>
        <v>0.24467518087926673</v>
      </c>
      <c r="K78" s="29">
        <f>DSUM($B$37:$X$43,K$37,$C$50:$D78)</f>
        <v>0.29985206218502269</v>
      </c>
      <c r="L78" s="29">
        <f>DSUM($B$37:$X$43,L$37,$C$50:$D78)</f>
        <v>0.36144511865110146</v>
      </c>
      <c r="M78" s="29">
        <f>DSUM($B$37:$X$43,M$37,$C$50:$D78)</f>
        <v>0.41650060846382264</v>
      </c>
      <c r="N78" s="29">
        <f>DSUM($B$37:$X$43,N$37,$C$50:$D78)</f>
        <v>0.47532941416056923</v>
      </c>
      <c r="O78" s="29">
        <f>DSUM($B$37:$X$43,O$37,$C$50:$D78)</f>
        <v>0.51872265876276857</v>
      </c>
      <c r="P78" s="29">
        <f>DSUM($B$37:$X$43,P$37,$C$50:$D78)</f>
        <v>0.53921154483194378</v>
      </c>
      <c r="Q78" s="29">
        <f>DSUM($B$37:$X$43,Q$37,$C$50:$D78)</f>
        <v>0.54074220631286762</v>
      </c>
      <c r="R78" s="29">
        <f>DSUM($B$37:$X$43,R$37,$C$50:$D78)</f>
        <v>0.549407646703714</v>
      </c>
      <c r="S78" s="29">
        <f>DSUM($B$37:$X$43,S$37,$C$50:$D78)</f>
        <v>0.55933604902578815</v>
      </c>
      <c r="T78" s="29">
        <f>DSUM($B$37:$X$43,T$37,$C$50:$D78)</f>
        <v>0.55818087462243771</v>
      </c>
      <c r="U78" s="29">
        <f>DSUM($B$37:$X$43,U$37,$C$50:$D78)</f>
        <v>0.54004955024668777</v>
      </c>
      <c r="V78" s="29">
        <f>DSUM($B$37:$X$43,V$37,$C$50:$D78)</f>
        <v>0.53919801998943595</v>
      </c>
      <c r="W78" s="29">
        <f>DSUM($B$37:$X$43,W$37,$C$50:$D78)</f>
        <v>0.54057932479337201</v>
      </c>
      <c r="X78" s="29">
        <f>DSUM($B$37:$Y$43,X$37,$C$50:$D78)</f>
        <v>0.54425069804257287</v>
      </c>
      <c r="Y78" s="29">
        <f>DSUM($B$37:$Y$43,Y$37,$C$50:$D78)</f>
        <v>7.7709811046916908</v>
      </c>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row>
    <row r="79" spans="2:80">
      <c r="B79" s="7" t="s">
        <v>379</v>
      </c>
      <c r="C79" s="50" t="s">
        <v>358</v>
      </c>
      <c r="D79" s="50" t="s">
        <v>369</v>
      </c>
      <c r="E79" s="29">
        <f>DSUM($B$37:$X$43,E$37,$C$50:$D79)</f>
        <v>3.0729946024877001E-2</v>
      </c>
      <c r="F79" s="29">
        <f>DSUM($B$37:$X$43,F$37,$C$50:$D79)</f>
        <v>6.5486462491611191E-2</v>
      </c>
      <c r="G79" s="29">
        <f>DSUM($B$37:$X$43,G$37,$C$50:$D79)</f>
        <v>0.10393258651917957</v>
      </c>
      <c r="H79" s="29">
        <f>DSUM($B$37:$X$43,H$37,$C$50:$D79)</f>
        <v>0.14756610573399828</v>
      </c>
      <c r="I79" s="29">
        <f>DSUM($B$37:$X$43,I$37,$C$50:$D79)</f>
        <v>0.19578504625065354</v>
      </c>
      <c r="J79" s="29">
        <f>DSUM($B$37:$X$43,J$37,$C$50:$D79)</f>
        <v>0.24467518087926673</v>
      </c>
      <c r="K79" s="29">
        <f>DSUM($B$37:$X$43,K$37,$C$50:$D79)</f>
        <v>0.29985206218502269</v>
      </c>
      <c r="L79" s="29">
        <f>DSUM($B$37:$X$43,L$37,$C$50:$D79)</f>
        <v>0.36144511865110146</v>
      </c>
      <c r="M79" s="29">
        <f>DSUM($B$37:$X$43,M$37,$C$50:$D79)</f>
        <v>0.41650060846382264</v>
      </c>
      <c r="N79" s="29">
        <f>DSUM($B$37:$X$43,N$37,$C$50:$D79)</f>
        <v>0.47532941416056923</v>
      </c>
      <c r="O79" s="29">
        <f>DSUM($B$37:$X$43,O$37,$C$50:$D79)</f>
        <v>0.51872265876276857</v>
      </c>
      <c r="P79" s="29">
        <f>DSUM($B$37:$X$43,P$37,$C$50:$D79)</f>
        <v>0.53921154483194378</v>
      </c>
      <c r="Q79" s="29">
        <f>DSUM($B$37:$X$43,Q$37,$C$50:$D79)</f>
        <v>0.54074220631286762</v>
      </c>
      <c r="R79" s="29">
        <f>DSUM($B$37:$X$43,R$37,$C$50:$D79)</f>
        <v>0.549407646703714</v>
      </c>
      <c r="S79" s="29">
        <f>DSUM($B$37:$X$43,S$37,$C$50:$D79)</f>
        <v>0.55933604902578815</v>
      </c>
      <c r="T79" s="29">
        <f>DSUM($B$37:$X$43,T$37,$C$50:$D79)</f>
        <v>0.55818087462243771</v>
      </c>
      <c r="U79" s="29">
        <f>DSUM($B$37:$X$43,U$37,$C$50:$D79)</f>
        <v>0.54004955024668777</v>
      </c>
      <c r="V79" s="29">
        <f>DSUM($B$37:$X$43,V$37,$C$50:$D79)</f>
        <v>0.53919801998943595</v>
      </c>
      <c r="W79" s="29">
        <f>DSUM($B$37:$X$43,W$37,$C$50:$D79)</f>
        <v>0.54057932479337201</v>
      </c>
      <c r="X79" s="29">
        <f>DSUM($B$37:$Y$43,X$37,$C$50:$D79)</f>
        <v>0.54425069804257287</v>
      </c>
      <c r="Y79" s="29">
        <f>DSUM($B$37:$Y$43,Y$37,$C$50:$D79)</f>
        <v>7.7709811046916908</v>
      </c>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row>
    <row r="80" spans="2:80">
      <c r="B80" s="7" t="s">
        <v>380</v>
      </c>
      <c r="C80" s="50" t="s">
        <v>359</v>
      </c>
      <c r="D80" s="50" t="s">
        <v>370</v>
      </c>
      <c r="E80" s="29">
        <f>DSUM($B$37:$X$43,E$37,$C$50:$D80)</f>
        <v>3.0729946024877001E-2</v>
      </c>
      <c r="F80" s="29">
        <f>DSUM($B$37:$X$43,F$37,$C$50:$D80)</f>
        <v>6.5486462491611191E-2</v>
      </c>
      <c r="G80" s="29">
        <f>DSUM($B$37:$X$43,G$37,$C$50:$D80)</f>
        <v>0.10393258651917957</v>
      </c>
      <c r="H80" s="29">
        <f>DSUM($B$37:$X$43,H$37,$C$50:$D80)</f>
        <v>0.14756610573399828</v>
      </c>
      <c r="I80" s="29">
        <f>DSUM($B$37:$X$43,I$37,$C$50:$D80)</f>
        <v>0.19578504625065354</v>
      </c>
      <c r="J80" s="29">
        <f>DSUM($B$37:$X$43,J$37,$C$50:$D80)</f>
        <v>0.24467518087926673</v>
      </c>
      <c r="K80" s="29">
        <f>DSUM($B$37:$X$43,K$37,$C$50:$D80)</f>
        <v>0.29985206218502269</v>
      </c>
      <c r="L80" s="29">
        <f>DSUM($B$37:$X$43,L$37,$C$50:$D80)</f>
        <v>0.36144511865110146</v>
      </c>
      <c r="M80" s="29">
        <f>DSUM($B$37:$X$43,M$37,$C$50:$D80)</f>
        <v>0.41650060846382264</v>
      </c>
      <c r="N80" s="29">
        <f>DSUM($B$37:$X$43,N$37,$C$50:$D80)</f>
        <v>0.47532941416056923</v>
      </c>
      <c r="O80" s="29">
        <f>DSUM($B$37:$X$43,O$37,$C$50:$D80)</f>
        <v>0.51872265876276857</v>
      </c>
      <c r="P80" s="29">
        <f>DSUM($B$37:$X$43,P$37,$C$50:$D80)</f>
        <v>0.53921154483194378</v>
      </c>
      <c r="Q80" s="29">
        <f>DSUM($B$37:$X$43,Q$37,$C$50:$D80)</f>
        <v>0.54074220631286762</v>
      </c>
      <c r="R80" s="29">
        <f>DSUM($B$37:$X$43,R$37,$C$50:$D80)</f>
        <v>0.549407646703714</v>
      </c>
      <c r="S80" s="29">
        <f>DSUM($B$37:$X$43,S$37,$C$50:$D80)</f>
        <v>0.55933604902578815</v>
      </c>
      <c r="T80" s="29">
        <f>DSUM($B$37:$X$43,T$37,$C$50:$D80)</f>
        <v>0.55818087462243771</v>
      </c>
      <c r="U80" s="29">
        <f>DSUM($B$37:$X$43,U$37,$C$50:$D80)</f>
        <v>0.54004955024668777</v>
      </c>
      <c r="V80" s="29">
        <f>DSUM($B$37:$X$43,V$37,$C$50:$D80)</f>
        <v>0.53919801998943595</v>
      </c>
      <c r="W80" s="29">
        <f>DSUM($B$37:$X$43,W$37,$C$50:$D80)</f>
        <v>0.54057932479337201</v>
      </c>
      <c r="X80" s="29">
        <f>DSUM($B$37:$Y$43,X$37,$C$50:$D80)</f>
        <v>0.54425069804257287</v>
      </c>
      <c r="Y80" s="29">
        <f>DSUM($B$37:$Y$43,Y$37,$C$50:$D80)</f>
        <v>7.7709811046916908</v>
      </c>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row>
    <row r="81" spans="1:80">
      <c r="B81" s="7" t="s">
        <v>381</v>
      </c>
      <c r="C81" s="50" t="s">
        <v>360</v>
      </c>
      <c r="D81" s="50" t="s">
        <v>371</v>
      </c>
      <c r="E81" s="29">
        <f>DSUM($B$37:$X$43,E$37,$C$50:$D81)</f>
        <v>3.0729946024877001E-2</v>
      </c>
      <c r="F81" s="29">
        <f>DSUM($B$37:$X$43,F$37,$C$50:$D81)</f>
        <v>6.5486462491611191E-2</v>
      </c>
      <c r="G81" s="29">
        <f>DSUM($B$37:$X$43,G$37,$C$50:$D81)</f>
        <v>0.10393258651917957</v>
      </c>
      <c r="H81" s="29">
        <f>DSUM($B$37:$X$43,H$37,$C$50:$D81)</f>
        <v>0.14756610573399828</v>
      </c>
      <c r="I81" s="29">
        <f>DSUM($B$37:$X$43,I$37,$C$50:$D81)</f>
        <v>0.19578504625065354</v>
      </c>
      <c r="J81" s="29">
        <f>DSUM($B$37:$X$43,J$37,$C$50:$D81)</f>
        <v>0.24467518087926673</v>
      </c>
      <c r="K81" s="29">
        <f>DSUM($B$37:$X$43,K$37,$C$50:$D81)</f>
        <v>0.29985206218502269</v>
      </c>
      <c r="L81" s="29">
        <f>DSUM($B$37:$X$43,L$37,$C$50:$D81)</f>
        <v>0.36144511865110146</v>
      </c>
      <c r="M81" s="29">
        <f>DSUM($B$37:$X$43,M$37,$C$50:$D81)</f>
        <v>0.41650060846382264</v>
      </c>
      <c r="N81" s="29">
        <f>DSUM($B$37:$X$43,N$37,$C$50:$D81)</f>
        <v>0.47532941416056923</v>
      </c>
      <c r="O81" s="29">
        <f>DSUM($B$37:$X$43,O$37,$C$50:$D81)</f>
        <v>0.51872265876276857</v>
      </c>
      <c r="P81" s="29">
        <f>DSUM($B$37:$X$43,P$37,$C$50:$D81)</f>
        <v>0.53921154483194378</v>
      </c>
      <c r="Q81" s="29">
        <f>DSUM($B$37:$X$43,Q$37,$C$50:$D81)</f>
        <v>0.54074220631286762</v>
      </c>
      <c r="R81" s="29">
        <f>DSUM($B$37:$X$43,R$37,$C$50:$D81)</f>
        <v>0.549407646703714</v>
      </c>
      <c r="S81" s="29">
        <f>DSUM($B$37:$X$43,S$37,$C$50:$D81)</f>
        <v>0.55933604902578815</v>
      </c>
      <c r="T81" s="29">
        <f>DSUM($B$37:$X$43,T$37,$C$50:$D81)</f>
        <v>0.55818087462243771</v>
      </c>
      <c r="U81" s="29">
        <f>DSUM($B$37:$X$43,U$37,$C$50:$D81)</f>
        <v>0.54004955024668777</v>
      </c>
      <c r="V81" s="29">
        <f>DSUM($B$37:$X$43,V$37,$C$50:$D81)</f>
        <v>0.53919801998943595</v>
      </c>
      <c r="W81" s="29">
        <f>DSUM($B$37:$X$43,W$37,$C$50:$D81)</f>
        <v>0.54057932479337201</v>
      </c>
      <c r="X81" s="29">
        <f>DSUM($B$37:$Y$43,X$37,$C$50:$D81)</f>
        <v>0.54425069804257287</v>
      </c>
      <c r="Y81" s="29">
        <f>DSUM($B$37:$Y$43,Y$37,$C$50:$D81)</f>
        <v>7.7709811046916908</v>
      </c>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row>
    <row r="82" spans="1:80">
      <c r="B82" s="7" t="s">
        <v>382</v>
      </c>
      <c r="C82" s="50" t="s">
        <v>361</v>
      </c>
      <c r="D82" s="50" t="s">
        <v>133</v>
      </c>
      <c r="E82" s="29">
        <f>DSUM($B$37:$X$43,E$37,$C$50:$D82)</f>
        <v>3.0729946024877001E-2</v>
      </c>
      <c r="F82" s="29">
        <f>DSUM($B$37:$X$43,F$37,$C$50:$D82)</f>
        <v>6.5486462491611191E-2</v>
      </c>
      <c r="G82" s="29">
        <f>DSUM($B$37:$X$43,G$37,$C$50:$D82)</f>
        <v>0.10393258651917957</v>
      </c>
      <c r="H82" s="29">
        <f>DSUM($B$37:$X$43,H$37,$C$50:$D82)</f>
        <v>0.14756610573399828</v>
      </c>
      <c r="I82" s="29">
        <f>DSUM($B$37:$X$43,I$37,$C$50:$D82)</f>
        <v>0.19578504625065354</v>
      </c>
      <c r="J82" s="29">
        <f>DSUM($B$37:$X$43,J$37,$C$50:$D82)</f>
        <v>0.24467518087926673</v>
      </c>
      <c r="K82" s="29">
        <f>DSUM($B$37:$X$43,K$37,$C$50:$D82)</f>
        <v>0.29985206218502269</v>
      </c>
      <c r="L82" s="29">
        <f>DSUM($B$37:$X$43,L$37,$C$50:$D82)</f>
        <v>0.36144511865110146</v>
      </c>
      <c r="M82" s="29">
        <f>DSUM($B$37:$X$43,M$37,$C$50:$D82)</f>
        <v>0.41650060846382264</v>
      </c>
      <c r="N82" s="29">
        <f>DSUM($B$37:$X$43,N$37,$C$50:$D82)</f>
        <v>0.47532941416056923</v>
      </c>
      <c r="O82" s="29">
        <f>DSUM($B$37:$X$43,O$37,$C$50:$D82)</f>
        <v>0.51872265876276857</v>
      </c>
      <c r="P82" s="29">
        <f>DSUM($B$37:$X$43,P$37,$C$50:$D82)</f>
        <v>0.53921154483194378</v>
      </c>
      <c r="Q82" s="29">
        <f>DSUM($B$37:$X$43,Q$37,$C$50:$D82)</f>
        <v>0.54074220631286762</v>
      </c>
      <c r="R82" s="29">
        <f>DSUM($B$37:$X$43,R$37,$C$50:$D82)</f>
        <v>0.549407646703714</v>
      </c>
      <c r="S82" s="29">
        <f>DSUM($B$37:$X$43,S$37,$C$50:$D82)</f>
        <v>0.55933604902578815</v>
      </c>
      <c r="T82" s="29">
        <f>DSUM($B$37:$X$43,T$37,$C$50:$D82)</f>
        <v>0.55818087462243771</v>
      </c>
      <c r="U82" s="29">
        <f>DSUM($B$37:$X$43,U$37,$C$50:$D82)</f>
        <v>0.54004955024668777</v>
      </c>
      <c r="V82" s="29">
        <f>DSUM($B$37:$X$43,V$37,$C$50:$D82)</f>
        <v>0.53919801998943595</v>
      </c>
      <c r="W82" s="29">
        <f>DSUM($B$37:$X$43,W$37,$C$50:$D82)</f>
        <v>0.54057932479337201</v>
      </c>
      <c r="X82" s="29">
        <f>DSUM($B$37:$Y$43,X$37,$C$50:$D82)</f>
        <v>0.54425069804257287</v>
      </c>
      <c r="Y82" s="29">
        <f>DSUM($B$37:$Y$43,Y$37,$C$50:$D82)</f>
        <v>7.7709811046916908</v>
      </c>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row>
    <row r="83" spans="1:80">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row>
    <row r="84" spans="1:80">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row>
    <row r="85" spans="1:80" ht="15">
      <c r="A85" s="55" t="s">
        <v>134</v>
      </c>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row>
    <row r="86" spans="1:80" ht="15">
      <c r="C86" s="64" t="s">
        <v>811</v>
      </c>
      <c r="D86" s="64"/>
      <c r="E86" s="58">
        <f t="shared" ref="E86:X86" si="17">E11</f>
        <v>2016</v>
      </c>
      <c r="F86" s="59">
        <f t="shared" si="17"/>
        <v>2017</v>
      </c>
      <c r="G86" s="59">
        <f t="shared" si="17"/>
        <v>2018</v>
      </c>
      <c r="H86" s="59">
        <f t="shared" si="17"/>
        <v>2019</v>
      </c>
      <c r="I86" s="59">
        <f t="shared" si="17"/>
        <v>2020</v>
      </c>
      <c r="J86" s="59">
        <f t="shared" si="17"/>
        <v>2021</v>
      </c>
      <c r="K86" s="59">
        <f t="shared" si="17"/>
        <v>2022</v>
      </c>
      <c r="L86" s="59">
        <f t="shared" si="17"/>
        <v>2023</v>
      </c>
      <c r="M86" s="59">
        <f t="shared" si="17"/>
        <v>2024</v>
      </c>
      <c r="N86" s="59">
        <f t="shared" si="17"/>
        <v>2025</v>
      </c>
      <c r="O86" s="59">
        <f t="shared" si="17"/>
        <v>2026</v>
      </c>
      <c r="P86" s="59">
        <f t="shared" si="17"/>
        <v>2027</v>
      </c>
      <c r="Q86" s="59">
        <f t="shared" si="17"/>
        <v>2028</v>
      </c>
      <c r="R86" s="59">
        <f t="shared" si="17"/>
        <v>2029</v>
      </c>
      <c r="S86" s="59">
        <f t="shared" si="17"/>
        <v>2030</v>
      </c>
      <c r="T86" s="59">
        <f t="shared" si="17"/>
        <v>2031</v>
      </c>
      <c r="U86" s="59">
        <f t="shared" si="17"/>
        <v>2032</v>
      </c>
      <c r="V86" s="59">
        <f t="shared" si="17"/>
        <v>2033</v>
      </c>
      <c r="W86" s="59">
        <f t="shared" si="17"/>
        <v>2034</v>
      </c>
      <c r="X86" s="59">
        <f t="shared" si="17"/>
        <v>2035</v>
      </c>
      <c r="Y86" s="60" t="s">
        <v>60</v>
      </c>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row>
    <row r="87" spans="1:80" ht="15">
      <c r="C87" s="64" t="str">
        <f>C8</f>
        <v>DHP</v>
      </c>
      <c r="D87" s="64"/>
      <c r="E87" s="61" t="str">
        <f>CONCATENATE("aMW_",E$11)</f>
        <v>aMW_2016</v>
      </c>
      <c r="F87" s="62" t="str">
        <f t="shared" ref="F87:X87" si="18">CONCATENATE("aMW_",F$11)</f>
        <v>aMW_2017</v>
      </c>
      <c r="G87" s="62" t="str">
        <f t="shared" si="18"/>
        <v>aMW_2018</v>
      </c>
      <c r="H87" s="62" t="str">
        <f t="shared" si="18"/>
        <v>aMW_2019</v>
      </c>
      <c r="I87" s="62" t="str">
        <f t="shared" si="18"/>
        <v>aMW_2020</v>
      </c>
      <c r="J87" s="62" t="str">
        <f t="shared" si="18"/>
        <v>aMW_2021</v>
      </c>
      <c r="K87" s="62" t="str">
        <f t="shared" si="18"/>
        <v>aMW_2022</v>
      </c>
      <c r="L87" s="62" t="str">
        <f t="shared" si="18"/>
        <v>aMW_2023</v>
      </c>
      <c r="M87" s="62" t="str">
        <f t="shared" si="18"/>
        <v>aMW_2024</v>
      </c>
      <c r="N87" s="62" t="str">
        <f t="shared" si="18"/>
        <v>aMW_2025</v>
      </c>
      <c r="O87" s="62" t="str">
        <f t="shared" si="18"/>
        <v>aMW_2026</v>
      </c>
      <c r="P87" s="62" t="str">
        <f t="shared" si="18"/>
        <v>aMW_2027</v>
      </c>
      <c r="Q87" s="62" t="str">
        <f t="shared" si="18"/>
        <v>aMW_2028</v>
      </c>
      <c r="R87" s="62" t="str">
        <f t="shared" si="18"/>
        <v>aMW_2029</v>
      </c>
      <c r="S87" s="62" t="str">
        <f t="shared" si="18"/>
        <v>aMW_2030</v>
      </c>
      <c r="T87" s="62" t="str">
        <f t="shared" si="18"/>
        <v>aMW_2031</v>
      </c>
      <c r="U87" s="62" t="str">
        <f t="shared" si="18"/>
        <v>aMW_2032</v>
      </c>
      <c r="V87" s="62" t="str">
        <f t="shared" si="18"/>
        <v>aMW_2033</v>
      </c>
      <c r="W87" s="62" t="str">
        <f t="shared" si="18"/>
        <v>aMW_2034</v>
      </c>
      <c r="X87" s="62" t="str">
        <f t="shared" si="18"/>
        <v>aMW_2035</v>
      </c>
      <c r="Y87" s="63" t="s">
        <v>60</v>
      </c>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row>
    <row r="88" spans="1:80">
      <c r="C88" s="7" t="s">
        <v>68</v>
      </c>
      <c r="E88" s="29">
        <f t="shared" ref="E88:X88" si="19">E51</f>
        <v>0</v>
      </c>
      <c r="F88" s="29">
        <f t="shared" si="19"/>
        <v>0</v>
      </c>
      <c r="G88" s="29">
        <f t="shared" si="19"/>
        <v>0</v>
      </c>
      <c r="H88" s="29">
        <f t="shared" si="19"/>
        <v>0</v>
      </c>
      <c r="I88" s="29">
        <f t="shared" si="19"/>
        <v>0</v>
      </c>
      <c r="J88" s="29">
        <f t="shared" si="19"/>
        <v>0</v>
      </c>
      <c r="K88" s="29">
        <f t="shared" si="19"/>
        <v>0</v>
      </c>
      <c r="L88" s="29">
        <f t="shared" si="19"/>
        <v>0</v>
      </c>
      <c r="M88" s="29">
        <f t="shared" si="19"/>
        <v>0</v>
      </c>
      <c r="N88" s="29">
        <f t="shared" si="19"/>
        <v>0</v>
      </c>
      <c r="O88" s="29">
        <f t="shared" si="19"/>
        <v>0</v>
      </c>
      <c r="P88" s="29">
        <f t="shared" si="19"/>
        <v>0</v>
      </c>
      <c r="Q88" s="29">
        <f t="shared" si="19"/>
        <v>0</v>
      </c>
      <c r="R88" s="29">
        <f t="shared" si="19"/>
        <v>0</v>
      </c>
      <c r="S88" s="29">
        <f t="shared" si="19"/>
        <v>0</v>
      </c>
      <c r="T88" s="29">
        <f t="shared" si="19"/>
        <v>0</v>
      </c>
      <c r="U88" s="29">
        <f t="shared" si="19"/>
        <v>0</v>
      </c>
      <c r="V88" s="29">
        <f t="shared" si="19"/>
        <v>0</v>
      </c>
      <c r="W88" s="29">
        <f t="shared" si="19"/>
        <v>0</v>
      </c>
      <c r="X88" s="29">
        <f t="shared" si="19"/>
        <v>0</v>
      </c>
      <c r="Y88" s="29">
        <f>SUM(E88:X88)</f>
        <v>0</v>
      </c>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row>
    <row r="89" spans="1:80">
      <c r="C89" s="7" t="s">
        <v>544</v>
      </c>
      <c r="E89" s="29">
        <f t="shared" ref="E89:X101" si="20">E52-E51</f>
        <v>0</v>
      </c>
      <c r="F89" s="29">
        <f t="shared" si="20"/>
        <v>0</v>
      </c>
      <c r="G89" s="29">
        <f t="shared" si="20"/>
        <v>0</v>
      </c>
      <c r="H89" s="29">
        <f t="shared" si="20"/>
        <v>0</v>
      </c>
      <c r="I89" s="29">
        <f t="shared" si="20"/>
        <v>0</v>
      </c>
      <c r="J89" s="29">
        <f t="shared" si="20"/>
        <v>0</v>
      </c>
      <c r="K89" s="29">
        <f t="shared" si="20"/>
        <v>0</v>
      </c>
      <c r="L89" s="29">
        <f t="shared" si="20"/>
        <v>0</v>
      </c>
      <c r="M89" s="29">
        <f t="shared" si="20"/>
        <v>0</v>
      </c>
      <c r="N89" s="29">
        <f t="shared" si="20"/>
        <v>0</v>
      </c>
      <c r="O89" s="29">
        <f t="shared" si="20"/>
        <v>0</v>
      </c>
      <c r="P89" s="29">
        <f t="shared" si="20"/>
        <v>0</v>
      </c>
      <c r="Q89" s="29">
        <f t="shared" si="20"/>
        <v>0</v>
      </c>
      <c r="R89" s="29">
        <f t="shared" si="20"/>
        <v>0</v>
      </c>
      <c r="S89" s="29">
        <f t="shared" si="20"/>
        <v>0</v>
      </c>
      <c r="T89" s="29">
        <f t="shared" si="20"/>
        <v>0</v>
      </c>
      <c r="U89" s="29">
        <f t="shared" si="20"/>
        <v>0</v>
      </c>
      <c r="V89" s="29">
        <f t="shared" si="20"/>
        <v>0</v>
      </c>
      <c r="W89" s="29">
        <f t="shared" si="20"/>
        <v>0</v>
      </c>
      <c r="X89" s="29">
        <f t="shared" si="20"/>
        <v>0</v>
      </c>
      <c r="Y89" s="29">
        <f t="shared" ref="Y89:Y118" si="21">SUM(E89:X89)</f>
        <v>0</v>
      </c>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row>
    <row r="90" spans="1:80">
      <c r="C90" s="7" t="s">
        <v>74</v>
      </c>
      <c r="E90" s="29">
        <f t="shared" si="20"/>
        <v>0</v>
      </c>
      <c r="F90" s="29">
        <f t="shared" si="20"/>
        <v>0</v>
      </c>
      <c r="G90" s="29">
        <f t="shared" si="20"/>
        <v>0</v>
      </c>
      <c r="H90" s="29">
        <f t="shared" si="20"/>
        <v>0</v>
      </c>
      <c r="I90" s="29">
        <f t="shared" si="20"/>
        <v>0</v>
      </c>
      <c r="J90" s="29">
        <f t="shared" si="20"/>
        <v>0</v>
      </c>
      <c r="K90" s="29">
        <f t="shared" si="20"/>
        <v>0</v>
      </c>
      <c r="L90" s="29">
        <f t="shared" si="20"/>
        <v>0</v>
      </c>
      <c r="M90" s="29">
        <f t="shared" si="20"/>
        <v>0</v>
      </c>
      <c r="N90" s="29">
        <f t="shared" si="20"/>
        <v>0</v>
      </c>
      <c r="O90" s="29">
        <f t="shared" si="20"/>
        <v>0</v>
      </c>
      <c r="P90" s="29">
        <f t="shared" si="20"/>
        <v>0</v>
      </c>
      <c r="Q90" s="29">
        <f t="shared" si="20"/>
        <v>0</v>
      </c>
      <c r="R90" s="29">
        <f t="shared" si="20"/>
        <v>0</v>
      </c>
      <c r="S90" s="29">
        <f t="shared" si="20"/>
        <v>0</v>
      </c>
      <c r="T90" s="29">
        <f t="shared" si="20"/>
        <v>0</v>
      </c>
      <c r="U90" s="29">
        <f t="shared" si="20"/>
        <v>0</v>
      </c>
      <c r="V90" s="29">
        <f t="shared" si="20"/>
        <v>0</v>
      </c>
      <c r="W90" s="29">
        <f t="shared" si="20"/>
        <v>0</v>
      </c>
      <c r="X90" s="29">
        <f t="shared" si="20"/>
        <v>0</v>
      </c>
      <c r="Y90" s="29">
        <f t="shared" si="21"/>
        <v>0</v>
      </c>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row>
    <row r="91" spans="1:80">
      <c r="C91" s="7" t="s">
        <v>77</v>
      </c>
      <c r="E91" s="29">
        <f t="shared" si="20"/>
        <v>0</v>
      </c>
      <c r="F91" s="29">
        <f t="shared" si="20"/>
        <v>0</v>
      </c>
      <c r="G91" s="29">
        <f t="shared" si="20"/>
        <v>0</v>
      </c>
      <c r="H91" s="29">
        <f t="shared" si="20"/>
        <v>0</v>
      </c>
      <c r="I91" s="29">
        <f t="shared" si="20"/>
        <v>0</v>
      </c>
      <c r="J91" s="29">
        <f t="shared" si="20"/>
        <v>0</v>
      </c>
      <c r="K91" s="29">
        <f t="shared" si="20"/>
        <v>0</v>
      </c>
      <c r="L91" s="29">
        <f t="shared" si="20"/>
        <v>0</v>
      </c>
      <c r="M91" s="29">
        <f t="shared" si="20"/>
        <v>0</v>
      </c>
      <c r="N91" s="29">
        <f t="shared" si="20"/>
        <v>0</v>
      </c>
      <c r="O91" s="29">
        <f t="shared" si="20"/>
        <v>0</v>
      </c>
      <c r="P91" s="29">
        <f t="shared" si="20"/>
        <v>0</v>
      </c>
      <c r="Q91" s="29">
        <f t="shared" si="20"/>
        <v>0</v>
      </c>
      <c r="R91" s="29">
        <f t="shared" si="20"/>
        <v>0</v>
      </c>
      <c r="S91" s="29">
        <f t="shared" si="20"/>
        <v>0</v>
      </c>
      <c r="T91" s="29">
        <f t="shared" si="20"/>
        <v>0</v>
      </c>
      <c r="U91" s="29">
        <f t="shared" si="20"/>
        <v>0</v>
      </c>
      <c r="V91" s="29">
        <f t="shared" si="20"/>
        <v>0</v>
      </c>
      <c r="W91" s="29">
        <f t="shared" si="20"/>
        <v>0</v>
      </c>
      <c r="X91" s="29">
        <f t="shared" si="20"/>
        <v>0</v>
      </c>
      <c r="Y91" s="29">
        <f t="shared" si="21"/>
        <v>0</v>
      </c>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row>
    <row r="92" spans="1:80">
      <c r="C92" s="7" t="s">
        <v>80</v>
      </c>
      <c r="E92" s="29">
        <f t="shared" si="20"/>
        <v>0</v>
      </c>
      <c r="F92" s="29">
        <f t="shared" si="20"/>
        <v>0</v>
      </c>
      <c r="G92" s="29">
        <f t="shared" si="20"/>
        <v>0</v>
      </c>
      <c r="H92" s="29">
        <f t="shared" si="20"/>
        <v>0</v>
      </c>
      <c r="I92" s="29">
        <f t="shared" si="20"/>
        <v>0</v>
      </c>
      <c r="J92" s="29">
        <f t="shared" si="20"/>
        <v>0</v>
      </c>
      <c r="K92" s="29">
        <f t="shared" si="20"/>
        <v>0</v>
      </c>
      <c r="L92" s="29">
        <f t="shared" si="20"/>
        <v>0</v>
      </c>
      <c r="M92" s="29">
        <f t="shared" si="20"/>
        <v>0</v>
      </c>
      <c r="N92" s="29">
        <f t="shared" si="20"/>
        <v>0</v>
      </c>
      <c r="O92" s="29">
        <f t="shared" si="20"/>
        <v>0</v>
      </c>
      <c r="P92" s="29">
        <f t="shared" si="20"/>
        <v>0</v>
      </c>
      <c r="Q92" s="29">
        <f t="shared" si="20"/>
        <v>0</v>
      </c>
      <c r="R92" s="29">
        <f t="shared" si="20"/>
        <v>0</v>
      </c>
      <c r="S92" s="29">
        <f t="shared" si="20"/>
        <v>0</v>
      </c>
      <c r="T92" s="29">
        <f t="shared" si="20"/>
        <v>0</v>
      </c>
      <c r="U92" s="29">
        <f t="shared" si="20"/>
        <v>0</v>
      </c>
      <c r="V92" s="29">
        <f t="shared" si="20"/>
        <v>0</v>
      </c>
      <c r="W92" s="29">
        <f t="shared" si="20"/>
        <v>0</v>
      </c>
      <c r="X92" s="29">
        <f t="shared" si="20"/>
        <v>0</v>
      </c>
      <c r="Y92" s="29">
        <f t="shared" si="21"/>
        <v>0</v>
      </c>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row>
    <row r="93" spans="1:80">
      <c r="C93" s="7" t="s">
        <v>83</v>
      </c>
      <c r="E93" s="29">
        <f t="shared" si="20"/>
        <v>0</v>
      </c>
      <c r="F93" s="29">
        <f t="shared" si="20"/>
        <v>0</v>
      </c>
      <c r="G93" s="29">
        <f t="shared" si="20"/>
        <v>0</v>
      </c>
      <c r="H93" s="29">
        <f t="shared" si="20"/>
        <v>0</v>
      </c>
      <c r="I93" s="29">
        <f t="shared" si="20"/>
        <v>0</v>
      </c>
      <c r="J93" s="29">
        <f t="shared" si="20"/>
        <v>0</v>
      </c>
      <c r="K93" s="29">
        <f t="shared" si="20"/>
        <v>0</v>
      </c>
      <c r="L93" s="29">
        <f t="shared" si="20"/>
        <v>0</v>
      </c>
      <c r="M93" s="29">
        <f t="shared" si="20"/>
        <v>0</v>
      </c>
      <c r="N93" s="29">
        <f t="shared" si="20"/>
        <v>0</v>
      </c>
      <c r="O93" s="29">
        <f t="shared" si="20"/>
        <v>0</v>
      </c>
      <c r="P93" s="29">
        <f t="shared" si="20"/>
        <v>0</v>
      </c>
      <c r="Q93" s="29">
        <f t="shared" si="20"/>
        <v>0</v>
      </c>
      <c r="R93" s="29">
        <f t="shared" si="20"/>
        <v>0</v>
      </c>
      <c r="S93" s="29">
        <f t="shared" si="20"/>
        <v>0</v>
      </c>
      <c r="T93" s="29">
        <f t="shared" si="20"/>
        <v>0</v>
      </c>
      <c r="U93" s="29">
        <f t="shared" si="20"/>
        <v>0</v>
      </c>
      <c r="V93" s="29">
        <f t="shared" si="20"/>
        <v>0</v>
      </c>
      <c r="W93" s="29">
        <f t="shared" si="20"/>
        <v>0</v>
      </c>
      <c r="X93" s="29">
        <f t="shared" si="20"/>
        <v>0</v>
      </c>
      <c r="Y93" s="29">
        <f t="shared" si="21"/>
        <v>0</v>
      </c>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row>
    <row r="94" spans="1:80">
      <c r="C94" s="7" t="s">
        <v>86</v>
      </c>
      <c r="E94" s="29">
        <f t="shared" si="20"/>
        <v>0</v>
      </c>
      <c r="F94" s="29">
        <f t="shared" si="20"/>
        <v>0</v>
      </c>
      <c r="G94" s="29">
        <f t="shared" si="20"/>
        <v>0</v>
      </c>
      <c r="H94" s="29">
        <f t="shared" si="20"/>
        <v>0</v>
      </c>
      <c r="I94" s="29">
        <f t="shared" si="20"/>
        <v>0</v>
      </c>
      <c r="J94" s="29">
        <f t="shared" si="20"/>
        <v>0</v>
      </c>
      <c r="K94" s="29">
        <f t="shared" si="20"/>
        <v>0</v>
      </c>
      <c r="L94" s="29">
        <f t="shared" si="20"/>
        <v>0</v>
      </c>
      <c r="M94" s="29">
        <f t="shared" si="20"/>
        <v>0</v>
      </c>
      <c r="N94" s="29">
        <f t="shared" si="20"/>
        <v>0</v>
      </c>
      <c r="O94" s="29">
        <f t="shared" si="20"/>
        <v>0</v>
      </c>
      <c r="P94" s="29">
        <f t="shared" si="20"/>
        <v>0</v>
      </c>
      <c r="Q94" s="29">
        <f t="shared" si="20"/>
        <v>0</v>
      </c>
      <c r="R94" s="29">
        <f t="shared" si="20"/>
        <v>0</v>
      </c>
      <c r="S94" s="29">
        <f t="shared" si="20"/>
        <v>0</v>
      </c>
      <c r="T94" s="29">
        <f t="shared" si="20"/>
        <v>0</v>
      </c>
      <c r="U94" s="29">
        <f t="shared" si="20"/>
        <v>0</v>
      </c>
      <c r="V94" s="29">
        <f t="shared" si="20"/>
        <v>0</v>
      </c>
      <c r="W94" s="29">
        <f t="shared" si="20"/>
        <v>0</v>
      </c>
      <c r="X94" s="29">
        <f t="shared" si="20"/>
        <v>0</v>
      </c>
      <c r="Y94" s="29">
        <f t="shared" si="21"/>
        <v>0</v>
      </c>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row>
    <row r="95" spans="1:80">
      <c r="C95" s="7" t="s">
        <v>89</v>
      </c>
      <c r="E95" s="29">
        <f t="shared" si="20"/>
        <v>0</v>
      </c>
      <c r="F95" s="29">
        <f t="shared" si="20"/>
        <v>0</v>
      </c>
      <c r="G95" s="29">
        <f t="shared" si="20"/>
        <v>0</v>
      </c>
      <c r="H95" s="29">
        <f t="shared" si="20"/>
        <v>0</v>
      </c>
      <c r="I95" s="29">
        <f t="shared" si="20"/>
        <v>0</v>
      </c>
      <c r="J95" s="29">
        <f t="shared" si="20"/>
        <v>0</v>
      </c>
      <c r="K95" s="29">
        <f t="shared" si="20"/>
        <v>0</v>
      </c>
      <c r="L95" s="29">
        <f t="shared" si="20"/>
        <v>0</v>
      </c>
      <c r="M95" s="29">
        <f t="shared" si="20"/>
        <v>0</v>
      </c>
      <c r="N95" s="29">
        <f t="shared" si="20"/>
        <v>0</v>
      </c>
      <c r="O95" s="29">
        <f t="shared" si="20"/>
        <v>0</v>
      </c>
      <c r="P95" s="29">
        <f t="shared" si="20"/>
        <v>0</v>
      </c>
      <c r="Q95" s="29">
        <f t="shared" si="20"/>
        <v>0</v>
      </c>
      <c r="R95" s="29">
        <f t="shared" si="20"/>
        <v>0</v>
      </c>
      <c r="S95" s="29">
        <f t="shared" si="20"/>
        <v>0</v>
      </c>
      <c r="T95" s="29">
        <f t="shared" si="20"/>
        <v>0</v>
      </c>
      <c r="U95" s="29">
        <f t="shared" si="20"/>
        <v>0</v>
      </c>
      <c r="V95" s="29">
        <f t="shared" si="20"/>
        <v>0</v>
      </c>
      <c r="W95" s="29">
        <f t="shared" si="20"/>
        <v>0</v>
      </c>
      <c r="X95" s="29">
        <f t="shared" si="20"/>
        <v>0</v>
      </c>
      <c r="Y95" s="29">
        <f t="shared" si="21"/>
        <v>0</v>
      </c>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row>
    <row r="96" spans="1:80">
      <c r="C96" s="7" t="s">
        <v>92</v>
      </c>
      <c r="E96" s="29">
        <f t="shared" si="20"/>
        <v>0</v>
      </c>
      <c r="F96" s="29">
        <f t="shared" si="20"/>
        <v>0</v>
      </c>
      <c r="G96" s="29">
        <f t="shared" si="20"/>
        <v>0</v>
      </c>
      <c r="H96" s="29">
        <f t="shared" si="20"/>
        <v>0</v>
      </c>
      <c r="I96" s="29">
        <f t="shared" si="20"/>
        <v>0</v>
      </c>
      <c r="J96" s="29">
        <f t="shared" si="20"/>
        <v>0</v>
      </c>
      <c r="K96" s="29">
        <f t="shared" si="20"/>
        <v>0</v>
      </c>
      <c r="L96" s="29">
        <f t="shared" si="20"/>
        <v>0</v>
      </c>
      <c r="M96" s="29">
        <f t="shared" si="20"/>
        <v>0</v>
      </c>
      <c r="N96" s="29">
        <f t="shared" si="20"/>
        <v>0</v>
      </c>
      <c r="O96" s="29">
        <f t="shared" si="20"/>
        <v>0</v>
      </c>
      <c r="P96" s="29">
        <f t="shared" si="20"/>
        <v>0</v>
      </c>
      <c r="Q96" s="29">
        <f t="shared" si="20"/>
        <v>0</v>
      </c>
      <c r="R96" s="29">
        <f t="shared" si="20"/>
        <v>0</v>
      </c>
      <c r="S96" s="29">
        <f t="shared" si="20"/>
        <v>0</v>
      </c>
      <c r="T96" s="29">
        <f t="shared" si="20"/>
        <v>0</v>
      </c>
      <c r="U96" s="29">
        <f t="shared" si="20"/>
        <v>0</v>
      </c>
      <c r="V96" s="29">
        <f t="shared" si="20"/>
        <v>0</v>
      </c>
      <c r="W96" s="29">
        <f t="shared" si="20"/>
        <v>0</v>
      </c>
      <c r="X96" s="29">
        <f t="shared" si="20"/>
        <v>0</v>
      </c>
      <c r="Y96" s="29">
        <f t="shared" si="21"/>
        <v>0</v>
      </c>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row>
    <row r="97" spans="3:80">
      <c r="C97" s="7" t="s">
        <v>95</v>
      </c>
      <c r="E97" s="29">
        <f t="shared" si="20"/>
        <v>0</v>
      </c>
      <c r="F97" s="29">
        <f t="shared" si="20"/>
        <v>0</v>
      </c>
      <c r="G97" s="29">
        <f t="shared" si="20"/>
        <v>0</v>
      </c>
      <c r="H97" s="29">
        <f t="shared" si="20"/>
        <v>0</v>
      </c>
      <c r="I97" s="29">
        <f t="shared" si="20"/>
        <v>0</v>
      </c>
      <c r="J97" s="29">
        <f t="shared" si="20"/>
        <v>0</v>
      </c>
      <c r="K97" s="29">
        <f t="shared" si="20"/>
        <v>0</v>
      </c>
      <c r="L97" s="29">
        <f t="shared" si="20"/>
        <v>0</v>
      </c>
      <c r="M97" s="29">
        <f t="shared" si="20"/>
        <v>0</v>
      </c>
      <c r="N97" s="29">
        <f t="shared" si="20"/>
        <v>0</v>
      </c>
      <c r="O97" s="29">
        <f t="shared" si="20"/>
        <v>0</v>
      </c>
      <c r="P97" s="29">
        <f t="shared" si="20"/>
        <v>0</v>
      </c>
      <c r="Q97" s="29">
        <f t="shared" si="20"/>
        <v>0</v>
      </c>
      <c r="R97" s="29">
        <f t="shared" si="20"/>
        <v>0</v>
      </c>
      <c r="S97" s="29">
        <f t="shared" si="20"/>
        <v>0</v>
      </c>
      <c r="T97" s="29">
        <f t="shared" si="20"/>
        <v>0</v>
      </c>
      <c r="U97" s="29">
        <f t="shared" si="20"/>
        <v>0</v>
      </c>
      <c r="V97" s="29">
        <f t="shared" si="20"/>
        <v>0</v>
      </c>
      <c r="W97" s="29">
        <f t="shared" si="20"/>
        <v>0</v>
      </c>
      <c r="X97" s="29">
        <f t="shared" si="20"/>
        <v>0</v>
      </c>
      <c r="Y97" s="29">
        <f t="shared" si="21"/>
        <v>0</v>
      </c>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row>
    <row r="98" spans="3:80">
      <c r="C98" s="7" t="s">
        <v>98</v>
      </c>
      <c r="E98" s="29">
        <f t="shared" si="20"/>
        <v>3.0729946024877001E-2</v>
      </c>
      <c r="F98" s="29">
        <f t="shared" si="20"/>
        <v>6.5486462491611191E-2</v>
      </c>
      <c r="G98" s="29">
        <f t="shared" si="20"/>
        <v>0.10393258651917957</v>
      </c>
      <c r="H98" s="29">
        <f t="shared" si="20"/>
        <v>0.14756610573399828</v>
      </c>
      <c r="I98" s="29">
        <f t="shared" si="20"/>
        <v>0.19578504625065354</v>
      </c>
      <c r="J98" s="29">
        <f t="shared" si="20"/>
        <v>0.24467518087926673</v>
      </c>
      <c r="K98" s="29">
        <f t="shared" si="20"/>
        <v>0.29985206218502269</v>
      </c>
      <c r="L98" s="29">
        <f t="shared" si="20"/>
        <v>0.36144511865110146</v>
      </c>
      <c r="M98" s="29">
        <f t="shared" si="20"/>
        <v>0.41650060846382264</v>
      </c>
      <c r="N98" s="29">
        <f t="shared" si="20"/>
        <v>0.47532941416056923</v>
      </c>
      <c r="O98" s="29">
        <f t="shared" si="20"/>
        <v>0.51872265876276857</v>
      </c>
      <c r="P98" s="29">
        <f t="shared" si="20"/>
        <v>0.53921154483194378</v>
      </c>
      <c r="Q98" s="29">
        <f t="shared" si="20"/>
        <v>0.54074220631286762</v>
      </c>
      <c r="R98" s="29">
        <f t="shared" si="20"/>
        <v>0.549407646703714</v>
      </c>
      <c r="S98" s="29">
        <f t="shared" si="20"/>
        <v>0.55933604902578815</v>
      </c>
      <c r="T98" s="29">
        <f t="shared" si="20"/>
        <v>0.55818087462243771</v>
      </c>
      <c r="U98" s="29">
        <f t="shared" si="20"/>
        <v>0.54004955024668777</v>
      </c>
      <c r="V98" s="29">
        <f t="shared" si="20"/>
        <v>0.53919801998943595</v>
      </c>
      <c r="W98" s="29">
        <f t="shared" si="20"/>
        <v>0.54057932479337201</v>
      </c>
      <c r="X98" s="29">
        <f t="shared" si="20"/>
        <v>0.54425069804257287</v>
      </c>
      <c r="Y98" s="29">
        <f t="shared" si="21"/>
        <v>7.7709811046916908</v>
      </c>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row>
    <row r="99" spans="3:80">
      <c r="C99" s="7" t="s">
        <v>101</v>
      </c>
      <c r="E99" s="29">
        <f t="shared" si="20"/>
        <v>0</v>
      </c>
      <c r="F99" s="29">
        <f t="shared" si="20"/>
        <v>0</v>
      </c>
      <c r="G99" s="29">
        <f t="shared" si="20"/>
        <v>0</v>
      </c>
      <c r="H99" s="29">
        <f t="shared" si="20"/>
        <v>0</v>
      </c>
      <c r="I99" s="29">
        <f t="shared" si="20"/>
        <v>0</v>
      </c>
      <c r="J99" s="29">
        <f t="shared" si="20"/>
        <v>0</v>
      </c>
      <c r="K99" s="29">
        <f t="shared" si="20"/>
        <v>0</v>
      </c>
      <c r="L99" s="29">
        <f t="shared" si="20"/>
        <v>0</v>
      </c>
      <c r="M99" s="29">
        <f t="shared" si="20"/>
        <v>0</v>
      </c>
      <c r="N99" s="29">
        <f t="shared" si="20"/>
        <v>0</v>
      </c>
      <c r="O99" s="29">
        <f t="shared" si="20"/>
        <v>0</v>
      </c>
      <c r="P99" s="29">
        <f t="shared" si="20"/>
        <v>0</v>
      </c>
      <c r="Q99" s="29">
        <f t="shared" si="20"/>
        <v>0</v>
      </c>
      <c r="R99" s="29">
        <f t="shared" si="20"/>
        <v>0</v>
      </c>
      <c r="S99" s="29">
        <f t="shared" si="20"/>
        <v>0</v>
      </c>
      <c r="T99" s="29">
        <f t="shared" si="20"/>
        <v>0</v>
      </c>
      <c r="U99" s="29">
        <f t="shared" si="20"/>
        <v>0</v>
      </c>
      <c r="V99" s="29">
        <f t="shared" si="20"/>
        <v>0</v>
      </c>
      <c r="W99" s="29">
        <f t="shared" si="20"/>
        <v>0</v>
      </c>
      <c r="X99" s="29">
        <f t="shared" si="20"/>
        <v>0</v>
      </c>
      <c r="Y99" s="29">
        <f t="shared" si="21"/>
        <v>0</v>
      </c>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row>
    <row r="100" spans="3:80">
      <c r="C100" s="7" t="s">
        <v>104</v>
      </c>
      <c r="E100" s="29">
        <f t="shared" si="20"/>
        <v>0</v>
      </c>
      <c r="F100" s="29">
        <f t="shared" si="20"/>
        <v>0</v>
      </c>
      <c r="G100" s="29">
        <f t="shared" si="20"/>
        <v>0</v>
      </c>
      <c r="H100" s="29">
        <f t="shared" si="20"/>
        <v>0</v>
      </c>
      <c r="I100" s="29">
        <f t="shared" si="20"/>
        <v>0</v>
      </c>
      <c r="J100" s="29">
        <f t="shared" si="20"/>
        <v>0</v>
      </c>
      <c r="K100" s="29">
        <f t="shared" si="20"/>
        <v>0</v>
      </c>
      <c r="L100" s="29">
        <f t="shared" si="20"/>
        <v>0</v>
      </c>
      <c r="M100" s="29">
        <f t="shared" si="20"/>
        <v>0</v>
      </c>
      <c r="N100" s="29">
        <f t="shared" si="20"/>
        <v>0</v>
      </c>
      <c r="O100" s="29">
        <f t="shared" si="20"/>
        <v>0</v>
      </c>
      <c r="P100" s="29">
        <f t="shared" si="20"/>
        <v>0</v>
      </c>
      <c r="Q100" s="29">
        <f t="shared" si="20"/>
        <v>0</v>
      </c>
      <c r="R100" s="29">
        <f t="shared" si="20"/>
        <v>0</v>
      </c>
      <c r="S100" s="29">
        <f t="shared" si="20"/>
        <v>0</v>
      </c>
      <c r="T100" s="29">
        <f t="shared" si="20"/>
        <v>0</v>
      </c>
      <c r="U100" s="29">
        <f t="shared" si="20"/>
        <v>0</v>
      </c>
      <c r="V100" s="29">
        <f t="shared" si="20"/>
        <v>0</v>
      </c>
      <c r="W100" s="29">
        <f t="shared" si="20"/>
        <v>0</v>
      </c>
      <c r="X100" s="29">
        <f t="shared" si="20"/>
        <v>0</v>
      </c>
      <c r="Y100" s="29">
        <f t="shared" si="21"/>
        <v>0</v>
      </c>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row>
    <row r="101" spans="3:80">
      <c r="C101" s="7" t="s">
        <v>107</v>
      </c>
      <c r="E101" s="29">
        <f t="shared" si="20"/>
        <v>0</v>
      </c>
      <c r="F101" s="29">
        <f t="shared" si="20"/>
        <v>0</v>
      </c>
      <c r="G101" s="29">
        <f t="shared" si="20"/>
        <v>0</v>
      </c>
      <c r="H101" s="29">
        <f t="shared" si="20"/>
        <v>0</v>
      </c>
      <c r="I101" s="29">
        <f t="shared" si="20"/>
        <v>0</v>
      </c>
      <c r="J101" s="29">
        <f t="shared" si="20"/>
        <v>0</v>
      </c>
      <c r="K101" s="29">
        <f t="shared" si="20"/>
        <v>0</v>
      </c>
      <c r="L101" s="29">
        <f t="shared" si="20"/>
        <v>0</v>
      </c>
      <c r="M101" s="29">
        <f t="shared" si="20"/>
        <v>0</v>
      </c>
      <c r="N101" s="29">
        <f t="shared" si="20"/>
        <v>0</v>
      </c>
      <c r="O101" s="29">
        <f t="shared" si="20"/>
        <v>0</v>
      </c>
      <c r="P101" s="29">
        <f t="shared" si="20"/>
        <v>0</v>
      </c>
      <c r="Q101" s="29">
        <f t="shared" si="20"/>
        <v>0</v>
      </c>
      <c r="R101" s="29">
        <f t="shared" si="20"/>
        <v>0</v>
      </c>
      <c r="S101" s="29">
        <f t="shared" si="20"/>
        <v>0</v>
      </c>
      <c r="T101" s="29">
        <f t="shared" ref="T101:X101" si="22">T64-T63</f>
        <v>0</v>
      </c>
      <c r="U101" s="29">
        <f t="shared" si="22"/>
        <v>0</v>
      </c>
      <c r="V101" s="29">
        <f t="shared" si="22"/>
        <v>0</v>
      </c>
      <c r="W101" s="29">
        <f t="shared" si="22"/>
        <v>0</v>
      </c>
      <c r="X101" s="29">
        <f t="shared" si="22"/>
        <v>0</v>
      </c>
      <c r="Y101" s="29">
        <f t="shared" si="21"/>
        <v>0</v>
      </c>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row>
    <row r="102" spans="3:80">
      <c r="C102" s="7" t="s">
        <v>110</v>
      </c>
      <c r="E102" s="29">
        <f t="shared" ref="E102:X115" si="23">E65-E64</f>
        <v>0</v>
      </c>
      <c r="F102" s="29">
        <f t="shared" si="23"/>
        <v>0</v>
      </c>
      <c r="G102" s="29">
        <f t="shared" si="23"/>
        <v>0</v>
      </c>
      <c r="H102" s="29">
        <f t="shared" si="23"/>
        <v>0</v>
      </c>
      <c r="I102" s="29">
        <f t="shared" si="23"/>
        <v>0</v>
      </c>
      <c r="J102" s="29">
        <f t="shared" si="23"/>
        <v>0</v>
      </c>
      <c r="K102" s="29">
        <f t="shared" si="23"/>
        <v>0</v>
      </c>
      <c r="L102" s="29">
        <f t="shared" si="23"/>
        <v>0</v>
      </c>
      <c r="M102" s="29">
        <f t="shared" si="23"/>
        <v>0</v>
      </c>
      <c r="N102" s="29">
        <f t="shared" si="23"/>
        <v>0</v>
      </c>
      <c r="O102" s="29">
        <f t="shared" si="23"/>
        <v>0</v>
      </c>
      <c r="P102" s="29">
        <f t="shared" si="23"/>
        <v>0</v>
      </c>
      <c r="Q102" s="29">
        <f t="shared" si="23"/>
        <v>0</v>
      </c>
      <c r="R102" s="29">
        <f t="shared" si="23"/>
        <v>0</v>
      </c>
      <c r="S102" s="29">
        <f t="shared" si="23"/>
        <v>0</v>
      </c>
      <c r="T102" s="29">
        <f t="shared" si="23"/>
        <v>0</v>
      </c>
      <c r="U102" s="29">
        <f t="shared" si="23"/>
        <v>0</v>
      </c>
      <c r="V102" s="29">
        <f t="shared" si="23"/>
        <v>0</v>
      </c>
      <c r="W102" s="29">
        <f t="shared" si="23"/>
        <v>0</v>
      </c>
      <c r="X102" s="29">
        <f t="shared" si="23"/>
        <v>0</v>
      </c>
      <c r="Y102" s="29">
        <f t="shared" si="21"/>
        <v>0</v>
      </c>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row>
    <row r="103" spans="3:80">
      <c r="C103" s="7" t="s">
        <v>113</v>
      </c>
      <c r="E103" s="29">
        <f t="shared" si="23"/>
        <v>0</v>
      </c>
      <c r="F103" s="29">
        <f t="shared" si="23"/>
        <v>0</v>
      </c>
      <c r="G103" s="29">
        <f t="shared" si="23"/>
        <v>0</v>
      </c>
      <c r="H103" s="29">
        <f t="shared" si="23"/>
        <v>0</v>
      </c>
      <c r="I103" s="29">
        <f t="shared" si="23"/>
        <v>0</v>
      </c>
      <c r="J103" s="29">
        <f t="shared" si="23"/>
        <v>0</v>
      </c>
      <c r="K103" s="29">
        <f t="shared" si="23"/>
        <v>0</v>
      </c>
      <c r="L103" s="29">
        <f t="shared" si="23"/>
        <v>0</v>
      </c>
      <c r="M103" s="29">
        <f t="shared" si="23"/>
        <v>0</v>
      </c>
      <c r="N103" s="29">
        <f t="shared" si="23"/>
        <v>0</v>
      </c>
      <c r="O103" s="29">
        <f t="shared" si="23"/>
        <v>0</v>
      </c>
      <c r="P103" s="29">
        <f t="shared" si="23"/>
        <v>0</v>
      </c>
      <c r="Q103" s="29">
        <f t="shared" si="23"/>
        <v>0</v>
      </c>
      <c r="R103" s="29">
        <f t="shared" si="23"/>
        <v>0</v>
      </c>
      <c r="S103" s="29">
        <f t="shared" si="23"/>
        <v>0</v>
      </c>
      <c r="T103" s="29">
        <f t="shared" si="23"/>
        <v>0</v>
      </c>
      <c r="U103" s="29">
        <f t="shared" si="23"/>
        <v>0</v>
      </c>
      <c r="V103" s="29">
        <f t="shared" si="23"/>
        <v>0</v>
      </c>
      <c r="W103" s="29">
        <f t="shared" si="23"/>
        <v>0</v>
      </c>
      <c r="X103" s="29">
        <f t="shared" si="23"/>
        <v>0</v>
      </c>
      <c r="Y103" s="29">
        <f t="shared" si="21"/>
        <v>0</v>
      </c>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row>
    <row r="104" spans="3:80">
      <c r="C104" s="7" t="s">
        <v>116</v>
      </c>
      <c r="E104" s="29">
        <f t="shared" si="23"/>
        <v>0</v>
      </c>
      <c r="F104" s="29">
        <f t="shared" si="23"/>
        <v>0</v>
      </c>
      <c r="G104" s="29">
        <f t="shared" si="23"/>
        <v>0</v>
      </c>
      <c r="H104" s="29">
        <f t="shared" si="23"/>
        <v>0</v>
      </c>
      <c r="I104" s="29">
        <f t="shared" si="23"/>
        <v>0</v>
      </c>
      <c r="J104" s="29">
        <f t="shared" si="23"/>
        <v>0</v>
      </c>
      <c r="K104" s="29">
        <f t="shared" si="23"/>
        <v>0</v>
      </c>
      <c r="L104" s="29">
        <f t="shared" si="23"/>
        <v>0</v>
      </c>
      <c r="M104" s="29">
        <f t="shared" si="23"/>
        <v>0</v>
      </c>
      <c r="N104" s="29">
        <f t="shared" si="23"/>
        <v>0</v>
      </c>
      <c r="O104" s="29">
        <f t="shared" si="23"/>
        <v>0</v>
      </c>
      <c r="P104" s="29">
        <f t="shared" si="23"/>
        <v>0</v>
      </c>
      <c r="Q104" s="29">
        <f t="shared" si="23"/>
        <v>0</v>
      </c>
      <c r="R104" s="29">
        <f t="shared" si="23"/>
        <v>0</v>
      </c>
      <c r="S104" s="29">
        <f t="shared" si="23"/>
        <v>0</v>
      </c>
      <c r="T104" s="29">
        <f t="shared" si="23"/>
        <v>0</v>
      </c>
      <c r="U104" s="29">
        <f t="shared" si="23"/>
        <v>0</v>
      </c>
      <c r="V104" s="29">
        <f t="shared" si="23"/>
        <v>0</v>
      </c>
      <c r="W104" s="29">
        <f t="shared" si="23"/>
        <v>0</v>
      </c>
      <c r="X104" s="29">
        <f t="shared" si="23"/>
        <v>0</v>
      </c>
      <c r="Y104" s="29">
        <f t="shared" si="21"/>
        <v>0</v>
      </c>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row>
    <row r="105" spans="3:80">
      <c r="C105" s="7" t="s">
        <v>119</v>
      </c>
      <c r="E105" s="29">
        <f t="shared" si="23"/>
        <v>0</v>
      </c>
      <c r="F105" s="29">
        <f t="shared" si="23"/>
        <v>0</v>
      </c>
      <c r="G105" s="29">
        <f t="shared" si="23"/>
        <v>0</v>
      </c>
      <c r="H105" s="29">
        <f t="shared" si="23"/>
        <v>0</v>
      </c>
      <c r="I105" s="29">
        <f t="shared" si="23"/>
        <v>0</v>
      </c>
      <c r="J105" s="29">
        <f t="shared" si="23"/>
        <v>0</v>
      </c>
      <c r="K105" s="29">
        <f t="shared" si="23"/>
        <v>0</v>
      </c>
      <c r="L105" s="29">
        <f t="shared" si="23"/>
        <v>0</v>
      </c>
      <c r="M105" s="29">
        <f t="shared" si="23"/>
        <v>0</v>
      </c>
      <c r="N105" s="29">
        <f t="shared" si="23"/>
        <v>0</v>
      </c>
      <c r="O105" s="29">
        <f t="shared" si="23"/>
        <v>0</v>
      </c>
      <c r="P105" s="29">
        <f t="shared" si="23"/>
        <v>0</v>
      </c>
      <c r="Q105" s="29">
        <f t="shared" si="23"/>
        <v>0</v>
      </c>
      <c r="R105" s="29">
        <f t="shared" si="23"/>
        <v>0</v>
      </c>
      <c r="S105" s="29">
        <f t="shared" si="23"/>
        <v>0</v>
      </c>
      <c r="T105" s="29">
        <f t="shared" si="23"/>
        <v>0</v>
      </c>
      <c r="U105" s="29">
        <f t="shared" si="23"/>
        <v>0</v>
      </c>
      <c r="V105" s="29">
        <f t="shared" si="23"/>
        <v>0</v>
      </c>
      <c r="W105" s="29">
        <f t="shared" si="23"/>
        <v>0</v>
      </c>
      <c r="X105" s="29">
        <f t="shared" si="23"/>
        <v>0</v>
      </c>
      <c r="Y105" s="29">
        <f t="shared" si="21"/>
        <v>0</v>
      </c>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row>
    <row r="106" spans="3:80">
      <c r="C106" s="7" t="s">
        <v>122</v>
      </c>
      <c r="E106" s="29">
        <f t="shared" si="23"/>
        <v>0</v>
      </c>
      <c r="F106" s="29">
        <f t="shared" si="23"/>
        <v>0</v>
      </c>
      <c r="G106" s="29">
        <f t="shared" si="23"/>
        <v>0</v>
      </c>
      <c r="H106" s="29">
        <f t="shared" si="23"/>
        <v>0</v>
      </c>
      <c r="I106" s="29">
        <f t="shared" si="23"/>
        <v>0</v>
      </c>
      <c r="J106" s="29">
        <f t="shared" si="23"/>
        <v>0</v>
      </c>
      <c r="K106" s="29">
        <f t="shared" si="23"/>
        <v>0</v>
      </c>
      <c r="L106" s="29">
        <f t="shared" si="23"/>
        <v>0</v>
      </c>
      <c r="M106" s="29">
        <f t="shared" si="23"/>
        <v>0</v>
      </c>
      <c r="N106" s="29">
        <f t="shared" si="23"/>
        <v>0</v>
      </c>
      <c r="O106" s="29">
        <f t="shared" si="23"/>
        <v>0</v>
      </c>
      <c r="P106" s="29">
        <f t="shared" si="23"/>
        <v>0</v>
      </c>
      <c r="Q106" s="29">
        <f t="shared" si="23"/>
        <v>0</v>
      </c>
      <c r="R106" s="29">
        <f t="shared" si="23"/>
        <v>0</v>
      </c>
      <c r="S106" s="29">
        <f t="shared" si="23"/>
        <v>0</v>
      </c>
      <c r="T106" s="29">
        <f t="shared" si="23"/>
        <v>0</v>
      </c>
      <c r="U106" s="29">
        <f t="shared" si="23"/>
        <v>0</v>
      </c>
      <c r="V106" s="29">
        <f t="shared" si="23"/>
        <v>0</v>
      </c>
      <c r="W106" s="29">
        <f t="shared" si="23"/>
        <v>0</v>
      </c>
      <c r="X106" s="29">
        <f t="shared" si="23"/>
        <v>0</v>
      </c>
      <c r="Y106" s="29">
        <f t="shared" si="21"/>
        <v>0</v>
      </c>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row>
    <row r="107" spans="3:80">
      <c r="C107" s="7" t="s">
        <v>125</v>
      </c>
      <c r="E107" s="29">
        <f t="shared" si="23"/>
        <v>0</v>
      </c>
      <c r="F107" s="29">
        <f t="shared" si="23"/>
        <v>0</v>
      </c>
      <c r="G107" s="29">
        <f t="shared" si="23"/>
        <v>0</v>
      </c>
      <c r="H107" s="29">
        <f t="shared" si="23"/>
        <v>0</v>
      </c>
      <c r="I107" s="29">
        <f t="shared" si="23"/>
        <v>0</v>
      </c>
      <c r="J107" s="29">
        <f t="shared" si="23"/>
        <v>0</v>
      </c>
      <c r="K107" s="29">
        <f t="shared" si="23"/>
        <v>0</v>
      </c>
      <c r="L107" s="29">
        <f t="shared" si="23"/>
        <v>0</v>
      </c>
      <c r="M107" s="29">
        <f t="shared" si="23"/>
        <v>0</v>
      </c>
      <c r="N107" s="29">
        <f t="shared" si="23"/>
        <v>0</v>
      </c>
      <c r="O107" s="29">
        <f t="shared" si="23"/>
        <v>0</v>
      </c>
      <c r="P107" s="29">
        <f t="shared" si="23"/>
        <v>0</v>
      </c>
      <c r="Q107" s="29">
        <f t="shared" si="23"/>
        <v>0</v>
      </c>
      <c r="R107" s="29">
        <f t="shared" si="23"/>
        <v>0</v>
      </c>
      <c r="S107" s="29">
        <f t="shared" si="23"/>
        <v>0</v>
      </c>
      <c r="T107" s="29">
        <f t="shared" si="23"/>
        <v>0</v>
      </c>
      <c r="U107" s="29">
        <f t="shared" si="23"/>
        <v>0</v>
      </c>
      <c r="V107" s="29">
        <f t="shared" si="23"/>
        <v>0</v>
      </c>
      <c r="W107" s="29">
        <f t="shared" si="23"/>
        <v>0</v>
      </c>
      <c r="X107" s="29">
        <f t="shared" si="23"/>
        <v>0</v>
      </c>
      <c r="Y107" s="29">
        <f t="shared" si="21"/>
        <v>0</v>
      </c>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row>
    <row r="108" spans="3:80">
      <c r="C108" s="7" t="s">
        <v>128</v>
      </c>
      <c r="E108" s="29">
        <f>E71-E70</f>
        <v>0</v>
      </c>
      <c r="F108" s="29">
        <f t="shared" si="23"/>
        <v>0</v>
      </c>
      <c r="G108" s="29">
        <f t="shared" si="23"/>
        <v>0</v>
      </c>
      <c r="H108" s="29">
        <f t="shared" si="23"/>
        <v>0</v>
      </c>
      <c r="I108" s="29">
        <f t="shared" si="23"/>
        <v>0</v>
      </c>
      <c r="J108" s="29">
        <f t="shared" si="23"/>
        <v>0</v>
      </c>
      <c r="K108" s="29">
        <f t="shared" si="23"/>
        <v>0</v>
      </c>
      <c r="L108" s="29">
        <f t="shared" si="23"/>
        <v>0</v>
      </c>
      <c r="M108" s="29">
        <f t="shared" si="23"/>
        <v>0</v>
      </c>
      <c r="N108" s="29">
        <f t="shared" si="23"/>
        <v>0</v>
      </c>
      <c r="O108" s="29">
        <f t="shared" si="23"/>
        <v>0</v>
      </c>
      <c r="P108" s="29">
        <f t="shared" si="23"/>
        <v>0</v>
      </c>
      <c r="Q108" s="29">
        <f t="shared" si="23"/>
        <v>0</v>
      </c>
      <c r="R108" s="29">
        <f t="shared" si="23"/>
        <v>0</v>
      </c>
      <c r="S108" s="29">
        <f t="shared" si="23"/>
        <v>0</v>
      </c>
      <c r="T108" s="29">
        <f t="shared" si="23"/>
        <v>0</v>
      </c>
      <c r="U108" s="29">
        <f t="shared" si="23"/>
        <v>0</v>
      </c>
      <c r="V108" s="29">
        <f t="shared" si="23"/>
        <v>0</v>
      </c>
      <c r="W108" s="29">
        <f t="shared" si="23"/>
        <v>0</v>
      </c>
      <c r="X108" s="29">
        <f t="shared" si="23"/>
        <v>0</v>
      </c>
      <c r="Y108" s="29">
        <f t="shared" si="21"/>
        <v>0</v>
      </c>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row>
    <row r="109" spans="3:80">
      <c r="C109" s="7" t="s">
        <v>372</v>
      </c>
      <c r="E109" s="29">
        <f t="shared" ref="E109:T119" si="24">E72-E71</f>
        <v>0</v>
      </c>
      <c r="F109" s="29">
        <f t="shared" si="24"/>
        <v>0</v>
      </c>
      <c r="G109" s="29">
        <f t="shared" si="24"/>
        <v>0</v>
      </c>
      <c r="H109" s="29">
        <f t="shared" si="24"/>
        <v>0</v>
      </c>
      <c r="I109" s="29">
        <f t="shared" si="24"/>
        <v>0</v>
      </c>
      <c r="J109" s="29">
        <f t="shared" si="24"/>
        <v>0</v>
      </c>
      <c r="K109" s="29">
        <f t="shared" si="24"/>
        <v>0</v>
      </c>
      <c r="L109" s="29">
        <f t="shared" si="24"/>
        <v>0</v>
      </c>
      <c r="M109" s="29">
        <f t="shared" si="24"/>
        <v>0</v>
      </c>
      <c r="N109" s="29">
        <f t="shared" si="24"/>
        <v>0</v>
      </c>
      <c r="O109" s="29">
        <f t="shared" si="24"/>
        <v>0</v>
      </c>
      <c r="P109" s="29">
        <f t="shared" si="24"/>
        <v>0</v>
      </c>
      <c r="Q109" s="29">
        <f t="shared" si="24"/>
        <v>0</v>
      </c>
      <c r="R109" s="29">
        <f t="shared" si="24"/>
        <v>0</v>
      </c>
      <c r="S109" s="29">
        <f t="shared" si="24"/>
        <v>0</v>
      </c>
      <c r="T109" s="29">
        <f t="shared" si="24"/>
        <v>0</v>
      </c>
      <c r="U109" s="29">
        <f t="shared" si="23"/>
        <v>0</v>
      </c>
      <c r="V109" s="29">
        <f t="shared" si="23"/>
        <v>0</v>
      </c>
      <c r="W109" s="29">
        <f t="shared" si="23"/>
        <v>0</v>
      </c>
      <c r="X109" s="29">
        <f t="shared" si="23"/>
        <v>0</v>
      </c>
      <c r="Y109" s="29">
        <f t="shared" si="21"/>
        <v>0</v>
      </c>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row>
    <row r="110" spans="3:80">
      <c r="C110" s="7" t="s">
        <v>373</v>
      </c>
      <c r="E110" s="29">
        <f t="shared" si="24"/>
        <v>0</v>
      </c>
      <c r="F110" s="29">
        <f t="shared" si="23"/>
        <v>0</v>
      </c>
      <c r="G110" s="29">
        <f t="shared" si="23"/>
        <v>0</v>
      </c>
      <c r="H110" s="29">
        <f t="shared" si="23"/>
        <v>0</v>
      </c>
      <c r="I110" s="29">
        <f t="shared" si="23"/>
        <v>0</v>
      </c>
      <c r="J110" s="29">
        <f t="shared" si="23"/>
        <v>0</v>
      </c>
      <c r="K110" s="29">
        <f t="shared" si="23"/>
        <v>0</v>
      </c>
      <c r="L110" s="29">
        <f t="shared" si="23"/>
        <v>0</v>
      </c>
      <c r="M110" s="29">
        <f t="shared" si="23"/>
        <v>0</v>
      </c>
      <c r="N110" s="29">
        <f t="shared" si="23"/>
        <v>0</v>
      </c>
      <c r="O110" s="29">
        <f t="shared" si="23"/>
        <v>0</v>
      </c>
      <c r="P110" s="29">
        <f t="shared" si="23"/>
        <v>0</v>
      </c>
      <c r="Q110" s="29">
        <f t="shared" si="23"/>
        <v>0</v>
      </c>
      <c r="R110" s="29">
        <f t="shared" si="23"/>
        <v>0</v>
      </c>
      <c r="S110" s="29">
        <f t="shared" si="23"/>
        <v>0</v>
      </c>
      <c r="T110" s="29">
        <f t="shared" si="23"/>
        <v>0</v>
      </c>
      <c r="U110" s="29">
        <f t="shared" si="23"/>
        <v>0</v>
      </c>
      <c r="V110" s="29">
        <f t="shared" si="23"/>
        <v>0</v>
      </c>
      <c r="W110" s="29">
        <f t="shared" si="23"/>
        <v>0</v>
      </c>
      <c r="X110" s="29">
        <f t="shared" si="23"/>
        <v>0</v>
      </c>
      <c r="Y110" s="29">
        <f t="shared" si="21"/>
        <v>0</v>
      </c>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row>
    <row r="111" spans="3:80">
      <c r="C111" s="7" t="s">
        <v>374</v>
      </c>
      <c r="E111" s="29">
        <f t="shared" si="24"/>
        <v>0</v>
      </c>
      <c r="F111" s="29">
        <f t="shared" si="23"/>
        <v>0</v>
      </c>
      <c r="G111" s="29">
        <f t="shared" si="23"/>
        <v>0</v>
      </c>
      <c r="H111" s="29">
        <f t="shared" si="23"/>
        <v>0</v>
      </c>
      <c r="I111" s="29">
        <f t="shared" si="23"/>
        <v>0</v>
      </c>
      <c r="J111" s="29">
        <f t="shared" si="23"/>
        <v>0</v>
      </c>
      <c r="K111" s="29">
        <f t="shared" si="23"/>
        <v>0</v>
      </c>
      <c r="L111" s="29">
        <f t="shared" si="23"/>
        <v>0</v>
      </c>
      <c r="M111" s="29">
        <f t="shared" si="23"/>
        <v>0</v>
      </c>
      <c r="N111" s="29">
        <f t="shared" si="23"/>
        <v>0</v>
      </c>
      <c r="O111" s="29">
        <f t="shared" si="23"/>
        <v>0</v>
      </c>
      <c r="P111" s="29">
        <f t="shared" si="23"/>
        <v>0</v>
      </c>
      <c r="Q111" s="29">
        <f t="shared" si="23"/>
        <v>0</v>
      </c>
      <c r="R111" s="29">
        <f t="shared" si="23"/>
        <v>0</v>
      </c>
      <c r="S111" s="29">
        <f t="shared" si="23"/>
        <v>0</v>
      </c>
      <c r="T111" s="29">
        <f t="shared" si="23"/>
        <v>0</v>
      </c>
      <c r="U111" s="29">
        <f t="shared" si="23"/>
        <v>0</v>
      </c>
      <c r="V111" s="29">
        <f t="shared" si="23"/>
        <v>0</v>
      </c>
      <c r="W111" s="29">
        <f t="shared" si="23"/>
        <v>0</v>
      </c>
      <c r="X111" s="29">
        <f t="shared" si="23"/>
        <v>0</v>
      </c>
      <c r="Y111" s="29">
        <f t="shared" si="21"/>
        <v>0</v>
      </c>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row>
    <row r="112" spans="3:80">
      <c r="C112" s="7" t="s">
        <v>375</v>
      </c>
      <c r="E112" s="29">
        <f t="shared" si="24"/>
        <v>0</v>
      </c>
      <c r="F112" s="29">
        <f t="shared" si="23"/>
        <v>0</v>
      </c>
      <c r="G112" s="29">
        <f t="shared" si="23"/>
        <v>0</v>
      </c>
      <c r="H112" s="29">
        <f t="shared" si="23"/>
        <v>0</v>
      </c>
      <c r="I112" s="29">
        <f t="shared" si="23"/>
        <v>0</v>
      </c>
      <c r="J112" s="29">
        <f t="shared" si="23"/>
        <v>0</v>
      </c>
      <c r="K112" s="29">
        <f t="shared" si="23"/>
        <v>0</v>
      </c>
      <c r="L112" s="29">
        <f t="shared" si="23"/>
        <v>0</v>
      </c>
      <c r="M112" s="29">
        <f t="shared" si="23"/>
        <v>0</v>
      </c>
      <c r="N112" s="29">
        <f t="shared" si="23"/>
        <v>0</v>
      </c>
      <c r="O112" s="29">
        <f t="shared" si="23"/>
        <v>0</v>
      </c>
      <c r="P112" s="29">
        <f t="shared" si="23"/>
        <v>0</v>
      </c>
      <c r="Q112" s="29">
        <f t="shared" si="23"/>
        <v>0</v>
      </c>
      <c r="R112" s="29">
        <f t="shared" si="23"/>
        <v>0</v>
      </c>
      <c r="S112" s="29">
        <f t="shared" si="23"/>
        <v>0</v>
      </c>
      <c r="T112" s="29">
        <f t="shared" si="23"/>
        <v>0</v>
      </c>
      <c r="U112" s="29">
        <f t="shared" si="23"/>
        <v>0</v>
      </c>
      <c r="V112" s="29">
        <f t="shared" si="23"/>
        <v>0</v>
      </c>
      <c r="W112" s="29">
        <f t="shared" si="23"/>
        <v>0</v>
      </c>
      <c r="X112" s="29">
        <f t="shared" si="23"/>
        <v>0</v>
      </c>
      <c r="Y112" s="29">
        <f t="shared" si="21"/>
        <v>0</v>
      </c>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row>
    <row r="113" spans="1:80">
      <c r="C113" s="7" t="s">
        <v>376</v>
      </c>
      <c r="E113" s="29">
        <f t="shared" si="24"/>
        <v>0</v>
      </c>
      <c r="F113" s="29">
        <f t="shared" si="23"/>
        <v>0</v>
      </c>
      <c r="G113" s="29">
        <f t="shared" si="23"/>
        <v>0</v>
      </c>
      <c r="H113" s="29">
        <f t="shared" si="23"/>
        <v>0</v>
      </c>
      <c r="I113" s="29">
        <f t="shared" si="23"/>
        <v>0</v>
      </c>
      <c r="J113" s="29">
        <f t="shared" si="23"/>
        <v>0</v>
      </c>
      <c r="K113" s="29">
        <f t="shared" si="23"/>
        <v>0</v>
      </c>
      <c r="L113" s="29">
        <f t="shared" si="23"/>
        <v>0</v>
      </c>
      <c r="M113" s="29">
        <f t="shared" si="23"/>
        <v>0</v>
      </c>
      <c r="N113" s="29">
        <f t="shared" si="23"/>
        <v>0</v>
      </c>
      <c r="O113" s="29">
        <f t="shared" si="23"/>
        <v>0</v>
      </c>
      <c r="P113" s="29">
        <f t="shared" si="23"/>
        <v>0</v>
      </c>
      <c r="Q113" s="29">
        <f t="shared" si="23"/>
        <v>0</v>
      </c>
      <c r="R113" s="29">
        <f t="shared" si="23"/>
        <v>0</v>
      </c>
      <c r="S113" s="29">
        <f t="shared" si="23"/>
        <v>0</v>
      </c>
      <c r="T113" s="29">
        <f t="shared" si="23"/>
        <v>0</v>
      </c>
      <c r="U113" s="29">
        <f t="shared" si="23"/>
        <v>0</v>
      </c>
      <c r="V113" s="29">
        <f t="shared" si="23"/>
        <v>0</v>
      </c>
      <c r="W113" s="29">
        <f t="shared" si="23"/>
        <v>0</v>
      </c>
      <c r="X113" s="29">
        <f t="shared" si="23"/>
        <v>0</v>
      </c>
      <c r="Y113" s="29">
        <f t="shared" si="21"/>
        <v>0</v>
      </c>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row>
    <row r="114" spans="1:80">
      <c r="C114" s="7" t="s">
        <v>377</v>
      </c>
      <c r="E114" s="29">
        <f t="shared" si="24"/>
        <v>0</v>
      </c>
      <c r="F114" s="29">
        <f t="shared" si="23"/>
        <v>0</v>
      </c>
      <c r="G114" s="29">
        <f t="shared" si="23"/>
        <v>0</v>
      </c>
      <c r="H114" s="29">
        <f t="shared" si="23"/>
        <v>0</v>
      </c>
      <c r="I114" s="29">
        <f t="shared" si="23"/>
        <v>0</v>
      </c>
      <c r="J114" s="29">
        <f t="shared" si="23"/>
        <v>0</v>
      </c>
      <c r="K114" s="29">
        <f t="shared" si="23"/>
        <v>0</v>
      </c>
      <c r="L114" s="29">
        <f t="shared" si="23"/>
        <v>0</v>
      </c>
      <c r="M114" s="29">
        <f t="shared" si="23"/>
        <v>0</v>
      </c>
      <c r="N114" s="29">
        <f t="shared" si="23"/>
        <v>0</v>
      </c>
      <c r="O114" s="29">
        <f t="shared" si="23"/>
        <v>0</v>
      </c>
      <c r="P114" s="29">
        <f t="shared" si="23"/>
        <v>0</v>
      </c>
      <c r="Q114" s="29">
        <f t="shared" si="23"/>
        <v>0</v>
      </c>
      <c r="R114" s="29">
        <f t="shared" si="23"/>
        <v>0</v>
      </c>
      <c r="S114" s="29">
        <f t="shared" si="23"/>
        <v>0</v>
      </c>
      <c r="T114" s="29">
        <f t="shared" si="23"/>
        <v>0</v>
      </c>
      <c r="U114" s="29">
        <f t="shared" si="23"/>
        <v>0</v>
      </c>
      <c r="V114" s="29">
        <f t="shared" si="23"/>
        <v>0</v>
      </c>
      <c r="W114" s="29">
        <f t="shared" si="23"/>
        <v>0</v>
      </c>
      <c r="X114" s="29">
        <f t="shared" si="23"/>
        <v>0</v>
      </c>
      <c r="Y114" s="29">
        <f t="shared" si="21"/>
        <v>0</v>
      </c>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row>
    <row r="115" spans="1:80">
      <c r="C115" s="7" t="s">
        <v>378</v>
      </c>
      <c r="E115" s="29">
        <f t="shared" si="24"/>
        <v>0</v>
      </c>
      <c r="F115" s="29">
        <f t="shared" si="23"/>
        <v>0</v>
      </c>
      <c r="G115" s="29">
        <f t="shared" si="23"/>
        <v>0</v>
      </c>
      <c r="H115" s="29">
        <f t="shared" si="23"/>
        <v>0</v>
      </c>
      <c r="I115" s="29">
        <f t="shared" si="23"/>
        <v>0</v>
      </c>
      <c r="J115" s="29">
        <f t="shared" si="23"/>
        <v>0</v>
      </c>
      <c r="K115" s="29">
        <f t="shared" si="23"/>
        <v>0</v>
      </c>
      <c r="L115" s="29">
        <f t="shared" si="23"/>
        <v>0</v>
      </c>
      <c r="M115" s="29">
        <f t="shared" si="23"/>
        <v>0</v>
      </c>
      <c r="N115" s="29">
        <f t="shared" si="23"/>
        <v>0</v>
      </c>
      <c r="O115" s="29">
        <f t="shared" si="23"/>
        <v>0</v>
      </c>
      <c r="P115" s="29">
        <f t="shared" si="23"/>
        <v>0</v>
      </c>
      <c r="Q115" s="29">
        <f t="shared" si="23"/>
        <v>0</v>
      </c>
      <c r="R115" s="29">
        <f t="shared" si="23"/>
        <v>0</v>
      </c>
      <c r="S115" s="29">
        <f t="shared" si="23"/>
        <v>0</v>
      </c>
      <c r="T115" s="29">
        <f t="shared" si="23"/>
        <v>0</v>
      </c>
      <c r="U115" s="29">
        <f t="shared" si="23"/>
        <v>0</v>
      </c>
      <c r="V115" s="29">
        <f t="shared" si="23"/>
        <v>0</v>
      </c>
      <c r="W115" s="29">
        <f t="shared" ref="F115:X119" si="25">W78-W77</f>
        <v>0</v>
      </c>
      <c r="X115" s="29">
        <f t="shared" si="25"/>
        <v>0</v>
      </c>
      <c r="Y115" s="29">
        <f t="shared" si="21"/>
        <v>0</v>
      </c>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row>
    <row r="116" spans="1:80">
      <c r="C116" s="7" t="s">
        <v>379</v>
      </c>
      <c r="E116" s="29">
        <f t="shared" si="24"/>
        <v>0</v>
      </c>
      <c r="F116" s="29">
        <f t="shared" si="25"/>
        <v>0</v>
      </c>
      <c r="G116" s="29">
        <f t="shared" si="25"/>
        <v>0</v>
      </c>
      <c r="H116" s="29">
        <f t="shared" si="25"/>
        <v>0</v>
      </c>
      <c r="I116" s="29">
        <f t="shared" si="25"/>
        <v>0</v>
      </c>
      <c r="J116" s="29">
        <f t="shared" si="25"/>
        <v>0</v>
      </c>
      <c r="K116" s="29">
        <f t="shared" si="25"/>
        <v>0</v>
      </c>
      <c r="L116" s="29">
        <f t="shared" si="25"/>
        <v>0</v>
      </c>
      <c r="M116" s="29">
        <f t="shared" si="25"/>
        <v>0</v>
      </c>
      <c r="N116" s="29">
        <f t="shared" si="25"/>
        <v>0</v>
      </c>
      <c r="O116" s="29">
        <f t="shared" si="25"/>
        <v>0</v>
      </c>
      <c r="P116" s="29">
        <f t="shared" si="25"/>
        <v>0</v>
      </c>
      <c r="Q116" s="29">
        <f t="shared" si="25"/>
        <v>0</v>
      </c>
      <c r="R116" s="29">
        <f t="shared" si="25"/>
        <v>0</v>
      </c>
      <c r="S116" s="29">
        <f t="shared" si="25"/>
        <v>0</v>
      </c>
      <c r="T116" s="29">
        <f t="shared" si="25"/>
        <v>0</v>
      </c>
      <c r="U116" s="29">
        <f t="shared" si="25"/>
        <v>0</v>
      </c>
      <c r="V116" s="29">
        <f t="shared" si="25"/>
        <v>0</v>
      </c>
      <c r="W116" s="29">
        <f t="shared" si="25"/>
        <v>0</v>
      </c>
      <c r="X116" s="29">
        <f t="shared" si="25"/>
        <v>0</v>
      </c>
      <c r="Y116" s="29">
        <f t="shared" si="21"/>
        <v>0</v>
      </c>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row>
    <row r="117" spans="1:80">
      <c r="C117" s="7" t="s">
        <v>380</v>
      </c>
      <c r="E117" s="29">
        <f t="shared" si="24"/>
        <v>0</v>
      </c>
      <c r="F117" s="29">
        <f t="shared" si="25"/>
        <v>0</v>
      </c>
      <c r="G117" s="29">
        <f t="shared" si="25"/>
        <v>0</v>
      </c>
      <c r="H117" s="29">
        <f t="shared" si="25"/>
        <v>0</v>
      </c>
      <c r="I117" s="29">
        <f t="shared" si="25"/>
        <v>0</v>
      </c>
      <c r="J117" s="29">
        <f t="shared" si="25"/>
        <v>0</v>
      </c>
      <c r="K117" s="29">
        <f t="shared" si="25"/>
        <v>0</v>
      </c>
      <c r="L117" s="29">
        <f t="shared" si="25"/>
        <v>0</v>
      </c>
      <c r="M117" s="29">
        <f t="shared" si="25"/>
        <v>0</v>
      </c>
      <c r="N117" s="29">
        <f t="shared" si="25"/>
        <v>0</v>
      </c>
      <c r="O117" s="29">
        <f t="shared" si="25"/>
        <v>0</v>
      </c>
      <c r="P117" s="29">
        <f t="shared" si="25"/>
        <v>0</v>
      </c>
      <c r="Q117" s="29">
        <f t="shared" si="25"/>
        <v>0</v>
      </c>
      <c r="R117" s="29">
        <f t="shared" si="25"/>
        <v>0</v>
      </c>
      <c r="S117" s="29">
        <f t="shared" si="25"/>
        <v>0</v>
      </c>
      <c r="T117" s="29">
        <f t="shared" si="25"/>
        <v>0</v>
      </c>
      <c r="U117" s="29">
        <f t="shared" si="25"/>
        <v>0</v>
      </c>
      <c r="V117" s="29">
        <f t="shared" si="25"/>
        <v>0</v>
      </c>
      <c r="W117" s="29">
        <f t="shared" si="25"/>
        <v>0</v>
      </c>
      <c r="X117" s="29">
        <f t="shared" si="25"/>
        <v>0</v>
      </c>
      <c r="Y117" s="29">
        <f t="shared" si="21"/>
        <v>0</v>
      </c>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row>
    <row r="118" spans="1:80">
      <c r="C118" s="7" t="s">
        <v>381</v>
      </c>
      <c r="E118" s="29">
        <f t="shared" si="24"/>
        <v>0</v>
      </c>
      <c r="F118" s="29">
        <f t="shared" si="25"/>
        <v>0</v>
      </c>
      <c r="G118" s="29">
        <f t="shared" si="25"/>
        <v>0</v>
      </c>
      <c r="H118" s="29">
        <f t="shared" si="25"/>
        <v>0</v>
      </c>
      <c r="I118" s="29">
        <f t="shared" si="25"/>
        <v>0</v>
      </c>
      <c r="J118" s="29">
        <f t="shared" si="25"/>
        <v>0</v>
      </c>
      <c r="K118" s="29">
        <f t="shared" si="25"/>
        <v>0</v>
      </c>
      <c r="L118" s="29">
        <f t="shared" si="25"/>
        <v>0</v>
      </c>
      <c r="M118" s="29">
        <f t="shared" si="25"/>
        <v>0</v>
      </c>
      <c r="N118" s="29">
        <f t="shared" si="25"/>
        <v>0</v>
      </c>
      <c r="O118" s="29">
        <f t="shared" si="25"/>
        <v>0</v>
      </c>
      <c r="P118" s="29">
        <f t="shared" si="25"/>
        <v>0</v>
      </c>
      <c r="Q118" s="29">
        <f t="shared" si="25"/>
        <v>0</v>
      </c>
      <c r="R118" s="29">
        <f t="shared" si="25"/>
        <v>0</v>
      </c>
      <c r="S118" s="29">
        <f t="shared" si="25"/>
        <v>0</v>
      </c>
      <c r="T118" s="29">
        <f t="shared" si="25"/>
        <v>0</v>
      </c>
      <c r="U118" s="29">
        <f t="shared" si="25"/>
        <v>0</v>
      </c>
      <c r="V118" s="29">
        <f t="shared" si="25"/>
        <v>0</v>
      </c>
      <c r="W118" s="29">
        <f t="shared" si="25"/>
        <v>0</v>
      </c>
      <c r="X118" s="29">
        <f t="shared" si="25"/>
        <v>0</v>
      </c>
      <c r="Y118" s="29">
        <f t="shared" si="21"/>
        <v>0</v>
      </c>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row>
    <row r="119" spans="1:80">
      <c r="C119" s="7" t="s">
        <v>382</v>
      </c>
      <c r="E119" s="29">
        <f t="shared" si="24"/>
        <v>0</v>
      </c>
      <c r="F119" s="29">
        <f t="shared" si="25"/>
        <v>0</v>
      </c>
      <c r="G119" s="29">
        <f t="shared" si="25"/>
        <v>0</v>
      </c>
      <c r="H119" s="29">
        <f t="shared" si="25"/>
        <v>0</v>
      </c>
      <c r="I119" s="29">
        <f t="shared" si="25"/>
        <v>0</v>
      </c>
      <c r="J119" s="29">
        <f t="shared" si="25"/>
        <v>0</v>
      </c>
      <c r="K119" s="29">
        <f t="shared" si="25"/>
        <v>0</v>
      </c>
      <c r="L119" s="29">
        <f t="shared" si="25"/>
        <v>0</v>
      </c>
      <c r="M119" s="29">
        <f t="shared" si="25"/>
        <v>0</v>
      </c>
      <c r="N119" s="29">
        <f t="shared" si="25"/>
        <v>0</v>
      </c>
      <c r="O119" s="29">
        <f t="shared" si="25"/>
        <v>0</v>
      </c>
      <c r="P119" s="29">
        <f t="shared" si="25"/>
        <v>0</v>
      </c>
      <c r="Q119" s="29">
        <f t="shared" si="25"/>
        <v>0</v>
      </c>
      <c r="R119" s="29">
        <f t="shared" si="25"/>
        <v>0</v>
      </c>
      <c r="S119" s="29">
        <f t="shared" si="25"/>
        <v>0</v>
      </c>
      <c r="T119" s="29">
        <f t="shared" si="25"/>
        <v>0</v>
      </c>
      <c r="U119" s="29">
        <f t="shared" si="25"/>
        <v>0</v>
      </c>
      <c r="V119" s="29">
        <f t="shared" si="25"/>
        <v>0</v>
      </c>
      <c r="W119" s="29">
        <f t="shared" si="25"/>
        <v>0</v>
      </c>
      <c r="X119" s="29">
        <f t="shared" si="25"/>
        <v>0</v>
      </c>
      <c r="Y119" s="29">
        <f>SUM(E119:X119)</f>
        <v>0</v>
      </c>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row>
    <row r="120" spans="1:8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row>
    <row r="121" spans="1:80" ht="15">
      <c r="C121" s="65" t="s">
        <v>135</v>
      </c>
      <c r="D121" s="66"/>
      <c r="E121" s="66">
        <f t="shared" ref="E121:W121" si="26">SUM(E88:E119)</f>
        <v>3.0729946024877001E-2</v>
      </c>
      <c r="F121" s="66">
        <f t="shared" si="26"/>
        <v>6.5486462491611191E-2</v>
      </c>
      <c r="G121" s="66">
        <f t="shared" si="26"/>
        <v>0.10393258651917957</v>
      </c>
      <c r="H121" s="66">
        <f t="shared" si="26"/>
        <v>0.14756610573399828</v>
      </c>
      <c r="I121" s="66">
        <f t="shared" si="26"/>
        <v>0.19578504625065354</v>
      </c>
      <c r="J121" s="66">
        <f t="shared" si="26"/>
        <v>0.24467518087926673</v>
      </c>
      <c r="K121" s="66">
        <f t="shared" si="26"/>
        <v>0.29985206218502269</v>
      </c>
      <c r="L121" s="66">
        <f t="shared" si="26"/>
        <v>0.36144511865110146</v>
      </c>
      <c r="M121" s="66">
        <f t="shared" si="26"/>
        <v>0.41650060846382264</v>
      </c>
      <c r="N121" s="66">
        <f t="shared" si="26"/>
        <v>0.47532941416056923</v>
      </c>
      <c r="O121" s="66">
        <f t="shared" si="26"/>
        <v>0.51872265876276857</v>
      </c>
      <c r="P121" s="66">
        <f t="shared" si="26"/>
        <v>0.53921154483194378</v>
      </c>
      <c r="Q121" s="66">
        <f t="shared" si="26"/>
        <v>0.54074220631286762</v>
      </c>
      <c r="R121" s="66">
        <f t="shared" si="26"/>
        <v>0.549407646703714</v>
      </c>
      <c r="S121" s="66">
        <f t="shared" si="26"/>
        <v>0.55933604902578815</v>
      </c>
      <c r="T121" s="66">
        <f t="shared" si="26"/>
        <v>0.55818087462243771</v>
      </c>
      <c r="U121" s="66">
        <f t="shared" si="26"/>
        <v>0.54004955024668777</v>
      </c>
      <c r="V121" s="66">
        <f t="shared" si="26"/>
        <v>0.53919801998943595</v>
      </c>
      <c r="W121" s="66">
        <f t="shared" si="26"/>
        <v>0.54057932479337201</v>
      </c>
      <c r="X121" s="66">
        <f>SUM(X88:X119)</f>
        <v>0.54425069804257287</v>
      </c>
      <c r="Y121" s="66"/>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row>
    <row r="122" spans="1:80" ht="15">
      <c r="C122" s="65" t="s">
        <v>136</v>
      </c>
      <c r="D122" s="66"/>
      <c r="E122" s="66">
        <f>E121</f>
        <v>3.0729946024877001E-2</v>
      </c>
      <c r="F122" s="66">
        <f t="shared" ref="F122:X122" si="27">E122+F121</f>
        <v>9.6216408516488189E-2</v>
      </c>
      <c r="G122" s="66">
        <f t="shared" si="27"/>
        <v>0.20014899503566774</v>
      </c>
      <c r="H122" s="66">
        <f t="shared" si="27"/>
        <v>0.34771510076966605</v>
      </c>
      <c r="I122" s="66">
        <f t="shared" si="27"/>
        <v>0.54350014702031957</v>
      </c>
      <c r="J122" s="66">
        <f t="shared" si="27"/>
        <v>0.78817532789958633</v>
      </c>
      <c r="K122" s="66">
        <f t="shared" si="27"/>
        <v>1.0880273900846089</v>
      </c>
      <c r="L122" s="66">
        <f t="shared" si="27"/>
        <v>1.4494725087357103</v>
      </c>
      <c r="M122" s="66">
        <f t="shared" si="27"/>
        <v>1.8659731171995331</v>
      </c>
      <c r="N122" s="66">
        <f t="shared" si="27"/>
        <v>2.3413025313601024</v>
      </c>
      <c r="O122" s="66">
        <f t="shared" si="27"/>
        <v>2.860025190122871</v>
      </c>
      <c r="P122" s="66">
        <f t="shared" si="27"/>
        <v>3.3992367349548149</v>
      </c>
      <c r="Q122" s="66">
        <f t="shared" si="27"/>
        <v>3.9399789412676824</v>
      </c>
      <c r="R122" s="66">
        <f t="shared" si="27"/>
        <v>4.4893865879713966</v>
      </c>
      <c r="S122" s="66">
        <f t="shared" si="27"/>
        <v>5.0487226369971845</v>
      </c>
      <c r="T122" s="66">
        <f t="shared" si="27"/>
        <v>5.6069035116196222</v>
      </c>
      <c r="U122" s="66">
        <f t="shared" si="27"/>
        <v>6.1469530618663102</v>
      </c>
      <c r="V122" s="66">
        <f t="shared" si="27"/>
        <v>6.6861510818557459</v>
      </c>
      <c r="W122" s="66">
        <f t="shared" si="27"/>
        <v>7.2267304066491178</v>
      </c>
      <c r="X122" s="66">
        <f t="shared" si="27"/>
        <v>7.7709811046916908</v>
      </c>
      <c r="Y122" s="66">
        <f>SUM(Y88:Y119)</f>
        <v>7.7709811046916908</v>
      </c>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row>
    <row r="125" spans="1:80">
      <c r="A125" s="7" t="s">
        <v>812</v>
      </c>
    </row>
    <row r="127" spans="1:80">
      <c r="E127" s="35"/>
      <c r="F127" s="35"/>
      <c r="G127" s="35"/>
      <c r="H127" s="35"/>
      <c r="I127" s="35"/>
      <c r="J127" s="35"/>
      <c r="K127" s="35"/>
      <c r="L127" s="35"/>
      <c r="M127" s="35"/>
      <c r="N127" s="35"/>
      <c r="O127" s="35"/>
      <c r="P127" s="35"/>
      <c r="Q127" s="35"/>
      <c r="R127" s="35"/>
      <c r="S127" s="35"/>
      <c r="T127" s="35"/>
      <c r="U127" s="35"/>
      <c r="V127" s="35"/>
      <c r="W127" s="35"/>
      <c r="X127" s="35"/>
      <c r="Y127" s="35"/>
    </row>
    <row r="128" spans="1:80">
      <c r="E128" s="35"/>
      <c r="F128" s="35"/>
      <c r="G128" s="35"/>
      <c r="H128" s="35"/>
      <c r="I128" s="35"/>
      <c r="J128" s="35"/>
      <c r="K128" s="35"/>
      <c r="L128" s="35"/>
      <c r="M128" s="35"/>
      <c r="N128" s="35"/>
      <c r="O128" s="35"/>
      <c r="P128" s="35"/>
      <c r="Q128" s="35"/>
      <c r="R128" s="35"/>
      <c r="S128" s="35"/>
      <c r="T128" s="35"/>
      <c r="U128" s="35"/>
      <c r="V128" s="35"/>
      <c r="W128" s="35"/>
      <c r="X128" s="35"/>
      <c r="Y128" s="35"/>
    </row>
    <row r="129" spans="1:27" ht="15">
      <c r="A129" s="55" t="s">
        <v>813</v>
      </c>
      <c r="E129" s="35"/>
      <c r="F129" s="35"/>
      <c r="G129" s="35"/>
      <c r="H129" s="35"/>
      <c r="I129" s="35"/>
      <c r="J129" s="35"/>
      <c r="K129" s="35"/>
      <c r="L129" s="35"/>
      <c r="M129" s="35"/>
      <c r="N129" s="35"/>
      <c r="O129" s="35"/>
      <c r="P129" s="35"/>
      <c r="Q129" s="35"/>
      <c r="R129" s="35"/>
      <c r="S129" s="35"/>
      <c r="T129" s="35"/>
      <c r="U129" s="35"/>
      <c r="V129" s="35"/>
      <c r="W129" s="35"/>
      <c r="X129" s="35"/>
      <c r="Y129" s="35"/>
    </row>
    <row r="130" spans="1:27">
      <c r="A130" s="7" t="s">
        <v>814</v>
      </c>
      <c r="C130"/>
      <c r="D130"/>
      <c r="E130" s="7" t="s">
        <v>815</v>
      </c>
    </row>
    <row r="131" spans="1:27" ht="15">
      <c r="C131" s="405"/>
      <c r="D131" s="405"/>
      <c r="E131" s="64">
        <f>E11</f>
        <v>2016</v>
      </c>
      <c r="F131" s="64">
        <f t="shared" ref="F131:X131" si="28">F11</f>
        <v>2017</v>
      </c>
      <c r="G131" s="64">
        <f t="shared" si="28"/>
        <v>2018</v>
      </c>
      <c r="H131" s="64">
        <f t="shared" si="28"/>
        <v>2019</v>
      </c>
      <c r="I131" s="64">
        <f t="shared" si="28"/>
        <v>2020</v>
      </c>
      <c r="J131" s="64">
        <f t="shared" si="28"/>
        <v>2021</v>
      </c>
      <c r="K131" s="64">
        <f t="shared" si="28"/>
        <v>2022</v>
      </c>
      <c r="L131" s="64">
        <f t="shared" si="28"/>
        <v>2023</v>
      </c>
      <c r="M131" s="64">
        <f t="shared" si="28"/>
        <v>2024</v>
      </c>
      <c r="N131" s="64">
        <f t="shared" si="28"/>
        <v>2025</v>
      </c>
      <c r="O131" s="64">
        <f t="shared" si="28"/>
        <v>2026</v>
      </c>
      <c r="P131" s="64">
        <f t="shared" si="28"/>
        <v>2027</v>
      </c>
      <c r="Q131" s="64">
        <f t="shared" si="28"/>
        <v>2028</v>
      </c>
      <c r="R131" s="64">
        <f t="shared" si="28"/>
        <v>2029</v>
      </c>
      <c r="S131" s="64">
        <f t="shared" si="28"/>
        <v>2030</v>
      </c>
      <c r="T131" s="64">
        <f t="shared" si="28"/>
        <v>2031</v>
      </c>
      <c r="U131" s="64">
        <f t="shared" si="28"/>
        <v>2032</v>
      </c>
      <c r="V131" s="64">
        <f t="shared" si="28"/>
        <v>2033</v>
      </c>
      <c r="W131" s="64">
        <f t="shared" si="28"/>
        <v>2034</v>
      </c>
      <c r="X131" s="64">
        <f t="shared" si="28"/>
        <v>2035</v>
      </c>
      <c r="Y131" s="64"/>
    </row>
    <row r="132" spans="1:27">
      <c r="C132" s="7" t="str">
        <f>C13</f>
        <v>Single Family</v>
      </c>
      <c r="E132" s="35">
        <f t="shared" ref="E132:X132" si="29">(E13-E29/$B21)</f>
        <v>60462.871210395206</v>
      </c>
      <c r="F132" s="35">
        <f t="shared" si="29"/>
        <v>55224.738580883124</v>
      </c>
      <c r="G132" s="35">
        <f t="shared" si="29"/>
        <v>49315.922728756239</v>
      </c>
      <c r="H132" s="35">
        <f t="shared" si="29"/>
        <v>44310.820375652154</v>
      </c>
      <c r="I132" s="35">
        <f t="shared" si="29"/>
        <v>39345.126030190033</v>
      </c>
      <c r="J132" s="35">
        <f t="shared" si="29"/>
        <v>33283.175047353798</v>
      </c>
      <c r="K132" s="35">
        <f t="shared" si="29"/>
        <v>27871.507644711033</v>
      </c>
      <c r="L132" s="35">
        <f t="shared" si="29"/>
        <v>23178.948456488128</v>
      </c>
      <c r="M132" s="35">
        <f t="shared" si="29"/>
        <v>18687.695054222339</v>
      </c>
      <c r="N132" s="35">
        <f t="shared" si="29"/>
        <v>15299.724286603821</v>
      </c>
      <c r="O132" s="35">
        <f t="shared" si="29"/>
        <v>12507.706488028241</v>
      </c>
      <c r="P132" s="35">
        <f t="shared" si="29"/>
        <v>10383.244148891441</v>
      </c>
      <c r="Q132" s="35">
        <f t="shared" si="29"/>
        <v>8964.1049005279128</v>
      </c>
      <c r="R132" s="35">
        <f t="shared" si="29"/>
        <v>8386.984795766366</v>
      </c>
      <c r="S132" s="35">
        <f t="shared" si="29"/>
        <v>8230.3198131423123</v>
      </c>
      <c r="T132" s="35">
        <f t="shared" si="29"/>
        <v>8106.1757498908773</v>
      </c>
      <c r="U132" s="35">
        <f t="shared" si="29"/>
        <v>7813.8640143021694</v>
      </c>
      <c r="V132" s="35">
        <f t="shared" si="29"/>
        <v>7795.237484721998</v>
      </c>
      <c r="W132" s="35">
        <f t="shared" si="29"/>
        <v>7814.1681321187643</v>
      </c>
      <c r="X132" s="35">
        <f t="shared" si="29"/>
        <v>7867.1129104761567</v>
      </c>
      <c r="Y132" s="35"/>
      <c r="AA132" s="35">
        <f t="shared" ref="AA132" si="30">SUM(E132:Y132)</f>
        <v>454849.44785312202</v>
      </c>
    </row>
    <row r="133" spans="1:27">
      <c r="E133" s="35"/>
      <c r="F133" s="35"/>
      <c r="G133" s="35"/>
      <c r="H133" s="35"/>
      <c r="I133" s="35"/>
      <c r="J133" s="35"/>
      <c r="K133" s="35"/>
      <c r="L133" s="35"/>
      <c r="M133" s="35"/>
      <c r="N133" s="35"/>
      <c r="O133" s="35"/>
      <c r="P133" s="35"/>
      <c r="Q133" s="35"/>
      <c r="R133" s="35"/>
      <c r="S133" s="35"/>
      <c r="T133" s="35"/>
      <c r="U133" s="35"/>
      <c r="V133" s="35"/>
      <c r="W133" s="35"/>
      <c r="X133" s="35"/>
      <c r="Y133" s="35"/>
      <c r="AA133" s="35"/>
    </row>
    <row r="134" spans="1:27">
      <c r="E134" s="35"/>
      <c r="F134" s="35"/>
      <c r="G134" s="35"/>
      <c r="H134" s="35"/>
      <c r="I134" s="35"/>
      <c r="J134" s="35"/>
      <c r="K134" s="35"/>
      <c r="L134" s="35"/>
      <c r="M134" s="35"/>
      <c r="N134" s="35"/>
      <c r="O134" s="35"/>
      <c r="P134" s="35"/>
      <c r="Q134" s="35"/>
      <c r="R134" s="35"/>
      <c r="S134" s="35"/>
      <c r="T134" s="35"/>
      <c r="U134" s="35"/>
      <c r="V134" s="35"/>
      <c r="W134" s="35"/>
      <c r="X134" s="35"/>
      <c r="Y134" s="35"/>
    </row>
    <row r="135" spans="1:27">
      <c r="C135" s="7" t="s">
        <v>816</v>
      </c>
      <c r="E135" s="35">
        <f t="shared" ref="E135:X135" si="31">SUM(E132:E133)</f>
        <v>60462.871210395206</v>
      </c>
      <c r="F135" s="35">
        <f t="shared" si="31"/>
        <v>55224.738580883124</v>
      </c>
      <c r="G135" s="35">
        <f t="shared" si="31"/>
        <v>49315.922728756239</v>
      </c>
      <c r="H135" s="35">
        <f t="shared" si="31"/>
        <v>44310.820375652154</v>
      </c>
      <c r="I135" s="35">
        <f t="shared" si="31"/>
        <v>39345.126030190033</v>
      </c>
      <c r="J135" s="35">
        <f t="shared" si="31"/>
        <v>33283.175047353798</v>
      </c>
      <c r="K135" s="35">
        <f t="shared" si="31"/>
        <v>27871.507644711033</v>
      </c>
      <c r="L135" s="35">
        <f t="shared" si="31"/>
        <v>23178.948456488128</v>
      </c>
      <c r="M135" s="35">
        <f t="shared" si="31"/>
        <v>18687.695054222339</v>
      </c>
      <c r="N135" s="35">
        <f t="shared" si="31"/>
        <v>15299.724286603821</v>
      </c>
      <c r="O135" s="35">
        <f t="shared" si="31"/>
        <v>12507.706488028241</v>
      </c>
      <c r="P135" s="35">
        <f t="shared" si="31"/>
        <v>10383.244148891441</v>
      </c>
      <c r="Q135" s="35">
        <f t="shared" si="31"/>
        <v>8964.1049005279128</v>
      </c>
      <c r="R135" s="35">
        <f t="shared" si="31"/>
        <v>8386.984795766366</v>
      </c>
      <c r="S135" s="35">
        <f t="shared" si="31"/>
        <v>8230.3198131423123</v>
      </c>
      <c r="T135" s="35">
        <f t="shared" si="31"/>
        <v>8106.1757498908773</v>
      </c>
      <c r="U135" s="35">
        <f t="shared" si="31"/>
        <v>7813.8640143021694</v>
      </c>
      <c r="V135" s="35">
        <f t="shared" si="31"/>
        <v>7795.237484721998</v>
      </c>
      <c r="W135" s="35">
        <f t="shared" si="31"/>
        <v>7814.1681321187643</v>
      </c>
      <c r="X135" s="35">
        <f t="shared" si="31"/>
        <v>7867.1129104761567</v>
      </c>
      <c r="Y135" s="35"/>
      <c r="AA135" s="35">
        <f>SUM(E135:Y135)</f>
        <v>454849.44785312202</v>
      </c>
    </row>
  </sheetData>
  <mergeCells count="1">
    <mergeCell ref="B1:T6"/>
  </mergeCells>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dimension ref="A1:CB202"/>
  <sheetViews>
    <sheetView topLeftCell="C1" zoomScaleNormal="100" workbookViewId="0">
      <selection activeCell="C8" sqref="C8"/>
    </sheetView>
  </sheetViews>
  <sheetFormatPr defaultRowHeight="12.75"/>
  <cols>
    <col min="1" max="1" width="35" style="7" customWidth="1"/>
    <col min="2" max="3" width="20.7109375" style="7" customWidth="1"/>
    <col min="4" max="4" width="50.42578125" style="7" customWidth="1"/>
    <col min="5" max="5" width="19.85546875" style="7" customWidth="1"/>
    <col min="6" max="6" width="9.28515625" style="7" bestFit="1" customWidth="1"/>
    <col min="7" max="29" width="9.140625" style="7"/>
    <col min="30" max="30" width="21.7109375" style="7" customWidth="1"/>
    <col min="31" max="31" width="35.85546875" style="7" customWidth="1"/>
    <col min="32" max="32" width="35.28515625" style="7" customWidth="1"/>
    <col min="33" max="33" width="15" style="7" customWidth="1"/>
    <col min="34" max="34" width="17.7109375" style="7" customWidth="1"/>
    <col min="35" max="35" width="15.140625" style="7" customWidth="1"/>
    <col min="36" max="36" width="15.7109375" style="7" customWidth="1"/>
    <col min="37" max="37" width="21.28515625" style="7" customWidth="1"/>
    <col min="38" max="38" width="17.7109375" style="7" bestFit="1" customWidth="1"/>
    <col min="39" max="39" width="15.42578125" style="7" bestFit="1" customWidth="1"/>
    <col min="40" max="40" width="14.28515625" style="7" bestFit="1" customWidth="1"/>
    <col min="41" max="41" width="14.28515625" style="7" customWidth="1"/>
    <col min="42" max="42" width="12.5703125" style="7" customWidth="1"/>
    <col min="43" max="43" width="14" style="7" bestFit="1" customWidth="1"/>
    <col min="44" max="45" width="10.85546875" style="7" bestFit="1" customWidth="1"/>
    <col min="46" max="46" width="13.42578125" style="7" customWidth="1"/>
    <col min="47" max="47" width="11.85546875" style="7" bestFit="1" customWidth="1"/>
    <col min="48" max="48" width="11" style="7" bestFit="1" customWidth="1"/>
    <col min="49" max="49" width="14.28515625" style="7" bestFit="1" customWidth="1"/>
    <col min="50" max="50" width="10.7109375" style="7" customWidth="1"/>
    <col min="51" max="51" width="13.85546875" style="7" bestFit="1" customWidth="1"/>
    <col min="52" max="52" width="11.7109375" style="7" bestFit="1" customWidth="1"/>
    <col min="53" max="53" width="15.28515625" style="7" bestFit="1" customWidth="1"/>
    <col min="54" max="56" width="12.28515625" style="7" bestFit="1" customWidth="1"/>
    <col min="57" max="57" width="12.5703125" style="7" bestFit="1" customWidth="1"/>
    <col min="58" max="60" width="14.28515625" style="7" bestFit="1" customWidth="1"/>
    <col min="61" max="61" width="13.7109375" style="7" bestFit="1" customWidth="1"/>
    <col min="62" max="62" width="14" style="7" bestFit="1" customWidth="1"/>
    <col min="63" max="63" width="12.85546875" style="7" bestFit="1" customWidth="1"/>
    <col min="64" max="64" width="15.28515625" style="7" bestFit="1" customWidth="1"/>
    <col min="65" max="65" width="12.28515625" style="7" bestFit="1" customWidth="1"/>
    <col min="66" max="66" width="10.85546875" style="7" bestFit="1" customWidth="1"/>
    <col min="67" max="67" width="12.28515625" style="7" bestFit="1" customWidth="1"/>
    <col min="68" max="68" width="12.5703125" style="7" bestFit="1" customWidth="1"/>
    <col min="69" max="16384" width="9.140625" style="7"/>
  </cols>
  <sheetData>
    <row r="1" spans="1:68" ht="12.75" customHeight="1">
      <c r="A1" s="45" t="s">
        <v>54</v>
      </c>
      <c r="B1" s="444" t="s">
        <v>342</v>
      </c>
      <c r="C1" s="444"/>
      <c r="D1" s="444"/>
      <c r="E1" s="444"/>
      <c r="F1" s="444"/>
      <c r="G1" s="444"/>
      <c r="H1" s="444"/>
      <c r="I1" s="444"/>
      <c r="J1" s="444"/>
      <c r="K1" s="444"/>
      <c r="L1" s="444"/>
      <c r="M1" s="444"/>
      <c r="N1" s="444"/>
      <c r="O1" s="444"/>
      <c r="P1" s="444"/>
      <c r="Q1" s="444"/>
      <c r="R1" s="444"/>
      <c r="S1" s="444"/>
      <c r="T1" s="444"/>
      <c r="U1" s="444"/>
      <c r="V1" s="53"/>
      <c r="W1" s="53"/>
      <c r="X1" s="53"/>
      <c r="Y1" s="53"/>
      <c r="Z1" s="53"/>
    </row>
    <row r="2" spans="1:68" ht="12.75" customHeight="1">
      <c r="A2" s="46" t="s">
        <v>137</v>
      </c>
      <c r="B2" s="444"/>
      <c r="C2" s="444"/>
      <c r="D2" s="444"/>
      <c r="E2" s="444"/>
      <c r="F2" s="444"/>
      <c r="G2" s="444"/>
      <c r="H2" s="444"/>
      <c r="I2" s="444"/>
      <c r="J2" s="444"/>
      <c r="K2" s="444"/>
      <c r="L2" s="444"/>
      <c r="M2" s="444"/>
      <c r="N2" s="444"/>
      <c r="O2" s="444"/>
      <c r="P2" s="444"/>
      <c r="Q2" s="444"/>
      <c r="R2" s="444"/>
      <c r="S2" s="444"/>
      <c r="T2" s="444"/>
      <c r="U2" s="444"/>
      <c r="V2" s="52"/>
      <c r="W2" s="52"/>
      <c r="X2" s="52"/>
      <c r="Y2" s="52"/>
    </row>
    <row r="3" spans="1:68">
      <c r="B3" s="444"/>
      <c r="C3" s="444"/>
      <c r="D3" s="444"/>
      <c r="E3" s="444"/>
      <c r="F3" s="444"/>
      <c r="G3" s="444"/>
      <c r="H3" s="444"/>
      <c r="I3" s="444"/>
      <c r="J3" s="444"/>
      <c r="K3" s="444"/>
      <c r="L3" s="444"/>
      <c r="M3" s="444"/>
      <c r="N3" s="444"/>
      <c r="O3" s="444"/>
      <c r="P3" s="444"/>
      <c r="Q3" s="444"/>
      <c r="R3" s="444"/>
      <c r="S3" s="444"/>
      <c r="T3" s="444"/>
      <c r="U3" s="444"/>
      <c r="V3" s="52"/>
      <c r="W3" s="52"/>
      <c r="X3" s="52"/>
      <c r="Y3" s="52"/>
      <c r="Z3" s="52"/>
    </row>
    <row r="4" spans="1:68">
      <c r="B4" s="444"/>
      <c r="C4" s="444"/>
      <c r="D4" s="444"/>
      <c r="E4" s="444"/>
      <c r="F4" s="444"/>
      <c r="G4" s="444"/>
      <c r="H4" s="444"/>
      <c r="I4" s="444"/>
      <c r="J4" s="444"/>
      <c r="K4" s="444"/>
      <c r="L4" s="444"/>
      <c r="M4" s="444"/>
      <c r="N4" s="444"/>
      <c r="O4" s="444"/>
      <c r="P4" s="444"/>
      <c r="Q4" s="444"/>
      <c r="R4" s="444"/>
      <c r="S4" s="444"/>
      <c r="T4" s="444"/>
      <c r="U4" s="444"/>
      <c r="V4" s="52"/>
      <c r="W4" s="52"/>
      <c r="X4" s="52"/>
      <c r="Y4" s="52"/>
      <c r="Z4" s="52"/>
    </row>
    <row r="5" spans="1:68">
      <c r="B5" s="444"/>
      <c r="C5" s="444"/>
      <c r="D5" s="444"/>
      <c r="E5" s="444"/>
      <c r="F5" s="444"/>
      <c r="G5" s="444"/>
      <c r="H5" s="444"/>
      <c r="I5" s="444"/>
      <c r="J5" s="444"/>
      <c r="K5" s="444"/>
      <c r="L5" s="444"/>
      <c r="M5" s="444"/>
      <c r="N5" s="444"/>
      <c r="O5" s="444"/>
      <c r="P5" s="444"/>
      <c r="Q5" s="444"/>
      <c r="R5" s="444"/>
      <c r="S5" s="444"/>
      <c r="T5" s="444"/>
      <c r="U5" s="444"/>
      <c r="V5" s="52"/>
      <c r="W5" s="52"/>
      <c r="X5" s="52"/>
      <c r="Y5" s="52"/>
      <c r="Z5" s="52"/>
    </row>
    <row r="6" spans="1:68">
      <c r="B6" s="444"/>
      <c r="C6" s="444"/>
      <c r="D6" s="444"/>
      <c r="E6" s="444"/>
      <c r="F6" s="444"/>
      <c r="G6" s="444"/>
      <c r="H6" s="444"/>
      <c r="I6" s="444"/>
      <c r="J6" s="444"/>
      <c r="K6" s="444"/>
      <c r="L6" s="444"/>
      <c r="M6" s="444"/>
      <c r="N6" s="444"/>
      <c r="O6" s="444"/>
      <c r="P6" s="444"/>
      <c r="Q6" s="444"/>
      <c r="R6" s="444"/>
      <c r="S6" s="444"/>
      <c r="T6" s="444"/>
      <c r="U6" s="444"/>
      <c r="V6" s="52"/>
      <c r="W6" s="52"/>
      <c r="X6" s="52"/>
      <c r="Y6" s="52"/>
      <c r="Z6" s="52"/>
    </row>
    <row r="7" spans="1:68">
      <c r="A7" s="440"/>
      <c r="B7" s="440" t="s">
        <v>48</v>
      </c>
      <c r="C7" s="51" t="s">
        <v>343</v>
      </c>
      <c r="D7" s="51" t="s">
        <v>158</v>
      </c>
    </row>
    <row r="8" spans="1:68">
      <c r="A8" s="440" t="s">
        <v>912</v>
      </c>
      <c r="B8" s="440" t="s">
        <v>55</v>
      </c>
      <c r="C8" s="51" t="str">
        <f>[2]MLIST!$B$46</f>
        <v>ASHP</v>
      </c>
      <c r="D8" s="51" t="str">
        <f>[1]!switch_ForecastState</f>
        <v>Region</v>
      </c>
      <c r="F8"/>
    </row>
    <row r="9" spans="1:68">
      <c r="A9" s="440" t="str">
        <f>INDEX([2]ACHIEV!$A$19:$B$100,MATCH(CONCATENATE($C$8," - ",$C$7),[2]ACHIEV!$B$19:$B$100,0),1)</f>
        <v>HVAC</v>
      </c>
      <c r="B9" s="441" t="s">
        <v>56</v>
      </c>
      <c r="C9" s="51">
        <f>[2]FILES!$H$4</f>
        <v>2035</v>
      </c>
      <c r="D9" s="51" t="str">
        <f>[1]!switch_ForecastScenario</f>
        <v>Base</v>
      </c>
    </row>
    <row r="10" spans="1:68">
      <c r="A10" s="440"/>
      <c r="B10" s="440" t="s">
        <v>914</v>
      </c>
      <c r="C10" s="443">
        <f>MIN(SUM(E65:X65),Y65)</f>
        <v>52.312651245100461</v>
      </c>
      <c r="D10" s="54"/>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row>
    <row r="11" spans="1:68" ht="15">
      <c r="A11" s="55" t="s">
        <v>344</v>
      </c>
      <c r="E11" s="58">
        <v>2016</v>
      </c>
      <c r="F11" s="59">
        <v>2017</v>
      </c>
      <c r="G11" s="59">
        <v>2018</v>
      </c>
      <c r="H11" s="59">
        <v>2019</v>
      </c>
      <c r="I11" s="59">
        <v>2020</v>
      </c>
      <c r="J11" s="59">
        <v>2021</v>
      </c>
      <c r="K11" s="59">
        <v>2022</v>
      </c>
      <c r="L11" s="59">
        <v>2023</v>
      </c>
      <c r="M11" s="59">
        <v>2024</v>
      </c>
      <c r="N11" s="59">
        <v>2025</v>
      </c>
      <c r="O11" s="59">
        <v>2026</v>
      </c>
      <c r="P11" s="59">
        <v>2027</v>
      </c>
      <c r="Q11" s="59">
        <v>2028</v>
      </c>
      <c r="R11" s="59">
        <v>2029</v>
      </c>
      <c r="S11" s="59">
        <v>2030</v>
      </c>
      <c r="T11" s="59">
        <v>2031</v>
      </c>
      <c r="U11" s="59">
        <v>2032</v>
      </c>
      <c r="V11" s="59">
        <v>2033</v>
      </c>
      <c r="W11" s="59">
        <v>2034</v>
      </c>
      <c r="X11" s="59">
        <v>2035</v>
      </c>
      <c r="Y11" s="60"/>
      <c r="Z11"/>
    </row>
    <row r="12" spans="1:68" ht="15">
      <c r="E12" s="61" t="str">
        <f>CONCATENATE("HOMES_",E11)</f>
        <v>HOMES_2016</v>
      </c>
      <c r="F12" s="62" t="str">
        <f t="shared" ref="F12:X12" si="0">CONCATENATE("HOMES_",F11)</f>
        <v>HOMES_2017</v>
      </c>
      <c r="G12" s="62" t="str">
        <f t="shared" si="0"/>
        <v>HOMES_2018</v>
      </c>
      <c r="H12" s="62" t="str">
        <f t="shared" si="0"/>
        <v>HOMES_2019</v>
      </c>
      <c r="I12" s="62" t="str">
        <f t="shared" si="0"/>
        <v>HOMES_2020</v>
      </c>
      <c r="J12" s="62" t="str">
        <f t="shared" si="0"/>
        <v>HOMES_2021</v>
      </c>
      <c r="K12" s="62" t="str">
        <f t="shared" si="0"/>
        <v>HOMES_2022</v>
      </c>
      <c r="L12" s="62" t="str">
        <f t="shared" si="0"/>
        <v>HOMES_2023</v>
      </c>
      <c r="M12" s="62" t="str">
        <f t="shared" si="0"/>
        <v>HOMES_2024</v>
      </c>
      <c r="N12" s="62" t="str">
        <f t="shared" si="0"/>
        <v>HOMES_2025</v>
      </c>
      <c r="O12" s="62" t="str">
        <f t="shared" si="0"/>
        <v>HOMES_2026</v>
      </c>
      <c r="P12" s="62" t="str">
        <f t="shared" si="0"/>
        <v>HOMES_2027</v>
      </c>
      <c r="Q12" s="62" t="str">
        <f t="shared" si="0"/>
        <v>HOMES_2028</v>
      </c>
      <c r="R12" s="62" t="str">
        <f t="shared" si="0"/>
        <v>HOMES_2029</v>
      </c>
      <c r="S12" s="62" t="str">
        <f t="shared" si="0"/>
        <v>HOMES_2030</v>
      </c>
      <c r="T12" s="62" t="str">
        <f t="shared" si="0"/>
        <v>HOMES_2031</v>
      </c>
      <c r="U12" s="62" t="str">
        <f t="shared" si="0"/>
        <v>HOMES_2032</v>
      </c>
      <c r="V12" s="62" t="str">
        <f t="shared" si="0"/>
        <v>HOMES_2033</v>
      </c>
      <c r="W12" s="62" t="str">
        <f t="shared" si="0"/>
        <v>HOMES_2034</v>
      </c>
      <c r="X12" s="62" t="str">
        <f t="shared" si="0"/>
        <v>HOMES_2035</v>
      </c>
      <c r="Y12" s="63"/>
      <c r="Z12"/>
    </row>
    <row r="13" spans="1:68">
      <c r="C13" s="7" t="s">
        <v>49</v>
      </c>
      <c r="E13" s="35">
        <f>INDEX([1]!tbl_Forecast,MATCH($D$8&amp;$C13&amp;$D$7,[1]!rng_ForecastRowLookup,0),MATCH(E$11,[1]!rng_ForecastColumnLookup,0))</f>
        <v>4203528.2719999999</v>
      </c>
      <c r="F13" s="35">
        <f>INDEX([1]!tbl_Forecast,MATCH($D$8&amp;$C13&amp;$D$7,[1]!rng_ForecastRowLookup,0),MATCH(F$11,[1]!rng_ForecastColumnLookup,0))</f>
        <v>4193982.9785983553</v>
      </c>
      <c r="G13" s="35">
        <f>INDEX([1]!tbl_Forecast,MATCH($D$8&amp;$C13&amp;$D$7,[1]!rng_ForecastRowLookup,0),MATCH(G$11,[1]!rng_ForecastColumnLookup,0))</f>
        <v>4184459.3604704877</v>
      </c>
      <c r="H13" s="35">
        <f>INDEX([1]!tbl_Forecast,MATCH($D$8&amp;$C13&amp;$D$7,[1]!rng_ForecastRowLookup,0),MATCH(H$11,[1]!rng_ForecastColumnLookup,0))</f>
        <v>4174957.36839659</v>
      </c>
      <c r="I13" s="35">
        <f>INDEX([1]!tbl_Forecast,MATCH($D$8&amp;$C13&amp;$D$7,[1]!rng_ForecastRowLookup,0),MATCH(I$11,[1]!rng_ForecastColumnLookup,0))</f>
        <v>4165476.9532686244</v>
      </c>
      <c r="J13" s="35">
        <f>INDEX([1]!tbl_Forecast,MATCH($D$8&amp;$C13&amp;$D$7,[1]!rng_ForecastRowLookup,0),MATCH(J$11,[1]!rng_ForecastColumnLookup,0))</f>
        <v>4156018.0660900641</v>
      </c>
      <c r="K13" s="35">
        <f>INDEX([1]!tbl_Forecast,MATCH($D$8&amp;$C13&amp;$D$7,[1]!rng_ForecastRowLookup,0),MATCH(K$11,[1]!rng_ForecastColumnLookup,0))</f>
        <v>4146580.6579756448</v>
      </c>
      <c r="L13" s="35">
        <f>INDEX([1]!tbl_Forecast,MATCH($D$8&amp;$C13&amp;$D$7,[1]!rng_ForecastRowLookup,0),MATCH(L$11,[1]!rng_ForecastColumnLookup,0))</f>
        <v>4137164.6801511091</v>
      </c>
      <c r="M13" s="35">
        <f>INDEX([1]!tbl_Forecast,MATCH($D$8&amp;$C13&amp;$D$7,[1]!rng_ForecastRowLookup,0),MATCH(M$11,[1]!rng_ForecastColumnLookup,0))</f>
        <v>4127770.0839529554</v>
      </c>
      <c r="N13" s="35">
        <f>INDEX([1]!tbl_Forecast,MATCH($D$8&amp;$C13&amp;$D$7,[1]!rng_ForecastRowLookup,0),MATCH(N$11,[1]!rng_ForecastColumnLookup,0))</f>
        <v>4118396.8208281873</v>
      </c>
      <c r="O13" s="35">
        <f>INDEX([1]!tbl_Forecast,MATCH($D$8&amp;$C13&amp;$D$7,[1]!rng_ForecastRowLookup,0),MATCH(O$11,[1]!rng_ForecastColumnLookup,0))</f>
        <v>4109044.8423340586</v>
      </c>
      <c r="P13" s="35">
        <f>INDEX([1]!tbl_Forecast,MATCH($D$8&amp;$C13&amp;$D$7,[1]!rng_ForecastRowLookup,0),MATCH(P$11,[1]!rng_ForecastColumnLookup,0))</f>
        <v>4099714.1001378288</v>
      </c>
      <c r="Q13" s="35">
        <f>INDEX([1]!tbl_Forecast,MATCH($D$8&amp;$C13&amp;$D$7,[1]!rng_ForecastRowLookup,0),MATCH(Q$11,[1]!rng_ForecastColumnLookup,0))</f>
        <v>4090404.5460165106</v>
      </c>
      <c r="R13" s="35">
        <f>INDEX([1]!tbl_Forecast,MATCH($D$8&amp;$C13&amp;$D$7,[1]!rng_ForecastRowLookup,0),MATCH(R$11,[1]!rng_ForecastColumnLookup,0))</f>
        <v>4081116.1318566194</v>
      </c>
      <c r="S13" s="35">
        <f>INDEX([1]!tbl_Forecast,MATCH($D$8&amp;$C13&amp;$D$7,[1]!rng_ForecastRowLookup,0),MATCH(S$11,[1]!rng_ForecastColumnLookup,0))</f>
        <v>4071848.8096539262</v>
      </c>
      <c r="T13" s="35">
        <f>INDEX([1]!tbl_Forecast,MATCH($D$8&amp;$C13&amp;$D$7,[1]!rng_ForecastRowLookup,0),MATCH(T$11,[1]!rng_ForecastColumnLookup,0))</f>
        <v>4062602.5315132081</v>
      </c>
      <c r="U13" s="35">
        <f>INDEX([1]!tbl_Forecast,MATCH($D$8&amp;$C13&amp;$D$7,[1]!rng_ForecastRowLookup,0),MATCH(U$11,[1]!rng_ForecastColumnLookup,0))</f>
        <v>4053377.2496480034</v>
      </c>
      <c r="V13" s="35">
        <f>INDEX([1]!tbl_Forecast,MATCH($D$8&amp;$C13&amp;$D$7,[1]!rng_ForecastRowLookup,0),MATCH(V$11,[1]!rng_ForecastColumnLookup,0))</f>
        <v>4044172.9163803621</v>
      </c>
      <c r="W13" s="35">
        <f>INDEX([1]!tbl_Forecast,MATCH($D$8&amp;$C13&amp;$D$7,[1]!rng_ForecastRowLookup,0),MATCH(W$11,[1]!rng_ForecastColumnLookup,0))</f>
        <v>4034989.4841406001</v>
      </c>
      <c r="X13" s="35">
        <f>INDEX([1]!tbl_Forecast,MATCH($D$8&amp;$C13&amp;$D$7,[1]!rng_ForecastRowLookup,0),MATCH(X$11,[1]!rng_ForecastColumnLookup,0))</f>
        <v>4025826.9054670548</v>
      </c>
      <c r="Y13" s="35"/>
      <c r="Z13"/>
    </row>
    <row r="14" spans="1:68">
      <c r="E14" s="35"/>
      <c r="F14" s="35"/>
      <c r="G14" s="35"/>
      <c r="H14" s="35"/>
      <c r="I14" s="35"/>
      <c r="J14" s="35"/>
      <c r="K14" s="35"/>
      <c r="L14" s="35"/>
      <c r="M14" s="35"/>
      <c r="N14" s="35"/>
      <c r="O14" s="35"/>
      <c r="P14" s="35"/>
      <c r="Q14" s="35"/>
      <c r="R14" s="35"/>
      <c r="S14" s="35"/>
      <c r="T14" s="35"/>
      <c r="U14" s="35"/>
      <c r="V14" s="35"/>
      <c r="W14" s="35"/>
      <c r="X14" s="35"/>
      <c r="Y14" s="35"/>
      <c r="Z14" s="35"/>
    </row>
    <row r="15" spans="1:68">
      <c r="E15" s="35"/>
      <c r="F15" s="35"/>
      <c r="G15" s="35"/>
      <c r="H15" s="35"/>
      <c r="I15" s="35"/>
      <c r="J15" s="35"/>
      <c r="K15" s="35"/>
      <c r="L15" s="35"/>
      <c r="M15" s="35"/>
      <c r="N15" s="35"/>
      <c r="O15" s="35"/>
      <c r="P15" s="35"/>
      <c r="Q15" s="35"/>
      <c r="R15" s="35"/>
      <c r="S15" s="35"/>
      <c r="T15" s="35"/>
      <c r="U15" s="35"/>
      <c r="V15" s="35"/>
      <c r="W15" s="35"/>
      <c r="X15" s="35"/>
      <c r="Y15" s="35"/>
    </row>
    <row r="16" spans="1:68">
      <c r="B16" s="7" t="s">
        <v>57</v>
      </c>
      <c r="C16" s="7" t="s">
        <v>58</v>
      </c>
      <c r="E16" s="35">
        <f t="shared" ref="E16:X16" si="1">SUM(E13:E14)</f>
        <v>4203528.2719999999</v>
      </c>
      <c r="F16" s="35">
        <f t="shared" si="1"/>
        <v>4193982.9785983553</v>
      </c>
      <c r="G16" s="35">
        <f t="shared" si="1"/>
        <v>4184459.3604704877</v>
      </c>
      <c r="H16" s="35">
        <f t="shared" si="1"/>
        <v>4174957.36839659</v>
      </c>
      <c r="I16" s="35">
        <f t="shared" si="1"/>
        <v>4165476.9532686244</v>
      </c>
      <c r="J16" s="35">
        <f t="shared" si="1"/>
        <v>4156018.0660900641</v>
      </c>
      <c r="K16" s="35">
        <f t="shared" si="1"/>
        <v>4146580.6579756448</v>
      </c>
      <c r="L16" s="35">
        <f t="shared" si="1"/>
        <v>4137164.6801511091</v>
      </c>
      <c r="M16" s="35">
        <f t="shared" si="1"/>
        <v>4127770.0839529554</v>
      </c>
      <c r="N16" s="35">
        <f t="shared" si="1"/>
        <v>4118396.8208281873</v>
      </c>
      <c r="O16" s="35">
        <f t="shared" si="1"/>
        <v>4109044.8423340586</v>
      </c>
      <c r="P16" s="35">
        <f t="shared" si="1"/>
        <v>4099714.1001378288</v>
      </c>
      <c r="Q16" s="35">
        <f t="shared" si="1"/>
        <v>4090404.5460165106</v>
      </c>
      <c r="R16" s="35">
        <f t="shared" si="1"/>
        <v>4081116.1318566194</v>
      </c>
      <c r="S16" s="35">
        <f t="shared" si="1"/>
        <v>4071848.8096539262</v>
      </c>
      <c r="T16" s="35">
        <f t="shared" si="1"/>
        <v>4062602.5315132081</v>
      </c>
      <c r="U16" s="35">
        <f t="shared" si="1"/>
        <v>4053377.2496480034</v>
      </c>
      <c r="V16" s="35">
        <f t="shared" si="1"/>
        <v>4044172.9163803621</v>
      </c>
      <c r="W16" s="35">
        <f t="shared" si="1"/>
        <v>4034989.4841406001</v>
      </c>
      <c r="X16" s="35">
        <f t="shared" si="1"/>
        <v>4025826.9054670548</v>
      </c>
      <c r="Y16" s="35"/>
      <c r="Z16" s="35"/>
    </row>
    <row r="17" spans="1:32">
      <c r="E17" s="35"/>
      <c r="F17" s="35"/>
      <c r="G17" s="35"/>
      <c r="H17" s="35"/>
      <c r="I17" s="35"/>
      <c r="J17" s="35"/>
      <c r="K17" s="35"/>
      <c r="L17" s="35"/>
      <c r="M17" s="35"/>
      <c r="N17" s="35"/>
      <c r="O17" s="35"/>
      <c r="P17" s="35"/>
      <c r="Q17" s="35"/>
      <c r="R17" s="35"/>
      <c r="S17" s="35"/>
      <c r="T17" s="35"/>
      <c r="U17" s="35"/>
      <c r="V17" s="35"/>
      <c r="W17" s="35"/>
      <c r="X17" s="35"/>
      <c r="Y17" s="35"/>
    </row>
    <row r="18" spans="1:32">
      <c r="E18" s="35"/>
      <c r="F18" s="35"/>
      <c r="G18" s="35"/>
      <c r="H18" s="35"/>
      <c r="I18" s="35"/>
      <c r="J18" s="35"/>
      <c r="K18" s="35"/>
      <c r="L18" s="35"/>
      <c r="M18" s="35"/>
      <c r="N18" s="35"/>
      <c r="O18" s="35"/>
      <c r="P18" s="35"/>
      <c r="Q18" s="35"/>
      <c r="R18" s="35"/>
      <c r="S18" s="35"/>
      <c r="T18" s="35"/>
      <c r="U18" s="35"/>
      <c r="V18" s="35"/>
      <c r="W18" s="35"/>
      <c r="X18" s="35"/>
      <c r="Y18" s="35"/>
    </row>
    <row r="19" spans="1:32" ht="15">
      <c r="A19" s="55" t="s">
        <v>345</v>
      </c>
      <c r="E19" s="35"/>
      <c r="F19" s="35"/>
      <c r="G19" s="35"/>
      <c r="H19" s="35"/>
      <c r="I19" s="35"/>
      <c r="J19" s="35"/>
      <c r="K19" s="35"/>
      <c r="L19" s="35"/>
      <c r="M19" s="35"/>
      <c r="N19" s="35"/>
      <c r="O19" s="35"/>
      <c r="P19" s="35"/>
      <c r="Q19" s="35"/>
      <c r="R19" s="35"/>
      <c r="S19" s="35"/>
      <c r="T19" s="35"/>
      <c r="U19" s="35"/>
      <c r="V19" s="35"/>
      <c r="W19" s="35"/>
      <c r="X19" s="35"/>
      <c r="Y19" s="35"/>
    </row>
    <row r="20" spans="1:32" ht="15">
      <c r="A20" s="7" t="s">
        <v>346</v>
      </c>
      <c r="E20" s="64">
        <v>1</v>
      </c>
      <c r="F20" s="64">
        <v>2</v>
      </c>
      <c r="G20" s="64">
        <v>3</v>
      </c>
      <c r="H20" s="64">
        <v>4</v>
      </c>
      <c r="I20" s="64">
        <v>5</v>
      </c>
      <c r="J20" s="64">
        <v>6</v>
      </c>
      <c r="K20" s="64">
        <v>7</v>
      </c>
      <c r="L20" s="64">
        <v>8</v>
      </c>
      <c r="M20" s="64">
        <v>9</v>
      </c>
      <c r="N20" s="64">
        <v>10</v>
      </c>
      <c r="O20" s="64">
        <v>11</v>
      </c>
      <c r="P20" s="64">
        <v>12</v>
      </c>
      <c r="Q20" s="64">
        <v>13</v>
      </c>
      <c r="R20" s="64">
        <v>14</v>
      </c>
      <c r="S20" s="64">
        <v>15</v>
      </c>
      <c r="T20" s="64">
        <v>16</v>
      </c>
      <c r="U20" s="64">
        <v>17</v>
      </c>
      <c r="V20" s="64">
        <v>18</v>
      </c>
      <c r="W20" s="64">
        <v>19</v>
      </c>
      <c r="X20" s="64">
        <v>20</v>
      </c>
      <c r="Y20" s="64"/>
    </row>
    <row r="21" spans="1:32">
      <c r="C21" s="7" t="str">
        <f>C13</f>
        <v>Single Family</v>
      </c>
      <c r="E21" s="35">
        <f>IF(E$41&lt;=1/$C$37,0,INDEX('SC-New'!$E132:$Y132,1,E$41-ROUND(1/$C$37,0)))</f>
        <v>0</v>
      </c>
      <c r="F21" s="35">
        <f>IF(F$41&lt;=1/$C$37,0,INDEX('SC-New'!$E132:$Y132,1,F$41-ROUND(1/$C$37,0)))</f>
        <v>0</v>
      </c>
      <c r="G21" s="35">
        <f>IF(G$41&lt;=1/$C$37,0,INDEX('SC-New'!$E132:$Y132,1,G$41-ROUND(1/$C$37,0)))</f>
        <v>0</v>
      </c>
      <c r="H21" s="35">
        <f>IF(H$41&lt;=1/$C$37,0,INDEX('SC-New'!$E132:$Y132,1,H$41-ROUND(1/$C$37,0)))</f>
        <v>0</v>
      </c>
      <c r="I21" s="35">
        <f>IF(I$41&lt;=1/$C$37,0,INDEX('SC-New'!$E132:$Y132,1,I$41-ROUND(1/$C$37,0)))</f>
        <v>0</v>
      </c>
      <c r="J21" s="35">
        <f>IF(J$41&lt;=1/$C$37,0,INDEX('SC-New'!$E132:$Y132,1,J$41-ROUND(1/$C$37,0)))</f>
        <v>0</v>
      </c>
      <c r="K21" s="35">
        <f>IF(K$41&lt;=1/$C$37,0,INDEX('SC-New'!$E132:$Y132,1,K$41-ROUND(1/$C$37,0)))</f>
        <v>0</v>
      </c>
      <c r="L21" s="35">
        <f>IF(L$41&lt;=1/$C$37,0,INDEX('SC-New'!$E132:$Y132,1,L$41-ROUND(1/$C$37,0)))</f>
        <v>0</v>
      </c>
      <c r="M21" s="35">
        <f>IF(M$41&lt;=1/$C$37,0,INDEX('SC-New'!$E132:$Y132,1,M$41-ROUND(1/$C$37,0)))</f>
        <v>0</v>
      </c>
      <c r="N21" s="35">
        <f>IF(N$41&lt;=1/$C$37,0,INDEX('SC-New'!$E132:$Y132,1,N$41-ROUND(1/$C$37,0)))</f>
        <v>0</v>
      </c>
      <c r="O21" s="35">
        <f>IF(O$41&lt;=1/$C$37,0,INDEX('SC-New'!$E132:$Y132,1,O$41-ROUND(1/$C$37,0)))</f>
        <v>0</v>
      </c>
      <c r="P21" s="35">
        <f>IF(P$41&lt;=1/$C$37,0,INDEX('SC-New'!$E132:$Y132,1,P$41-ROUND(1/$C$37,0)))</f>
        <v>0</v>
      </c>
      <c r="Q21" s="35">
        <f>IF(Q$41&lt;=1/$C$37,0,INDEX('SC-New'!$E132:$Y132,1,Q$41-ROUND(1/$C$37,0)))</f>
        <v>0</v>
      </c>
      <c r="R21" s="35">
        <f>IF(R$41&lt;=1/$C$37,0,INDEX('SC-New'!$E132:$Y132,1,R$41-ROUND(1/$C$37,0)))</f>
        <v>0</v>
      </c>
      <c r="S21" s="35">
        <f>IF(S$41&lt;=1/$C$37,0,INDEX('SC-New'!$E132:$Y132,1,S$41-ROUND(1/$C$37,0)))</f>
        <v>0</v>
      </c>
      <c r="T21" s="35">
        <f>IF(T$41&lt;=1/$C$37,0,INDEX('SC-New'!$E132:$Y132,1,T$41-ROUND(1/$C$37,0)))</f>
        <v>60664.951918541097</v>
      </c>
      <c r="U21" s="35">
        <f>IF(U$41&lt;=1/$C$37,0,INDEX('SC-New'!$E132:$Y132,1,U$41-ROUND(1/$C$37,0)))</f>
        <v>55655.378800802835</v>
      </c>
      <c r="V21" s="35">
        <f>IF(V$41&lt;=1/$C$37,0,INDEX('SC-New'!$E132:$Y132,1,V$41-ROUND(1/$C$37,0)))</f>
        <v>49999.385389778399</v>
      </c>
      <c r="W21" s="35">
        <f>IF(W$41&lt;=1/$C$37,0,INDEX('SC-New'!$E132:$Y132,1,W$41-ROUND(1/$C$37,0)))</f>
        <v>45281.217886956496</v>
      </c>
      <c r="X21" s="35">
        <f>IF(X$41&lt;=1/$C$37,0,INDEX('SC-New'!$E132:$Y132,1,X$41-ROUND(1/$C$37,0)))</f>
        <v>40632.612209263665</v>
      </c>
      <c r="Y21" s="35"/>
      <c r="Z21" s="35"/>
      <c r="AB21" s="35"/>
      <c r="AC21" s="35"/>
      <c r="AD21" s="35"/>
      <c r="AE21" s="35"/>
      <c r="AF21" s="35"/>
    </row>
    <row r="22" spans="1:32">
      <c r="E22" s="35"/>
      <c r="F22" s="35"/>
      <c r="G22" s="35"/>
      <c r="H22" s="35"/>
      <c r="I22" s="35"/>
      <c r="J22" s="35"/>
      <c r="K22" s="35"/>
      <c r="L22" s="35"/>
      <c r="M22" s="35"/>
      <c r="N22" s="35"/>
      <c r="O22" s="35"/>
      <c r="P22" s="35"/>
      <c r="Q22" s="35"/>
      <c r="R22" s="35"/>
      <c r="S22" s="35"/>
      <c r="T22" s="35"/>
      <c r="U22" s="35"/>
      <c r="V22" s="35"/>
      <c r="W22" s="35"/>
      <c r="X22" s="35"/>
      <c r="Y22" s="35"/>
      <c r="Z22" s="35"/>
      <c r="AB22" s="35"/>
      <c r="AC22" s="35"/>
      <c r="AD22" s="35"/>
      <c r="AE22" s="35"/>
      <c r="AF22" s="35"/>
    </row>
    <row r="23" spans="1:32">
      <c r="E23" s="35"/>
      <c r="F23" s="35"/>
      <c r="G23" s="35"/>
      <c r="H23" s="35"/>
      <c r="I23" s="35"/>
      <c r="J23" s="35"/>
      <c r="K23" s="35"/>
      <c r="L23" s="35"/>
      <c r="M23" s="35"/>
      <c r="N23" s="35"/>
      <c r="O23" s="35"/>
      <c r="P23" s="35"/>
      <c r="Q23" s="35"/>
      <c r="R23" s="35"/>
      <c r="S23" s="35"/>
      <c r="T23" s="35"/>
      <c r="U23" s="35"/>
      <c r="V23" s="35"/>
      <c r="W23" s="35"/>
      <c r="X23" s="35"/>
      <c r="Y23" s="35"/>
      <c r="Z23" s="35"/>
      <c r="AB23" s="35"/>
      <c r="AC23" s="35"/>
      <c r="AD23" s="35"/>
      <c r="AE23" s="35"/>
      <c r="AF23" s="35"/>
    </row>
    <row r="24" spans="1:32">
      <c r="C24" s="7" t="s">
        <v>347</v>
      </c>
      <c r="E24" s="35">
        <f t="shared" ref="E24:X24" si="2">SUM(E21:E22)</f>
        <v>0</v>
      </c>
      <c r="F24" s="35">
        <f t="shared" si="2"/>
        <v>0</v>
      </c>
      <c r="G24" s="35">
        <f t="shared" si="2"/>
        <v>0</v>
      </c>
      <c r="H24" s="35">
        <f t="shared" si="2"/>
        <v>0</v>
      </c>
      <c r="I24" s="35">
        <f t="shared" si="2"/>
        <v>0</v>
      </c>
      <c r="J24" s="35">
        <f t="shared" si="2"/>
        <v>0</v>
      </c>
      <c r="K24" s="35">
        <f t="shared" si="2"/>
        <v>0</v>
      </c>
      <c r="L24" s="35">
        <f t="shared" si="2"/>
        <v>0</v>
      </c>
      <c r="M24" s="35">
        <f t="shared" si="2"/>
        <v>0</v>
      </c>
      <c r="N24" s="35">
        <f t="shared" si="2"/>
        <v>0</v>
      </c>
      <c r="O24" s="35">
        <f t="shared" si="2"/>
        <v>0</v>
      </c>
      <c r="P24" s="35">
        <f t="shared" si="2"/>
        <v>0</v>
      </c>
      <c r="Q24" s="35">
        <f t="shared" si="2"/>
        <v>0</v>
      </c>
      <c r="R24" s="35">
        <f t="shared" si="2"/>
        <v>0</v>
      </c>
      <c r="S24" s="35">
        <f t="shared" si="2"/>
        <v>0</v>
      </c>
      <c r="T24" s="35">
        <f t="shared" si="2"/>
        <v>60664.951918541097</v>
      </c>
      <c r="U24" s="35">
        <f t="shared" si="2"/>
        <v>55655.378800802835</v>
      </c>
      <c r="V24" s="35">
        <f t="shared" si="2"/>
        <v>49999.385389778399</v>
      </c>
      <c r="W24" s="35">
        <f t="shared" si="2"/>
        <v>45281.217886956496</v>
      </c>
      <c r="X24" s="35">
        <f t="shared" si="2"/>
        <v>40632.612209263665</v>
      </c>
      <c r="Y24" s="35"/>
      <c r="Z24" s="35"/>
      <c r="AB24" s="35"/>
      <c r="AC24" s="35"/>
      <c r="AD24" s="35"/>
      <c r="AE24" s="35"/>
      <c r="AF24" s="35"/>
    </row>
    <row r="25" spans="1:32">
      <c r="E25" s="35"/>
      <c r="F25" s="35"/>
      <c r="G25" s="35"/>
      <c r="H25" s="35"/>
      <c r="I25" s="35"/>
      <c r="J25" s="35"/>
      <c r="K25" s="35"/>
      <c r="L25" s="35"/>
      <c r="M25" s="35"/>
      <c r="N25" s="35"/>
      <c r="O25" s="35"/>
      <c r="P25" s="35"/>
      <c r="Q25" s="35"/>
      <c r="R25" s="35"/>
      <c r="S25" s="35"/>
      <c r="T25" s="35"/>
      <c r="U25" s="35"/>
      <c r="V25" s="35"/>
      <c r="W25" s="35"/>
      <c r="X25" s="35"/>
      <c r="Y25" s="35"/>
    </row>
    <row r="26" spans="1:32">
      <c r="E26" s="35"/>
      <c r="F26" s="35"/>
      <c r="G26" s="35"/>
      <c r="H26" s="35"/>
      <c r="I26" s="35"/>
      <c r="J26" s="35"/>
      <c r="K26" s="35"/>
      <c r="L26" s="35"/>
      <c r="M26" s="35"/>
      <c r="N26" s="35"/>
      <c r="O26" s="35"/>
      <c r="P26" s="35"/>
      <c r="Q26" s="35"/>
      <c r="R26" s="35"/>
      <c r="S26" s="35"/>
      <c r="T26" s="35"/>
      <c r="U26" s="35"/>
      <c r="V26" s="35"/>
      <c r="W26" s="35"/>
      <c r="X26" s="35"/>
      <c r="Y26" s="35"/>
    </row>
    <row r="27" spans="1:32" ht="15">
      <c r="A27" s="55" t="s">
        <v>348</v>
      </c>
      <c r="E27" s="35"/>
      <c r="F27" s="35"/>
      <c r="G27" s="35"/>
      <c r="H27" s="35"/>
      <c r="I27" s="35"/>
      <c r="J27" s="35"/>
      <c r="K27" s="35"/>
      <c r="L27" s="35"/>
      <c r="M27" s="35"/>
      <c r="N27" s="35"/>
      <c r="O27" s="35"/>
      <c r="P27" s="35"/>
      <c r="Q27" s="35"/>
      <c r="R27" s="35"/>
      <c r="S27" s="35"/>
      <c r="T27" s="35"/>
      <c r="U27" s="35"/>
      <c r="V27" s="35"/>
      <c r="W27" s="35"/>
      <c r="X27" s="35"/>
      <c r="Y27" s="35"/>
      <c r="Z27" s="122">
        <v>0.85</v>
      </c>
    </row>
    <row r="28" spans="1:32">
      <c r="E28" s="35">
        <v>2</v>
      </c>
      <c r="F28" s="35">
        <v>3</v>
      </c>
      <c r="G28" s="35">
        <v>4</v>
      </c>
      <c r="H28" s="35">
        <v>5</v>
      </c>
      <c r="I28" s="35">
        <v>6</v>
      </c>
      <c r="J28" s="35">
        <v>7</v>
      </c>
      <c r="K28" s="35">
        <v>8</v>
      </c>
      <c r="L28" s="35">
        <v>9</v>
      </c>
      <c r="M28" s="35">
        <v>10</v>
      </c>
      <c r="N28" s="35">
        <v>11</v>
      </c>
      <c r="O28" s="35">
        <v>12</v>
      </c>
      <c r="P28" s="35">
        <v>13</v>
      </c>
      <c r="Q28" s="35">
        <v>14</v>
      </c>
      <c r="R28" s="35">
        <v>15</v>
      </c>
      <c r="S28" s="35">
        <v>16</v>
      </c>
      <c r="T28" s="35">
        <v>17</v>
      </c>
      <c r="U28" s="35">
        <v>18</v>
      </c>
      <c r="V28" s="35">
        <v>19</v>
      </c>
      <c r="W28" s="35">
        <v>20</v>
      </c>
      <c r="X28" s="35">
        <v>21</v>
      </c>
      <c r="Y28" s="35"/>
      <c r="Z28" s="123" t="s">
        <v>60</v>
      </c>
    </row>
    <row r="29" spans="1:32">
      <c r="C29" s="7" t="str">
        <f>C13</f>
        <v>Single Family</v>
      </c>
      <c r="E29" s="35">
        <f t="shared" ref="E29:X29" si="3">SUM(E13,E21)</f>
        <v>4203528.2719999999</v>
      </c>
      <c r="F29" s="35">
        <f t="shared" si="3"/>
        <v>4193982.9785983553</v>
      </c>
      <c r="G29" s="35">
        <f t="shared" si="3"/>
        <v>4184459.3604704877</v>
      </c>
      <c r="H29" s="35">
        <f t="shared" si="3"/>
        <v>4174957.36839659</v>
      </c>
      <c r="I29" s="35">
        <f t="shared" si="3"/>
        <v>4165476.9532686244</v>
      </c>
      <c r="J29" s="35">
        <f t="shared" si="3"/>
        <v>4156018.0660900641</v>
      </c>
      <c r="K29" s="35">
        <f t="shared" si="3"/>
        <v>4146580.6579756448</v>
      </c>
      <c r="L29" s="35">
        <f t="shared" si="3"/>
        <v>4137164.6801511091</v>
      </c>
      <c r="M29" s="35">
        <f t="shared" si="3"/>
        <v>4127770.0839529554</v>
      </c>
      <c r="N29" s="35">
        <f t="shared" si="3"/>
        <v>4118396.8208281873</v>
      </c>
      <c r="O29" s="35">
        <f t="shared" si="3"/>
        <v>4109044.8423340586</v>
      </c>
      <c r="P29" s="35">
        <f t="shared" si="3"/>
        <v>4099714.1001378288</v>
      </c>
      <c r="Q29" s="35">
        <f t="shared" si="3"/>
        <v>4090404.5460165106</v>
      </c>
      <c r="R29" s="35">
        <f t="shared" si="3"/>
        <v>4081116.1318566194</v>
      </c>
      <c r="S29" s="35">
        <f t="shared" si="3"/>
        <v>4071848.8096539262</v>
      </c>
      <c r="T29" s="35">
        <f t="shared" si="3"/>
        <v>4123267.483431749</v>
      </c>
      <c r="U29" s="35">
        <f t="shared" si="3"/>
        <v>4109032.6284488062</v>
      </c>
      <c r="V29" s="35">
        <f t="shared" si="3"/>
        <v>4094172.3017701404</v>
      </c>
      <c r="W29" s="35">
        <f t="shared" si="3"/>
        <v>4080270.7020275565</v>
      </c>
      <c r="X29" s="35">
        <f t="shared" si="3"/>
        <v>4066459.5176763185</v>
      </c>
      <c r="Y29" s="35"/>
      <c r="Z29" s="124">
        <f>INDEX(E29:Y29,1,MATCH($C$9,$E$11:$Y$11,0))*$Z$27*A37*B37</f>
        <v>2540520.5836682799</v>
      </c>
    </row>
    <row r="30" spans="1:32">
      <c r="E30" s="35"/>
      <c r="F30" s="35"/>
      <c r="G30" s="35"/>
      <c r="H30" s="35"/>
      <c r="I30" s="35"/>
      <c r="J30" s="35"/>
      <c r="K30" s="35"/>
      <c r="L30" s="35"/>
      <c r="M30" s="35"/>
      <c r="N30" s="35"/>
      <c r="O30" s="35"/>
      <c r="P30" s="35"/>
      <c r="Q30" s="35"/>
      <c r="R30" s="35"/>
      <c r="S30" s="35"/>
      <c r="T30" s="35"/>
      <c r="U30" s="35"/>
      <c r="V30" s="35"/>
      <c r="W30" s="35"/>
      <c r="X30" s="35"/>
      <c r="Y30" s="35"/>
      <c r="Z30" s="124"/>
    </row>
    <row r="31" spans="1:32">
      <c r="E31" s="35"/>
      <c r="F31" s="35"/>
      <c r="G31" s="35"/>
      <c r="H31" s="35"/>
      <c r="I31" s="35"/>
      <c r="J31" s="35"/>
      <c r="K31" s="35"/>
      <c r="L31" s="35"/>
      <c r="M31" s="35"/>
      <c r="N31" s="35"/>
      <c r="O31" s="35"/>
      <c r="P31" s="35"/>
      <c r="Q31" s="35"/>
      <c r="R31" s="35"/>
      <c r="S31" s="35"/>
      <c r="T31" s="35"/>
      <c r="U31" s="35"/>
      <c r="V31" s="35"/>
      <c r="W31" s="35"/>
      <c r="X31" s="35"/>
      <c r="Y31" s="35"/>
    </row>
    <row r="32" spans="1:32">
      <c r="E32" s="35">
        <f t="shared" ref="E32:X32" si="4">SUM(E29:E30)</f>
        <v>4203528.2719999999</v>
      </c>
      <c r="F32" s="35">
        <f t="shared" si="4"/>
        <v>4193982.9785983553</v>
      </c>
      <c r="G32" s="35">
        <f t="shared" si="4"/>
        <v>4184459.3604704877</v>
      </c>
      <c r="H32" s="35">
        <f t="shared" si="4"/>
        <v>4174957.36839659</v>
      </c>
      <c r="I32" s="35">
        <f t="shared" si="4"/>
        <v>4165476.9532686244</v>
      </c>
      <c r="J32" s="35">
        <f t="shared" si="4"/>
        <v>4156018.0660900641</v>
      </c>
      <c r="K32" s="35">
        <f t="shared" si="4"/>
        <v>4146580.6579756448</v>
      </c>
      <c r="L32" s="35">
        <f t="shared" si="4"/>
        <v>4137164.6801511091</v>
      </c>
      <c r="M32" s="35">
        <f t="shared" si="4"/>
        <v>4127770.0839529554</v>
      </c>
      <c r="N32" s="35">
        <f t="shared" si="4"/>
        <v>4118396.8208281873</v>
      </c>
      <c r="O32" s="35">
        <f t="shared" si="4"/>
        <v>4109044.8423340586</v>
      </c>
      <c r="P32" s="35">
        <f t="shared" si="4"/>
        <v>4099714.1001378288</v>
      </c>
      <c r="Q32" s="35">
        <f t="shared" si="4"/>
        <v>4090404.5460165106</v>
      </c>
      <c r="R32" s="35">
        <f t="shared" si="4"/>
        <v>4081116.1318566194</v>
      </c>
      <c r="S32" s="35">
        <f t="shared" si="4"/>
        <v>4071848.8096539262</v>
      </c>
      <c r="T32" s="35">
        <f t="shared" si="4"/>
        <v>4123267.483431749</v>
      </c>
      <c r="U32" s="35">
        <f t="shared" si="4"/>
        <v>4109032.6284488062</v>
      </c>
      <c r="V32" s="35">
        <f t="shared" si="4"/>
        <v>4094172.3017701404</v>
      </c>
      <c r="W32" s="35">
        <f t="shared" si="4"/>
        <v>4080270.7020275565</v>
      </c>
      <c r="X32" s="35">
        <f t="shared" si="4"/>
        <v>4066459.5176763185</v>
      </c>
      <c r="Y32" s="35"/>
      <c r="Z32" s="35">
        <f>SUM(Z29:Z30)</f>
        <v>2540520.5836682799</v>
      </c>
    </row>
    <row r="33" spans="1:30">
      <c r="E33" s="35"/>
      <c r="F33" s="35"/>
      <c r="G33" s="35"/>
      <c r="H33" s="35"/>
      <c r="I33" s="35"/>
      <c r="J33" s="35"/>
      <c r="K33" s="35"/>
      <c r="L33" s="35"/>
      <c r="M33" s="35"/>
      <c r="N33" s="35"/>
      <c r="O33" s="35"/>
      <c r="P33" s="35"/>
      <c r="Q33" s="35"/>
      <c r="R33" s="35"/>
      <c r="S33" s="35"/>
      <c r="T33" s="35"/>
      <c r="U33" s="35"/>
      <c r="V33" s="35"/>
      <c r="W33" s="35"/>
      <c r="X33" s="35"/>
      <c r="Y33" s="35"/>
    </row>
    <row r="34" spans="1:30">
      <c r="E34" s="35"/>
      <c r="F34" s="35"/>
      <c r="G34" s="35"/>
      <c r="H34" s="35"/>
      <c r="I34" s="35"/>
      <c r="J34" s="35"/>
      <c r="K34" s="35"/>
      <c r="L34" s="35"/>
      <c r="M34" s="35"/>
      <c r="N34" s="35"/>
      <c r="O34" s="35"/>
      <c r="P34" s="35"/>
      <c r="Q34" s="35"/>
      <c r="R34" s="35"/>
      <c r="S34" s="35"/>
      <c r="T34" s="35"/>
      <c r="U34" s="35"/>
      <c r="V34" s="35"/>
      <c r="W34" s="35"/>
      <c r="X34" s="35"/>
      <c r="Y34" s="35"/>
    </row>
    <row r="35" spans="1:30" ht="15">
      <c r="A35" s="125" t="s">
        <v>349</v>
      </c>
      <c r="B35" s="125"/>
      <c r="E35" s="53"/>
      <c r="F35" s="53"/>
      <c r="G35" s="35"/>
      <c r="H35" s="35"/>
      <c r="I35" s="35"/>
      <c r="J35" s="35"/>
      <c r="K35" s="35"/>
      <c r="L35" s="35"/>
      <c r="M35" s="35"/>
      <c r="N35" s="35"/>
      <c r="O35" s="35"/>
      <c r="P35" s="35"/>
      <c r="Q35" s="35"/>
      <c r="R35" s="35"/>
      <c r="S35" s="35"/>
      <c r="T35" s="35"/>
      <c r="U35" s="35"/>
      <c r="V35" s="35"/>
      <c r="W35" s="35"/>
      <c r="X35" s="35"/>
      <c r="Y35" s="35"/>
    </row>
    <row r="36" spans="1:30" ht="15">
      <c r="A36" s="64" t="s">
        <v>59</v>
      </c>
      <c r="B36" s="64" t="s">
        <v>139</v>
      </c>
      <c r="C36" s="64" t="s">
        <v>350</v>
      </c>
      <c r="D36" s="64" t="str">
        <f>CONCATENATE(C8," - ",C7)</f>
        <v>ASHP - NR</v>
      </c>
      <c r="E36" s="126">
        <v>2016</v>
      </c>
      <c r="F36" s="127">
        <v>2017</v>
      </c>
      <c r="G36" s="127">
        <v>2018</v>
      </c>
      <c r="H36" s="127">
        <v>2019</v>
      </c>
      <c r="I36" s="127">
        <v>2020</v>
      </c>
      <c r="J36" s="127">
        <v>2021</v>
      </c>
      <c r="K36" s="127">
        <v>2022</v>
      </c>
      <c r="L36" s="127">
        <v>2023</v>
      </c>
      <c r="M36" s="127">
        <v>2024</v>
      </c>
      <c r="N36" s="127">
        <v>2025</v>
      </c>
      <c r="O36" s="127">
        <v>2026</v>
      </c>
      <c r="P36" s="127">
        <v>2027</v>
      </c>
      <c r="Q36" s="127">
        <v>2028</v>
      </c>
      <c r="R36" s="127">
        <v>2029</v>
      </c>
      <c r="S36" s="127">
        <v>2030</v>
      </c>
      <c r="T36" s="127">
        <v>2031</v>
      </c>
      <c r="U36" s="127">
        <v>2032</v>
      </c>
      <c r="V36" s="127">
        <v>2033</v>
      </c>
      <c r="W36" s="127">
        <v>2034</v>
      </c>
      <c r="X36" s="127">
        <v>2035</v>
      </c>
      <c r="Y36" s="128"/>
    </row>
    <row r="37" spans="1:30">
      <c r="A37" s="56">
        <f>INDEX([2]!ResApplic,MATCH($D$36,[2]APPLIC!$B$9:$B$120,0)+1,MATCH($D37,[2]APPLIC!$C$8:$F$8,0)+1)</f>
        <v>0.73499999999999999</v>
      </c>
      <c r="B37" s="56">
        <v>1</v>
      </c>
      <c r="C37" s="56">
        <f>VLOOKUP($D$36,[2]TURN!$B$10:$F$78,MATCH(D37,$D$37:$D$37,0)+1,FALSE)</f>
        <v>6.6666666666666666E-2</v>
      </c>
      <c r="D37" s="7" t="str">
        <f>C13</f>
        <v>Single Family</v>
      </c>
      <c r="E37" s="35">
        <f t="shared" ref="E37:X37" si="5">E13*$C37*$A37*$B37</f>
        <v>205972.88532799997</v>
      </c>
      <c r="F37" s="35">
        <f t="shared" si="5"/>
        <v>205505.16595131942</v>
      </c>
      <c r="G37" s="35">
        <f t="shared" si="5"/>
        <v>205038.50866305389</v>
      </c>
      <c r="H37" s="35">
        <f t="shared" si="5"/>
        <v>204572.91105143289</v>
      </c>
      <c r="I37" s="35">
        <f>I13*$C37*$A37*$B37</f>
        <v>204108.37071016259</v>
      </c>
      <c r="J37" s="35">
        <f t="shared" si="5"/>
        <v>203644.88523841312</v>
      </c>
      <c r="K37" s="35">
        <f t="shared" si="5"/>
        <v>203182.4522408066</v>
      </c>
      <c r="L37" s="35">
        <f t="shared" si="5"/>
        <v>202721.06932740434</v>
      </c>
      <c r="M37" s="35">
        <f t="shared" si="5"/>
        <v>202260.73411369481</v>
      </c>
      <c r="N37" s="35">
        <f t="shared" si="5"/>
        <v>201801.44422058115</v>
      </c>
      <c r="O37" s="35">
        <f t="shared" si="5"/>
        <v>201343.19727436887</v>
      </c>
      <c r="P37" s="35">
        <f t="shared" si="5"/>
        <v>200885.99090675361</v>
      </c>
      <c r="Q37" s="35">
        <f t="shared" si="5"/>
        <v>200429.82275480902</v>
      </c>
      <c r="R37" s="35">
        <f t="shared" si="5"/>
        <v>199974.69046097435</v>
      </c>
      <c r="S37" s="35">
        <f t="shared" si="5"/>
        <v>199520.59167304236</v>
      </c>
      <c r="T37" s="35">
        <f>T13*$C37*$A37*$B37</f>
        <v>199067.52404414717</v>
      </c>
      <c r="U37" s="35">
        <f t="shared" si="5"/>
        <v>198615.48523275217</v>
      </c>
      <c r="V37" s="35">
        <f t="shared" si="5"/>
        <v>198164.47290263776</v>
      </c>
      <c r="W37" s="35">
        <f t="shared" si="5"/>
        <v>197714.48472288941</v>
      </c>
      <c r="X37" s="35">
        <f t="shared" si="5"/>
        <v>197265.51836788567</v>
      </c>
      <c r="Y37" s="35"/>
      <c r="Z37" s="35">
        <f>X13*$Z$27*A37*B37</f>
        <v>2515135.3591905427</v>
      </c>
      <c r="AD37" s="35"/>
    </row>
    <row r="38" spans="1:30">
      <c r="E38" s="35"/>
      <c r="F38" s="35"/>
      <c r="G38" s="35"/>
      <c r="H38" s="35"/>
      <c r="I38" s="35"/>
      <c r="J38" s="35"/>
      <c r="K38" s="35"/>
      <c r="L38" s="35"/>
      <c r="M38" s="35"/>
      <c r="N38" s="35"/>
      <c r="O38" s="35"/>
      <c r="P38" s="35"/>
      <c r="Q38" s="35"/>
      <c r="R38" s="35"/>
      <c r="S38" s="35"/>
      <c r="T38" s="35"/>
      <c r="U38" s="35"/>
      <c r="V38" s="35"/>
      <c r="W38" s="35"/>
      <c r="X38" s="35"/>
      <c r="Y38" s="35"/>
    </row>
    <row r="39" spans="1:30">
      <c r="E39" s="35">
        <f t="shared" ref="E39:X39" si="6">SUM(E37:E37)</f>
        <v>205972.88532799997</v>
      </c>
      <c r="F39" s="35">
        <f t="shared" si="6"/>
        <v>205505.16595131942</v>
      </c>
      <c r="G39" s="35">
        <f t="shared" si="6"/>
        <v>205038.50866305389</v>
      </c>
      <c r="H39" s="35">
        <f t="shared" si="6"/>
        <v>204572.91105143289</v>
      </c>
      <c r="I39" s="35">
        <f t="shared" si="6"/>
        <v>204108.37071016259</v>
      </c>
      <c r="J39" s="35">
        <f t="shared" si="6"/>
        <v>203644.88523841312</v>
      </c>
      <c r="K39" s="35">
        <f t="shared" si="6"/>
        <v>203182.4522408066</v>
      </c>
      <c r="L39" s="35">
        <f t="shared" si="6"/>
        <v>202721.06932740434</v>
      </c>
      <c r="M39" s="35">
        <f t="shared" si="6"/>
        <v>202260.73411369481</v>
      </c>
      <c r="N39" s="35">
        <f t="shared" si="6"/>
        <v>201801.44422058115</v>
      </c>
      <c r="O39" s="35">
        <f t="shared" si="6"/>
        <v>201343.19727436887</v>
      </c>
      <c r="P39" s="35">
        <f t="shared" si="6"/>
        <v>200885.99090675361</v>
      </c>
      <c r="Q39" s="35">
        <f t="shared" si="6"/>
        <v>200429.82275480902</v>
      </c>
      <c r="R39" s="35">
        <f t="shared" si="6"/>
        <v>199974.69046097435</v>
      </c>
      <c r="S39" s="35">
        <f t="shared" si="6"/>
        <v>199520.59167304236</v>
      </c>
      <c r="T39" s="35">
        <f t="shared" si="6"/>
        <v>199067.52404414717</v>
      </c>
      <c r="U39" s="35">
        <f t="shared" si="6"/>
        <v>198615.48523275217</v>
      </c>
      <c r="V39" s="35">
        <f t="shared" si="6"/>
        <v>198164.47290263776</v>
      </c>
      <c r="W39" s="35">
        <f t="shared" si="6"/>
        <v>197714.48472288941</v>
      </c>
      <c r="X39" s="35">
        <f t="shared" si="6"/>
        <v>197265.51836788567</v>
      </c>
      <c r="Y39" s="35"/>
      <c r="Z39" s="35">
        <f>SUM(E39:X39)</f>
        <v>4031790.2051851293</v>
      </c>
      <c r="AD39" s="35"/>
    </row>
    <row r="40" spans="1:30">
      <c r="E40" s="35"/>
      <c r="F40" s="35"/>
      <c r="G40" s="35"/>
      <c r="H40" s="35"/>
      <c r="I40" s="35"/>
      <c r="J40" s="35"/>
      <c r="K40" s="35"/>
      <c r="L40" s="35"/>
      <c r="M40" s="35"/>
      <c r="N40" s="35"/>
      <c r="O40" s="35"/>
      <c r="P40" s="35"/>
      <c r="Q40" s="35"/>
      <c r="R40" s="35"/>
      <c r="S40" s="35"/>
      <c r="T40" s="35"/>
      <c r="U40" s="35"/>
      <c r="V40" s="35"/>
      <c r="W40" s="35"/>
      <c r="X40" s="35"/>
      <c r="Y40" s="35"/>
      <c r="Z40" s="35"/>
      <c r="AD40" s="35"/>
    </row>
    <row r="41" spans="1:30" ht="15">
      <c r="A41" s="64" t="s">
        <v>59</v>
      </c>
      <c r="B41" s="64" t="s">
        <v>139</v>
      </c>
      <c r="C41" s="64" t="s">
        <v>350</v>
      </c>
      <c r="D41" s="64" t="str">
        <f>CONCATENATE(C8," - ","New")</f>
        <v>ASHP - New</v>
      </c>
      <c r="E41" s="126">
        <v>1</v>
      </c>
      <c r="F41" s="127">
        <v>2</v>
      </c>
      <c r="G41" s="127">
        <v>3</v>
      </c>
      <c r="H41" s="127">
        <v>4</v>
      </c>
      <c r="I41" s="127">
        <v>5</v>
      </c>
      <c r="J41" s="127">
        <v>6</v>
      </c>
      <c r="K41" s="127">
        <v>7</v>
      </c>
      <c r="L41" s="127">
        <v>8</v>
      </c>
      <c r="M41" s="127">
        <v>9</v>
      </c>
      <c r="N41" s="127">
        <v>10</v>
      </c>
      <c r="O41" s="127">
        <v>11</v>
      </c>
      <c r="P41" s="127">
        <v>12</v>
      </c>
      <c r="Q41" s="127">
        <v>13</v>
      </c>
      <c r="R41" s="127">
        <v>14</v>
      </c>
      <c r="S41" s="127">
        <v>15</v>
      </c>
      <c r="T41" s="127">
        <v>16</v>
      </c>
      <c r="U41" s="127">
        <v>17</v>
      </c>
      <c r="V41" s="127">
        <v>18</v>
      </c>
      <c r="W41" s="127">
        <v>19</v>
      </c>
      <c r="X41" s="127">
        <v>20</v>
      </c>
      <c r="Y41" s="128"/>
    </row>
    <row r="42" spans="1:30">
      <c r="A42" s="56">
        <f>INDEX([2]!ResApplic,MATCH($D$36,[2]APPLIC!$B$9:$B$120,0)+1,MATCH($D42,[2]APPLIC!$C$8:$F$8,0)+1)</f>
        <v>0.73499999999999999</v>
      </c>
      <c r="B42" s="56">
        <v>1</v>
      </c>
      <c r="C42" s="56">
        <f>VLOOKUP($D$41,[2]TURN!$B$10:$F$78,MATCH(D42,$D$42,0)+1,FALSE)</f>
        <v>1</v>
      </c>
      <c r="D42" s="7" t="str">
        <f>D37</f>
        <v>Single Family</v>
      </c>
      <c r="E42" s="35">
        <f>E21*$C42*$A42*$B42</f>
        <v>0</v>
      </c>
      <c r="F42" s="35">
        <f t="shared" ref="F42:X42" si="7">F21*$C42*$A42*$B42</f>
        <v>0</v>
      </c>
      <c r="G42" s="35">
        <f t="shared" si="7"/>
        <v>0</v>
      </c>
      <c r="H42" s="35">
        <f t="shared" si="7"/>
        <v>0</v>
      </c>
      <c r="I42" s="35">
        <f t="shared" si="7"/>
        <v>0</v>
      </c>
      <c r="J42" s="35">
        <f t="shared" si="7"/>
        <v>0</v>
      </c>
      <c r="K42" s="35">
        <f t="shared" si="7"/>
        <v>0</v>
      </c>
      <c r="L42" s="35">
        <f t="shared" si="7"/>
        <v>0</v>
      </c>
      <c r="M42" s="35">
        <f t="shared" si="7"/>
        <v>0</v>
      </c>
      <c r="N42" s="35">
        <f t="shared" si="7"/>
        <v>0</v>
      </c>
      <c r="O42" s="35">
        <f t="shared" si="7"/>
        <v>0</v>
      </c>
      <c r="P42" s="35">
        <f t="shared" si="7"/>
        <v>0</v>
      </c>
      <c r="Q42" s="35">
        <f t="shared" si="7"/>
        <v>0</v>
      </c>
      <c r="R42" s="35">
        <f t="shared" si="7"/>
        <v>0</v>
      </c>
      <c r="S42" s="35">
        <f t="shared" si="7"/>
        <v>0</v>
      </c>
      <c r="T42" s="35">
        <f t="shared" si="7"/>
        <v>44588.739660127707</v>
      </c>
      <c r="U42" s="35">
        <f t="shared" si="7"/>
        <v>40906.703418590085</v>
      </c>
      <c r="V42" s="35">
        <f t="shared" si="7"/>
        <v>36749.548261487122</v>
      </c>
      <c r="W42" s="35">
        <f t="shared" si="7"/>
        <v>33281.695146913022</v>
      </c>
      <c r="X42" s="35">
        <f t="shared" si="7"/>
        <v>29864.969973808795</v>
      </c>
      <c r="Y42" s="35"/>
      <c r="Z42" s="35">
        <f>SUM(E42:X42)*$Z$27</f>
        <v>157582.90799178774</v>
      </c>
      <c r="AD42" s="35"/>
    </row>
    <row r="43" spans="1:30">
      <c r="E43" s="35"/>
      <c r="F43" s="35"/>
      <c r="G43" s="35"/>
      <c r="H43" s="35"/>
      <c r="I43" s="35"/>
      <c r="J43" s="35"/>
      <c r="K43" s="35"/>
      <c r="L43" s="35"/>
      <c r="M43" s="35"/>
      <c r="N43" s="35"/>
      <c r="O43" s="35"/>
      <c r="P43" s="35"/>
      <c r="Q43" s="35"/>
      <c r="R43" s="35"/>
      <c r="S43" s="35"/>
      <c r="T43" s="35"/>
      <c r="U43" s="35"/>
      <c r="V43" s="35"/>
      <c r="W43" s="35"/>
      <c r="X43" s="35"/>
      <c r="Y43" s="35"/>
    </row>
    <row r="44" spans="1:30">
      <c r="E44" s="35"/>
      <c r="F44" s="35"/>
      <c r="G44" s="35"/>
      <c r="H44" s="35"/>
      <c r="I44" s="35"/>
      <c r="J44" s="35"/>
      <c r="K44" s="35"/>
      <c r="L44" s="35"/>
      <c r="M44" s="35"/>
      <c r="N44" s="35"/>
      <c r="O44" s="35"/>
      <c r="P44" s="35"/>
      <c r="Q44" s="35"/>
      <c r="R44" s="35"/>
      <c r="S44" s="35"/>
      <c r="T44" s="35"/>
      <c r="U44" s="35"/>
      <c r="V44" s="35"/>
      <c r="W44" s="35"/>
      <c r="X44" s="35"/>
      <c r="Y44" s="35"/>
      <c r="Z44" s="35"/>
      <c r="AD44" s="35"/>
    </row>
    <row r="45" spans="1:30">
      <c r="E45" s="35"/>
      <c r="F45" s="35"/>
      <c r="G45" s="35"/>
      <c r="H45" s="35"/>
      <c r="I45" s="35"/>
      <c r="J45" s="35"/>
      <c r="K45" s="35"/>
      <c r="L45" s="35"/>
      <c r="M45" s="35"/>
      <c r="N45" s="35"/>
      <c r="O45" s="35"/>
      <c r="P45" s="35"/>
      <c r="Q45" s="35"/>
      <c r="R45" s="35"/>
      <c r="S45" s="35"/>
      <c r="T45" s="35"/>
      <c r="U45" s="35"/>
      <c r="V45" s="35"/>
      <c r="W45" s="35"/>
      <c r="X45" s="35"/>
      <c r="Y45" s="35"/>
      <c r="Z45" s="35"/>
      <c r="AD45" s="35"/>
    </row>
    <row r="46" spans="1:30" ht="15">
      <c r="E46" s="64" t="s">
        <v>61</v>
      </c>
      <c r="F46" s="35"/>
      <c r="G46" s="35"/>
      <c r="H46" s="35"/>
      <c r="I46" s="35"/>
      <c r="J46" s="35"/>
      <c r="K46" s="35"/>
      <c r="L46" s="35"/>
      <c r="M46" s="35"/>
      <c r="N46" s="35"/>
      <c r="O46" s="35"/>
      <c r="P46" s="35"/>
      <c r="Q46" s="35"/>
      <c r="R46" s="35"/>
      <c r="S46" s="35"/>
      <c r="T46" s="35"/>
      <c r="U46" s="35"/>
      <c r="V46" s="35"/>
      <c r="W46" s="35"/>
      <c r="X46" s="35"/>
      <c r="Y46" s="35"/>
    </row>
    <row r="47" spans="1:30" ht="15">
      <c r="A47" s="55" t="s">
        <v>351</v>
      </c>
      <c r="D47" s="64" t="str">
        <f>D36</f>
        <v>ASHP - NR</v>
      </c>
      <c r="E47" s="68">
        <f>VLOOKUP($D$36,[2]ACHIEV!$B$9:$X$100,MATCH(E$11,$E$11:$Y$11,0)+2,FALSE)</f>
        <v>4.2999999999999997E-2</v>
      </c>
      <c r="F47" s="68">
        <f>VLOOKUP($D$36,[2]ACHIEV!$B$9:$X$100,MATCH(F$11,$E$11:$Y$11,0)+2,FALSE)</f>
        <v>9.5797142280278316E-2</v>
      </c>
      <c r="G47" s="68">
        <f>VLOOKUP($D$36,[2]ACHIEV!$B$9:$X$100,MATCH(G$11,$E$11:$Y$11,0)+2,FALSE)</f>
        <v>0.16040539374775648</v>
      </c>
      <c r="H47" s="68">
        <f>VLOOKUP($D$36,[2]ACHIEV!$B$9:$X$100,MATCH(H$11,$E$11:$Y$11,0)+2,FALSE)</f>
        <v>0.23540539374775649</v>
      </c>
      <c r="I47" s="68">
        <f>VLOOKUP($D$36,[2]ACHIEV!$B$9:$X$100,MATCH(I$11,$E$11:$Y$11,0)+2,FALSE)</f>
        <v>0.32095239121809005</v>
      </c>
      <c r="J47" s="68">
        <f>VLOOKUP($D$36,[2]ACHIEV!$B$9:$X$100,MATCH(J$11,$E$11:$Y$11,0)+2,FALSE)</f>
        <v>0.42096711425629652</v>
      </c>
      <c r="K47" s="68">
        <f>VLOOKUP($D$36,[2]ACHIEV!$B$9:$X$100,MATCH(K$11,$E$11:$Y$11,0)+2,FALSE)</f>
        <v>0.53068481860864725</v>
      </c>
      <c r="L47" s="68">
        <f>VLOOKUP($D$36,[2]ACHIEV!$B$9:$X$100,MATCH(L$11,$E$11:$Y$11,0)+2,FALSE)</f>
        <v>0.642769203728351</v>
      </c>
      <c r="M47" s="68">
        <f>VLOOKUP($D$36,[2]ACHIEV!$B$9:$X$100,MATCH(M$11,$E$11:$Y$11,0)+2,FALSE)</f>
        <v>0.74839528535557953</v>
      </c>
      <c r="N47" s="68">
        <f>VLOOKUP($D$36,[2]ACHIEV!$B$9:$X$100,MATCH(N$11,$E$11:$Y$11,0)+2,FALSE)</f>
        <v>0.83918984935345187</v>
      </c>
      <c r="O47" s="68">
        <f>VLOOKUP($D$36,[2]ACHIEV!$B$9:$X$100,MATCH(O$11,$E$11:$Y$11,0)+2,FALSE)</f>
        <v>0.90945051634530116</v>
      </c>
      <c r="P47" s="68">
        <f>VLOOKUP($D$36,[2]ACHIEV!$B$9:$X$100,MATCH(P$11,$E$11:$Y$11,0)+2,FALSE)</f>
        <v>0.9576688767502457</v>
      </c>
      <c r="Q47" s="68">
        <f>VLOOKUP($D$36,[2]ACHIEV!$B$9:$X$100,MATCH(Q$11,$E$11:$Y$11,0)+2,FALSE)</f>
        <v>0.9865231113648858</v>
      </c>
      <c r="R47" s="68">
        <f>VLOOKUP($D$36,[2]ACHIEV!$B$9:$X$100,MATCH(R$11,$E$11:$Y$11,0)+2,FALSE)</f>
        <v>1.0012970762896924</v>
      </c>
      <c r="S47" s="68">
        <f>VLOOKUP($D$36,[2]ACHIEV!$B$9:$X$100,MATCH(S$11,$E$11:$Y$11,0)+2,FALSE)</f>
        <v>1.0076356106578106</v>
      </c>
      <c r="T47" s="68">
        <f>VLOOKUP($D$36,[2]ACHIEV!$B$9:$X$100,MATCH(T$11,$E$11:$Y$11,0)+2,FALSE)</f>
        <v>1.0098624683774413</v>
      </c>
      <c r="U47" s="68">
        <f>VLOOKUP($D$36,[2]ACHIEV!$B$9:$X$100,MATCH(U$11,$E$11:$Y$11,0)+2,FALSE)</f>
        <v>1.0104871783970797</v>
      </c>
      <c r="V47" s="68">
        <f>VLOOKUP($D$36,[2]ACHIEV!$B$9:$X$100,MATCH(V$11,$E$11:$Y$11,0)+2,FALSE)</f>
        <v>1.010623336815976</v>
      </c>
      <c r="W47" s="68">
        <f>VLOOKUP($D$36,[2]ACHIEV!$B$9:$X$100,MATCH(W$11,$E$11:$Y$11,0)+2,FALSE)</f>
        <v>1.0106457174525985</v>
      </c>
      <c r="X47" s="68">
        <f>VLOOKUP($D$36,[2]ACHIEV!$B$9:$X$100,MATCH(X$11,$E$11:$Y$11,0)+2,FALSE)</f>
        <v>1.0106484038909742</v>
      </c>
      <c r="Y47" s="68"/>
    </row>
    <row r="48" spans="1:30">
      <c r="D48" s="7" t="str">
        <f>C21</f>
        <v>Single Family</v>
      </c>
      <c r="E48" s="35">
        <f t="shared" ref="E48:X48" si="8">(E37+E42)*E$47*$Z$27</f>
        <v>7528.3089587383975</v>
      </c>
      <c r="F48" s="35">
        <f t="shared" si="8"/>
        <v>16733.786478675142</v>
      </c>
      <c r="G48" s="35">
        <f t="shared" si="8"/>
        <v>27955.89030821744</v>
      </c>
      <c r="H48" s="35">
        <f t="shared" si="8"/>
        <v>40933.931674759224</v>
      </c>
      <c r="I48" s="35">
        <f t="shared" si="8"/>
        <v>55682.709199996796</v>
      </c>
      <c r="J48" s="35">
        <f t="shared" si="8"/>
        <v>72868.629721089033</v>
      </c>
      <c r="K48" s="35">
        <f t="shared" si="8"/>
        <v>91651.966390091693</v>
      </c>
      <c r="L48" s="35">
        <f t="shared" si="8"/>
        <v>110757.43126395519</v>
      </c>
      <c r="M48" s="35">
        <f t="shared" si="8"/>
        <v>128665.33284976047</v>
      </c>
      <c r="N48" s="35">
        <f t="shared" si="8"/>
        <v>143947.26503856172</v>
      </c>
      <c r="O48" s="35">
        <f t="shared" si="8"/>
        <v>155644.92351522032</v>
      </c>
      <c r="P48" s="35">
        <f t="shared" si="8"/>
        <v>163524.92207655119</v>
      </c>
      <c r="Q48" s="35">
        <f t="shared" si="8"/>
        <v>168069.35450122875</v>
      </c>
      <c r="R48" s="35">
        <f t="shared" si="8"/>
        <v>170198.9619569334</v>
      </c>
      <c r="S48" s="35">
        <f t="shared" si="8"/>
        <v>170887.44524488266</v>
      </c>
      <c r="T48" s="35">
        <f t="shared" si="8"/>
        <v>209150.41851502022</v>
      </c>
      <c r="U48" s="35">
        <f t="shared" si="8"/>
        <v>205728.98548771965</v>
      </c>
      <c r="V48" s="35">
        <f t="shared" si="8"/>
        <v>201798.1531436847</v>
      </c>
      <c r="W48" s="35">
        <f t="shared" si="8"/>
        <v>198437.00494332708</v>
      </c>
      <c r="X48" s="35">
        <f t="shared" si="8"/>
        <v>195116.70568988437</v>
      </c>
      <c r="Y48" s="35"/>
    </row>
    <row r="50" spans="1:80">
      <c r="E50" s="35">
        <f t="shared" ref="E50:X50" si="9">SUM(E48:E48)</f>
        <v>7528.3089587383975</v>
      </c>
      <c r="F50" s="35">
        <f t="shared" si="9"/>
        <v>16733.786478675142</v>
      </c>
      <c r="G50" s="35">
        <f t="shared" si="9"/>
        <v>27955.89030821744</v>
      </c>
      <c r="H50" s="35">
        <f t="shared" si="9"/>
        <v>40933.931674759224</v>
      </c>
      <c r="I50" s="35">
        <f t="shared" si="9"/>
        <v>55682.709199996796</v>
      </c>
      <c r="J50" s="35">
        <f t="shared" si="9"/>
        <v>72868.629721089033</v>
      </c>
      <c r="K50" s="35">
        <f t="shared" si="9"/>
        <v>91651.966390091693</v>
      </c>
      <c r="L50" s="35">
        <f t="shared" si="9"/>
        <v>110757.43126395519</v>
      </c>
      <c r="M50" s="35">
        <f t="shared" si="9"/>
        <v>128665.33284976047</v>
      </c>
      <c r="N50" s="35">
        <f t="shared" si="9"/>
        <v>143947.26503856172</v>
      </c>
      <c r="O50" s="35">
        <f t="shared" si="9"/>
        <v>155644.92351522032</v>
      </c>
      <c r="P50" s="35">
        <f t="shared" si="9"/>
        <v>163524.92207655119</v>
      </c>
      <c r="Q50" s="35">
        <f t="shared" si="9"/>
        <v>168069.35450122875</v>
      </c>
      <c r="R50" s="35">
        <f t="shared" si="9"/>
        <v>170198.9619569334</v>
      </c>
      <c r="S50" s="35">
        <f t="shared" si="9"/>
        <v>170887.44524488266</v>
      </c>
      <c r="T50" s="35">
        <f t="shared" si="9"/>
        <v>209150.41851502022</v>
      </c>
      <c r="U50" s="35">
        <f t="shared" si="9"/>
        <v>205728.98548771965</v>
      </c>
      <c r="V50" s="35">
        <f t="shared" si="9"/>
        <v>201798.1531436847</v>
      </c>
      <c r="W50" s="35">
        <f t="shared" si="9"/>
        <v>198437.00494332708</v>
      </c>
      <c r="X50" s="35">
        <f t="shared" si="9"/>
        <v>195116.70568988437</v>
      </c>
      <c r="Y50" s="35"/>
    </row>
    <row r="51" spans="1:80">
      <c r="E51" s="35"/>
      <c r="F51" s="35"/>
      <c r="G51" s="35"/>
      <c r="H51" s="35"/>
      <c r="I51" s="35"/>
      <c r="J51" s="35"/>
      <c r="K51" s="35"/>
      <c r="L51" s="35"/>
      <c r="M51" s="35"/>
      <c r="N51" s="35"/>
      <c r="O51" s="35"/>
      <c r="P51" s="35"/>
      <c r="Q51" s="35"/>
      <c r="R51" s="35"/>
      <c r="S51" s="35"/>
      <c r="T51" s="35"/>
      <c r="U51" s="35"/>
      <c r="V51" s="35"/>
      <c r="W51" s="35"/>
      <c r="X51" s="35"/>
      <c r="Y51" s="35"/>
    </row>
    <row r="54" spans="1:80" customForma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row>
    <row r="55" spans="1:80" customFormat="1" ht="15">
      <c r="A55" s="55" t="s">
        <v>62</v>
      </c>
      <c r="B55" s="7"/>
      <c r="C55" s="7"/>
      <c r="D55" s="129" t="s">
        <v>343</v>
      </c>
      <c r="E55" s="7" t="s">
        <v>157</v>
      </c>
      <c r="F55" s="7"/>
      <c r="G55" s="7"/>
      <c r="H55" s="7"/>
      <c r="I55" s="7"/>
      <c r="J55" s="7"/>
      <c r="K55" s="7"/>
      <c r="L55" s="7"/>
      <c r="M55" s="7"/>
      <c r="N55" s="7"/>
      <c r="O55" s="7"/>
      <c r="P55" s="7"/>
      <c r="Q55" s="7"/>
      <c r="R55" s="7"/>
      <c r="S55" s="7"/>
      <c r="T55" s="7"/>
      <c r="U55" s="7"/>
      <c r="V55" s="7"/>
      <c r="W55" s="7"/>
      <c r="X55" s="7"/>
      <c r="Y55" s="7"/>
      <c r="Z55" s="7"/>
      <c r="AA55" s="7"/>
      <c r="AB55" s="7"/>
      <c r="AC55" s="7"/>
    </row>
    <row r="56" spans="1:80" customFormat="1" ht="15">
      <c r="A56" s="64" t="s">
        <v>63</v>
      </c>
      <c r="B56" s="64" t="s">
        <v>24</v>
      </c>
      <c r="C56" s="64"/>
      <c r="D56" s="64">
        <v>1</v>
      </c>
      <c r="E56" s="58">
        <f t="shared" ref="E56:X56" si="10">E11</f>
        <v>2016</v>
      </c>
      <c r="F56" s="59">
        <f t="shared" si="10"/>
        <v>2017</v>
      </c>
      <c r="G56" s="59">
        <f t="shared" si="10"/>
        <v>2018</v>
      </c>
      <c r="H56" s="59">
        <f t="shared" si="10"/>
        <v>2019</v>
      </c>
      <c r="I56" s="59">
        <f t="shared" si="10"/>
        <v>2020</v>
      </c>
      <c r="J56" s="59">
        <f t="shared" si="10"/>
        <v>2021</v>
      </c>
      <c r="K56" s="59">
        <f t="shared" si="10"/>
        <v>2022</v>
      </c>
      <c r="L56" s="59">
        <f t="shared" si="10"/>
        <v>2023</v>
      </c>
      <c r="M56" s="59">
        <f t="shared" si="10"/>
        <v>2024</v>
      </c>
      <c r="N56" s="59">
        <f t="shared" si="10"/>
        <v>2025</v>
      </c>
      <c r="O56" s="59">
        <f t="shared" si="10"/>
        <v>2026</v>
      </c>
      <c r="P56" s="59">
        <f t="shared" si="10"/>
        <v>2027</v>
      </c>
      <c r="Q56" s="59">
        <f t="shared" si="10"/>
        <v>2028</v>
      </c>
      <c r="R56" s="59">
        <f t="shared" si="10"/>
        <v>2029</v>
      </c>
      <c r="S56" s="59">
        <f t="shared" si="10"/>
        <v>2030</v>
      </c>
      <c r="T56" s="59">
        <f t="shared" si="10"/>
        <v>2031</v>
      </c>
      <c r="U56" s="59">
        <f t="shared" si="10"/>
        <v>2032</v>
      </c>
      <c r="V56" s="59">
        <f t="shared" si="10"/>
        <v>2033</v>
      </c>
      <c r="W56" s="59">
        <f t="shared" si="10"/>
        <v>2034</v>
      </c>
      <c r="X56" s="59">
        <f t="shared" si="10"/>
        <v>2035</v>
      </c>
      <c r="Y56" s="60" t="s">
        <v>60</v>
      </c>
      <c r="Z56" s="7"/>
      <c r="AA56" s="7"/>
      <c r="AB56" s="7"/>
      <c r="AC56" s="7"/>
    </row>
    <row r="57" spans="1:80" customFormat="1" ht="15">
      <c r="A57" s="64" t="s">
        <v>46</v>
      </c>
      <c r="B57" s="64" t="s">
        <v>64</v>
      </c>
      <c r="C57" s="64" t="s">
        <v>65</v>
      </c>
      <c r="D57" s="64" t="s">
        <v>66</v>
      </c>
      <c r="E57" s="61" t="str">
        <f>CONCATENATE("aMW_",E$11)</f>
        <v>aMW_2016</v>
      </c>
      <c r="F57" s="62" t="str">
        <f t="shared" ref="F57:X57" si="11">CONCATENATE("aMW_",F$11)</f>
        <v>aMW_2017</v>
      </c>
      <c r="G57" s="62" t="str">
        <f t="shared" si="11"/>
        <v>aMW_2018</v>
      </c>
      <c r="H57" s="62" t="str">
        <f t="shared" si="11"/>
        <v>aMW_2019</v>
      </c>
      <c r="I57" s="62" t="str">
        <f t="shared" si="11"/>
        <v>aMW_2020</v>
      </c>
      <c r="J57" s="62" t="str">
        <f t="shared" si="11"/>
        <v>aMW_2021</v>
      </c>
      <c r="K57" s="62" t="str">
        <f t="shared" si="11"/>
        <v>aMW_2022</v>
      </c>
      <c r="L57" s="62" t="str">
        <f t="shared" si="11"/>
        <v>aMW_2023</v>
      </c>
      <c r="M57" s="62" t="str">
        <f t="shared" si="11"/>
        <v>aMW_2024</v>
      </c>
      <c r="N57" s="62" t="str">
        <f t="shared" si="11"/>
        <v>aMW_2025</v>
      </c>
      <c r="O57" s="62" t="str">
        <f t="shared" si="11"/>
        <v>aMW_2026</v>
      </c>
      <c r="P57" s="62" t="str">
        <f t="shared" si="11"/>
        <v>aMW_2027</v>
      </c>
      <c r="Q57" s="62" t="str">
        <f t="shared" si="11"/>
        <v>aMW_2028</v>
      </c>
      <c r="R57" s="62" t="str">
        <f t="shared" si="11"/>
        <v>aMW_2029</v>
      </c>
      <c r="S57" s="62" t="str">
        <f t="shared" si="11"/>
        <v>aMW_2030</v>
      </c>
      <c r="T57" s="62" t="str">
        <f t="shared" si="11"/>
        <v>aMW_2031</v>
      </c>
      <c r="U57" s="62" t="str">
        <f t="shared" si="11"/>
        <v>aMW_2032</v>
      </c>
      <c r="V57" s="62" t="str">
        <f t="shared" si="11"/>
        <v>aMW_2033</v>
      </c>
      <c r="W57" s="62" t="str">
        <f t="shared" si="11"/>
        <v>aMW_2034</v>
      </c>
      <c r="X57" s="62" t="str">
        <f t="shared" si="11"/>
        <v>aMW_2035</v>
      </c>
      <c r="Y57" s="63" t="s">
        <v>60</v>
      </c>
      <c r="Z57" s="7"/>
      <c r="AA57" s="130" t="s">
        <v>268</v>
      </c>
      <c r="AB57" s="130"/>
      <c r="AC57" s="7"/>
    </row>
    <row r="58" spans="1:80">
      <c r="A58" s="57">
        <f t="shared" ref="A58:A63" si="12">VLOOKUP($D58,MeasureOutput,3,FALSE)</f>
        <v>2811.7504025708308</v>
      </c>
      <c r="B58" s="57">
        <f t="shared" ref="B58:B63" si="13">VLOOKUP($D58,MeasureOutput,11,FALSE)</f>
        <v>74.084180782573597</v>
      </c>
      <c r="C58" s="7" t="s">
        <v>49</v>
      </c>
      <c r="D58" s="7" t="s">
        <v>487</v>
      </c>
      <c r="E58" s="29">
        <f>VLOOKUP($C58,$D$48:$Z$48,E$20+1,FALSE)*$D$56*$A58/8760/1000*VLOOKUP(RIGHT($D58,LEN($D58)-FIND(" + ",$D58)-2),'HVAC weighting'!$A$3:$E$9,MATCH('SC-NR'!$C58,'HVAC weighting'!$B$3:$E$3,0)+1,0)</f>
        <v>1.7277601163127911E-2</v>
      </c>
      <c r="F58" s="29">
        <f>VLOOKUP($C58,$D$48:$Z$48,F$20+1,FALSE)*$D$56*$A58/8760/1000*VLOOKUP(RIGHT($D58,LEN($D58)-FIND(" + ",$D58)-2),'HVAC weighting'!$A$3:$E$9,MATCH('SC-NR'!$C58,'HVAC weighting'!$B$3:$E$3,0)+1,0)</f>
        <v>3.8404333604281658E-2</v>
      </c>
      <c r="G58" s="29">
        <f>VLOOKUP($C58,$D$48:$Z$48,G$20+1,FALSE)*$D$56*$A58/8760/1000*VLOOKUP(RIGHT($D58,LEN($D58)-FIND(" + ",$D58)-2),'HVAC weighting'!$A$3:$E$9,MATCH('SC-NR'!$C58,'HVAC weighting'!$B$3:$E$3,0)+1,0)</f>
        <v>6.4159258812682599E-2</v>
      </c>
      <c r="H58" s="29">
        <f>VLOOKUP($C58,$D$48:$Z$48,H$20+1,FALSE)*$D$56*$A58/8760/1000*VLOOKUP(RIGHT($D58,LEN($D58)-FIND(" + ",$D58)-2),'HVAC weighting'!$A$3:$E$9,MATCH('SC-NR'!$C58,'HVAC weighting'!$B$3:$E$3,0)+1,0)</f>
        <v>9.3944091480769737E-2</v>
      </c>
      <c r="I58" s="29">
        <f>VLOOKUP($C58,$D$48:$Z$48,I$20+1,FALSE)*$D$56*$A58/8760/1000*VLOOKUP(RIGHT($D58,LEN($D58)-FIND(" + ",$D58)-2),'HVAC weighting'!$A$3:$E$9,MATCH('SC-NR'!$C58,'HVAC weighting'!$B$3:$E$3,0)+1,0)</f>
        <v>0.12779279470501453</v>
      </c>
      <c r="J58" s="29">
        <f>VLOOKUP($C58,$D$48:$Z$48,J$20+1,FALSE)*$D$56*$A58/8760/1000*VLOOKUP(RIGHT($D58,LEN($D58)-FIND(" + ",$D58)-2),'HVAC weighting'!$A$3:$E$9,MATCH('SC-NR'!$C58,'HVAC weighting'!$B$3:$E$3,0)+1,0)</f>
        <v>0.16723478387045485</v>
      </c>
      <c r="K58" s="29">
        <f>VLOOKUP($C58,$D$48:$Z$48,K$20+1,FALSE)*$D$56*$A58/8760/1000*VLOOKUP(RIGHT($D58,LEN($D58)-FIND(" + ",$D58)-2),'HVAC weighting'!$A$3:$E$9,MATCH('SC-NR'!$C58,'HVAC weighting'!$B$3:$E$3,0)+1,0)</f>
        <v>0.21034287112597164</v>
      </c>
      <c r="L58" s="29">
        <f>VLOOKUP($C58,$D$48:$Z$48,L$20+1,FALSE)*$D$56*$A58/8760/1000*VLOOKUP(RIGHT($D58,LEN($D58)-FIND(" + ",$D58)-2),'HVAC weighting'!$A$3:$E$9,MATCH('SC-NR'!$C58,'HVAC weighting'!$B$3:$E$3,0)+1,0)</f>
        <v>0.25419024826418107</v>
      </c>
      <c r="M58" s="29">
        <f>VLOOKUP($C58,$D$48:$Z$48,M$20+1,FALSE)*$D$56*$A58/8760/1000*VLOOKUP(RIGHT($D58,LEN($D58)-FIND(" + ",$D58)-2),'HVAC weighting'!$A$3:$E$9,MATCH('SC-NR'!$C58,'HVAC weighting'!$B$3:$E$3,0)+1,0)</f>
        <v>0.29528919664208342</v>
      </c>
      <c r="N58" s="29">
        <f>VLOOKUP($C58,$D$48:$Z$48,N$20+1,FALSE)*$D$56*$A58/8760/1000*VLOOKUP(RIGHT($D58,LEN($D58)-FIND(" + ",$D58)-2),'HVAC weighting'!$A$3:$E$9,MATCH('SC-NR'!$C58,'HVAC weighting'!$B$3:$E$3,0)+1,0)</f>
        <v>0.33036149917472574</v>
      </c>
      <c r="O58" s="29">
        <f>VLOOKUP($C58,$D$48:$Z$48,O$20+1,FALSE)*$D$56*$A58/8760/1000*VLOOKUP(RIGHT($D58,LEN($D58)-FIND(" + ",$D58)-2),'HVAC weighting'!$A$3:$E$9,MATCH('SC-NR'!$C58,'HVAC weighting'!$B$3:$E$3,0)+1,0)</f>
        <v>0.35720783064304246</v>
      </c>
      <c r="P58" s="29">
        <f>VLOOKUP($C58,$D$48:$Z$48,P$20+1,FALSE)*$D$56*$A58/8760/1000*VLOOKUP(RIGHT($D58,LEN($D58)-FIND(" + ",$D58)-2),'HVAC weighting'!$A$3:$E$9,MATCH('SC-NR'!$C58,'HVAC weighting'!$B$3:$E$3,0)+1,0)</f>
        <v>0.3752925656153851</v>
      </c>
      <c r="Q58" s="29">
        <f>VLOOKUP($C58,$D$48:$Z$48,Q$20+1,FALSE)*$D$56*$A58/8760/1000*VLOOKUP(RIGHT($D58,LEN($D58)-FIND(" + ",$D58)-2),'HVAC weighting'!$A$3:$E$9,MATCH('SC-NR'!$C58,'HVAC weighting'!$B$3:$E$3,0)+1,0)</f>
        <v>0.38572211777334053</v>
      </c>
      <c r="R58" s="29">
        <f>VLOOKUP($C58,$D$48:$Z$48,R$20+1,FALSE)*$D$56*$A58/8760/1000*VLOOKUP(RIGHT($D58,LEN($D58)-FIND(" + ",$D58)-2),'HVAC weighting'!$A$3:$E$9,MATCH('SC-NR'!$C58,'HVAC weighting'!$B$3:$E$3,0)+1,0)</f>
        <v>0.39060960425341912</v>
      </c>
      <c r="S58" s="29">
        <f>VLOOKUP($C58,$D$48:$Z$48,S$20+1,FALSE)*$D$56*$A58/8760/1000*VLOOKUP(RIGHT($D58,LEN($D58)-FIND(" + ",$D58)-2),'HVAC weighting'!$A$3:$E$9,MATCH('SC-NR'!$C58,'HVAC weighting'!$B$3:$E$3,0)+1,0)</f>
        <v>0.39218968548040689</v>
      </c>
      <c r="T58" s="29">
        <f>VLOOKUP($C58,$D$48:$Z$48,T$20+1,FALSE)*$D$56*$A58/8760/1000*VLOOKUP(RIGHT($D58,LEN($D58)-FIND(" + ",$D58)-2),'HVAC weighting'!$A$3:$E$9,MATCH('SC-NR'!$C58,'HVAC weighting'!$B$3:$E$3,0)+1,0)</f>
        <v>0.48000388055399057</v>
      </c>
      <c r="U58" s="29">
        <f>VLOOKUP($C58,$D$48:$Z$48,U$20+1,FALSE)*$D$56*$A58/8760/1000*VLOOKUP(RIGHT($D58,LEN($D58)-FIND(" + ",$D58)-2),'HVAC weighting'!$A$3:$E$9,MATCH('SC-NR'!$C58,'HVAC weighting'!$B$3:$E$3,0)+1,0)</f>
        <v>0.47215163171882069</v>
      </c>
      <c r="V58" s="29">
        <f>VLOOKUP($C58,$D$48:$Z$48,V$20+1,FALSE)*$D$56*$A58/8760/1000*VLOOKUP(RIGHT($D58,LEN($D58)-FIND(" + ",$D58)-2),'HVAC weighting'!$A$3:$E$9,MATCH('SC-NR'!$C58,'HVAC weighting'!$B$3:$E$3,0)+1,0)</f>
        <v>0.46313030251307291</v>
      </c>
      <c r="W58" s="29">
        <f>VLOOKUP($C58,$D$48:$Z$48,W$20+1,FALSE)*$D$56*$A58/8760/1000*VLOOKUP(RIGHT($D58,LEN($D58)-FIND(" + ",$D58)-2),'HVAC weighting'!$A$3:$E$9,MATCH('SC-NR'!$C58,'HVAC weighting'!$B$3:$E$3,0)+1,0)</f>
        <v>0.45541640841358361</v>
      </c>
      <c r="X58" s="29">
        <f>VLOOKUP($C58,$D$48:$Z$48,X$20+1,FALSE)*$D$56*$A58/8760/1000*VLOOKUP(RIGHT($D58,LEN($D58)-FIND(" + ",$D58)-2),'HVAC weighting'!$A$3:$E$9,MATCH('SC-NR'!$C58,'HVAC weighting'!$B$3:$E$3,0)+1,0)</f>
        <v>0.44779626336406009</v>
      </c>
      <c r="Y58" s="29">
        <f>(VLOOKUP($C58,$D$42:$Z$42,X$28+2,FALSE)+VLOOKUP($C58,$D$37:$Z$37,X$28+2,FALSE))*$D$56*$A58/8760/1000*VLOOKUP(RIGHT($D58,LEN($D58)-FIND(" + ",$D58)-2),'HVAC weighting'!$A$3:$E$9,MATCH('SC-NR'!$C58,'HVAC weighting'!$B$3:$E$3,0)+1,0)</f>
        <v>6.133935322643989</v>
      </c>
      <c r="Z58" s="442"/>
      <c r="AA58" s="29">
        <f>SUM(E58:X58)</f>
        <v>5.8185169691724141</v>
      </c>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row>
    <row r="59" spans="1:80">
      <c r="A59" s="57">
        <f t="shared" si="12"/>
        <v>2761.80746743703</v>
      </c>
      <c r="B59" s="57">
        <f t="shared" si="13"/>
        <v>81.233181270377628</v>
      </c>
      <c r="C59" s="7" t="s">
        <v>49</v>
      </c>
      <c r="D59" s="7" t="s">
        <v>488</v>
      </c>
      <c r="E59" s="29">
        <f>VLOOKUP($C59,$D$48:$Z$48,E$20+1,FALSE)*$D$56*$A59/8760/1000*VLOOKUP(RIGHT($D59,LEN($D59)-FIND(" + ",$D59)-2),'HVAC weighting'!$A$3:$E$9,MATCH('SC-NR'!$C59,'HVAC weighting'!$B$3:$E$3,0)+1,0)</f>
        <v>0</v>
      </c>
      <c r="F59" s="29">
        <f>VLOOKUP($C59,$D$48:$Z$48,F$20+1,FALSE)*$D$56*$A59/8760/1000*VLOOKUP(RIGHT($D59,LEN($D59)-FIND(" + ",$D59)-2),'HVAC weighting'!$A$3:$E$9,MATCH('SC-NR'!$C59,'HVAC weighting'!$B$3:$E$3,0)+1,0)</f>
        <v>0</v>
      </c>
      <c r="G59" s="29">
        <f>VLOOKUP($C59,$D$48:$Z$48,G$20+1,FALSE)*$D$56*$A59/8760/1000*VLOOKUP(RIGHT($D59,LEN($D59)-FIND(" + ",$D59)-2),'HVAC weighting'!$A$3:$E$9,MATCH('SC-NR'!$C59,'HVAC weighting'!$B$3:$E$3,0)+1,0)</f>
        <v>0</v>
      </c>
      <c r="H59" s="29">
        <f>VLOOKUP($C59,$D$48:$Z$48,H$20+1,FALSE)*$D$56*$A59/8760/1000*VLOOKUP(RIGHT($D59,LEN($D59)-FIND(" + ",$D59)-2),'HVAC weighting'!$A$3:$E$9,MATCH('SC-NR'!$C59,'HVAC weighting'!$B$3:$E$3,0)+1,0)</f>
        <v>0</v>
      </c>
      <c r="I59" s="29">
        <f>VLOOKUP($C59,$D$48:$Z$48,I$20+1,FALSE)*$D$56*$A59/8760/1000*VLOOKUP(RIGHT($D59,LEN($D59)-FIND(" + ",$D59)-2),'HVAC weighting'!$A$3:$E$9,MATCH('SC-NR'!$C59,'HVAC weighting'!$B$3:$E$3,0)+1,0)</f>
        <v>0</v>
      </c>
      <c r="J59" s="29">
        <f>VLOOKUP($C59,$D$48:$Z$48,J$20+1,FALSE)*$D$56*$A59/8760/1000*VLOOKUP(RIGHT($D59,LEN($D59)-FIND(" + ",$D59)-2),'HVAC weighting'!$A$3:$E$9,MATCH('SC-NR'!$C59,'HVAC weighting'!$B$3:$E$3,0)+1,0)</f>
        <v>0</v>
      </c>
      <c r="K59" s="29">
        <f>VLOOKUP($C59,$D$48:$Z$48,K$20+1,FALSE)*$D$56*$A59/8760/1000*VLOOKUP(RIGHT($D59,LEN($D59)-FIND(" + ",$D59)-2),'HVAC weighting'!$A$3:$E$9,MATCH('SC-NR'!$C59,'HVAC weighting'!$B$3:$E$3,0)+1,0)</f>
        <v>0</v>
      </c>
      <c r="L59" s="29">
        <f>VLOOKUP($C59,$D$48:$Z$48,L$20+1,FALSE)*$D$56*$A59/8760/1000*VLOOKUP(RIGHT($D59,LEN($D59)-FIND(" + ",$D59)-2),'HVAC weighting'!$A$3:$E$9,MATCH('SC-NR'!$C59,'HVAC weighting'!$B$3:$E$3,0)+1,0)</f>
        <v>0</v>
      </c>
      <c r="M59" s="29">
        <f>VLOOKUP($C59,$D$48:$Z$48,M$20+1,FALSE)*$D$56*$A59/8760/1000*VLOOKUP(RIGHT($D59,LEN($D59)-FIND(" + ",$D59)-2),'HVAC weighting'!$A$3:$E$9,MATCH('SC-NR'!$C59,'HVAC weighting'!$B$3:$E$3,0)+1,0)</f>
        <v>0</v>
      </c>
      <c r="N59" s="29">
        <f>VLOOKUP($C59,$D$48:$Z$48,N$20+1,FALSE)*$D$56*$A59/8760/1000*VLOOKUP(RIGHT($D59,LEN($D59)-FIND(" + ",$D59)-2),'HVAC weighting'!$A$3:$E$9,MATCH('SC-NR'!$C59,'HVAC weighting'!$B$3:$E$3,0)+1,0)</f>
        <v>0</v>
      </c>
      <c r="O59" s="29">
        <f>VLOOKUP($C59,$D$48:$Z$48,O$20+1,FALSE)*$D$56*$A59/8760/1000*VLOOKUP(RIGHT($D59,LEN($D59)-FIND(" + ",$D59)-2),'HVAC weighting'!$A$3:$E$9,MATCH('SC-NR'!$C59,'HVAC weighting'!$B$3:$E$3,0)+1,0)</f>
        <v>0</v>
      </c>
      <c r="P59" s="29">
        <f>VLOOKUP($C59,$D$48:$Z$48,P$20+1,FALSE)*$D$56*$A59/8760/1000*VLOOKUP(RIGHT($D59,LEN($D59)-FIND(" + ",$D59)-2),'HVAC weighting'!$A$3:$E$9,MATCH('SC-NR'!$C59,'HVAC weighting'!$B$3:$E$3,0)+1,0)</f>
        <v>0</v>
      </c>
      <c r="Q59" s="29">
        <f>VLOOKUP($C59,$D$48:$Z$48,Q$20+1,FALSE)*$D$56*$A59/8760/1000*VLOOKUP(RIGHT($D59,LEN($D59)-FIND(" + ",$D59)-2),'HVAC weighting'!$A$3:$E$9,MATCH('SC-NR'!$C59,'HVAC weighting'!$B$3:$E$3,0)+1,0)</f>
        <v>0</v>
      </c>
      <c r="R59" s="29">
        <f>VLOOKUP($C59,$D$48:$Z$48,R$20+1,FALSE)*$D$56*$A59/8760/1000*VLOOKUP(RIGHT($D59,LEN($D59)-FIND(" + ",$D59)-2),'HVAC weighting'!$A$3:$E$9,MATCH('SC-NR'!$C59,'HVAC weighting'!$B$3:$E$3,0)+1,0)</f>
        <v>0</v>
      </c>
      <c r="S59" s="29">
        <f>VLOOKUP($C59,$D$48:$Z$48,S$20+1,FALSE)*$D$56*$A59/8760/1000*VLOOKUP(RIGHT($D59,LEN($D59)-FIND(" + ",$D59)-2),'HVAC weighting'!$A$3:$E$9,MATCH('SC-NR'!$C59,'HVAC weighting'!$B$3:$E$3,0)+1,0)</f>
        <v>0</v>
      </c>
      <c r="T59" s="29">
        <f>VLOOKUP($C59,$D$48:$Z$48,T$20+1,FALSE)*$D$56*$A59/8760/1000*VLOOKUP(RIGHT($D59,LEN($D59)-FIND(" + ",$D59)-2),'HVAC weighting'!$A$3:$E$9,MATCH('SC-NR'!$C59,'HVAC weighting'!$B$3:$E$3,0)+1,0)</f>
        <v>0</v>
      </c>
      <c r="U59" s="29">
        <f>VLOOKUP($C59,$D$48:$Z$48,U$20+1,FALSE)*$D$56*$A59/8760/1000*VLOOKUP(RIGHT($D59,LEN($D59)-FIND(" + ",$D59)-2),'HVAC weighting'!$A$3:$E$9,MATCH('SC-NR'!$C59,'HVAC weighting'!$B$3:$E$3,0)+1,0)</f>
        <v>0</v>
      </c>
      <c r="V59" s="29">
        <f>VLOOKUP($C59,$D$48:$Z$48,V$20+1,FALSE)*$D$56*$A59/8760/1000*VLOOKUP(RIGHT($D59,LEN($D59)-FIND(" + ",$D59)-2),'HVAC weighting'!$A$3:$E$9,MATCH('SC-NR'!$C59,'HVAC weighting'!$B$3:$E$3,0)+1,0)</f>
        <v>0</v>
      </c>
      <c r="W59" s="29">
        <f>VLOOKUP($C59,$D$48:$Z$48,W$20+1,FALSE)*$D$56*$A59/8760/1000*VLOOKUP(RIGHT($D59,LEN($D59)-FIND(" + ",$D59)-2),'HVAC weighting'!$A$3:$E$9,MATCH('SC-NR'!$C59,'HVAC weighting'!$B$3:$E$3,0)+1,0)</f>
        <v>0</v>
      </c>
      <c r="X59" s="29">
        <f>VLOOKUP($C59,$D$48:$Z$48,X$20+1,FALSE)*$D$56*$A59/8760/1000*VLOOKUP(RIGHT($D59,LEN($D59)-FIND(" + ",$D59)-2),'HVAC weighting'!$A$3:$E$9,MATCH('SC-NR'!$C59,'HVAC weighting'!$B$3:$E$3,0)+1,0)</f>
        <v>0</v>
      </c>
      <c r="Y59" s="29">
        <f>(VLOOKUP($C59,$D$42:$Z$42,X$28+2,FALSE)+VLOOKUP($C59,$D$37:$Z$37,X$28+2,FALSE))*$D$56*$A59/8760/1000*VLOOKUP(RIGHT($D59,LEN($D59)-FIND(" + ",$D59)-2),'HVAC weighting'!$A$3:$E$9,MATCH('SC-NR'!$C59,'HVAC weighting'!$B$3:$E$3,0)+1,0)</f>
        <v>0</v>
      </c>
      <c r="Z59" s="442"/>
      <c r="AA59" s="29">
        <f t="shared" ref="AA59:AA62" si="14">SUM(E59:X59)</f>
        <v>0</v>
      </c>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row>
    <row r="60" spans="1:80">
      <c r="A60" s="57">
        <f t="shared" si="12"/>
        <v>2743.9389887282687</v>
      </c>
      <c r="B60" s="57">
        <f t="shared" si="13"/>
        <v>87.679832343793066</v>
      </c>
      <c r="C60" s="7" t="s">
        <v>49</v>
      </c>
      <c r="D60" s="7" t="s">
        <v>489</v>
      </c>
      <c r="E60" s="29">
        <f>VLOOKUP($C60,$D$48:$Z$48,E$20+1,FALSE)*$D$56*$A60/8760/1000*VLOOKUP(RIGHT($D60,LEN($D60)-FIND(" + ",$D60)-2),'HVAC weighting'!$A$3:$E$9,MATCH('SC-NR'!$C60,'HVAC weighting'!$B$3:$E$3,0)+1,0)</f>
        <v>3.8438762427152245E-2</v>
      </c>
      <c r="F60" s="29">
        <f>VLOOKUP($C60,$D$48:$Z$48,F$20+1,FALSE)*$D$56*$A60/8760/1000*VLOOKUP(RIGHT($D60,LEN($D60)-FIND(" + ",$D60)-2),'HVAC weighting'!$A$3:$E$9,MATCH('SC-NR'!$C60,'HVAC weighting'!$B$3:$E$3,0)+1,0)</f>
        <v>8.5440973063926812E-2</v>
      </c>
      <c r="G60" s="29">
        <f>VLOOKUP($C60,$D$48:$Z$48,G$20+1,FALSE)*$D$56*$A60/8760/1000*VLOOKUP(RIGHT($D60,LEN($D60)-FIND(" + ",$D60)-2),'HVAC weighting'!$A$3:$E$9,MATCH('SC-NR'!$C60,'HVAC weighting'!$B$3:$E$3,0)+1,0)</f>
        <v>0.1427398678623279</v>
      </c>
      <c r="H60" s="29">
        <f>VLOOKUP($C60,$D$48:$Z$48,H$20+1,FALSE)*$D$56*$A60/8760/1000*VLOOKUP(RIGHT($D60,LEN($D60)-FIND(" + ",$D60)-2),'HVAC weighting'!$A$3:$E$9,MATCH('SC-NR'!$C60,'HVAC weighting'!$B$3:$E$3,0)+1,0)</f>
        <v>0.2090043970670184</v>
      </c>
      <c r="I60" s="29">
        <f>VLOOKUP($C60,$D$48:$Z$48,I$20+1,FALSE)*$D$56*$A60/8760/1000*VLOOKUP(RIGHT($D60,LEN($D60)-FIND(" + ",$D60)-2),'HVAC weighting'!$A$3:$E$9,MATCH('SC-NR'!$C60,'HVAC weighting'!$B$3:$E$3,0)+1,0)</f>
        <v>0.2843101209009849</v>
      </c>
      <c r="J60" s="29">
        <f>VLOOKUP($C60,$D$48:$Z$48,J$20+1,FALSE)*$D$56*$A60/8760/1000*VLOOKUP(RIGHT($D60,LEN($D60)-FIND(" + ",$D60)-2),'HVAC weighting'!$A$3:$E$9,MATCH('SC-NR'!$C60,'HVAC weighting'!$B$3:$E$3,0)+1,0)</f>
        <v>0.37205964335322095</v>
      </c>
      <c r="K60" s="29">
        <f>VLOOKUP($C60,$D$48:$Z$48,K$20+1,FALSE)*$D$56*$A60/8760/1000*VLOOKUP(RIGHT($D60,LEN($D60)-FIND(" + ",$D60)-2),'HVAC weighting'!$A$3:$E$9,MATCH('SC-NR'!$C60,'HVAC weighting'!$B$3:$E$3,0)+1,0)</f>
        <v>0.46796540648890467</v>
      </c>
      <c r="L60" s="29">
        <f>VLOOKUP($C60,$D$48:$Z$48,L$20+1,FALSE)*$D$56*$A60/8760/1000*VLOOKUP(RIGHT($D60,LEN($D60)-FIND(" + ",$D60)-2),'HVAC weighting'!$A$3:$E$9,MATCH('SC-NR'!$C60,'HVAC weighting'!$B$3:$E$3,0)+1,0)</f>
        <v>0.56551592272991336</v>
      </c>
      <c r="M60" s="29">
        <f>VLOOKUP($C60,$D$48:$Z$48,M$20+1,FALSE)*$D$56*$A60/8760/1000*VLOOKUP(RIGHT($D60,LEN($D60)-FIND(" + ",$D60)-2),'HVAC weighting'!$A$3:$E$9,MATCH('SC-NR'!$C60,'HVAC weighting'!$B$3:$E$3,0)+1,0)</f>
        <v>0.65695180539604492</v>
      </c>
      <c r="N60" s="29">
        <f>VLOOKUP($C60,$D$48:$Z$48,N$20+1,FALSE)*$D$56*$A60/8760/1000*VLOOKUP(RIGHT($D60,LEN($D60)-FIND(" + ",$D60)-2),'HVAC weighting'!$A$3:$E$9,MATCH('SC-NR'!$C60,'HVAC weighting'!$B$3:$E$3,0)+1,0)</f>
        <v>0.73497976148189914</v>
      </c>
      <c r="O60" s="29">
        <f>VLOOKUP($C60,$D$48:$Z$48,O$20+1,FALSE)*$D$56*$A60/8760/1000*VLOOKUP(RIGHT($D60,LEN($D60)-FIND(" + ",$D60)-2),'HVAC weighting'!$A$3:$E$9,MATCH('SC-NR'!$C60,'HVAC weighting'!$B$3:$E$3,0)+1,0)</f>
        <v>0.79470678883992552</v>
      </c>
      <c r="P60" s="29">
        <f>VLOOKUP($C60,$D$48:$Z$48,P$20+1,FALSE)*$D$56*$A60/8760/1000*VLOOKUP(RIGHT($D60,LEN($D60)-FIND(" + ",$D60)-2),'HVAC weighting'!$A$3:$E$9,MATCH('SC-NR'!$C60,'HVAC weighting'!$B$3:$E$3,0)+1,0)</f>
        <v>0.83494124179415963</v>
      </c>
      <c r="Q60" s="29">
        <f>VLOOKUP($C60,$D$48:$Z$48,Q$20+1,FALSE)*$D$56*$A60/8760/1000*VLOOKUP(RIGHT($D60,LEN($D60)-FIND(" + ",$D60)-2),'HVAC weighting'!$A$3:$E$9,MATCH('SC-NR'!$C60,'HVAC weighting'!$B$3:$E$3,0)+1,0)</f>
        <v>0.8581446410297433</v>
      </c>
      <c r="R60" s="29">
        <f>VLOOKUP($C60,$D$48:$Z$48,R$20+1,FALSE)*$D$56*$A60/8760/1000*VLOOKUP(RIGHT($D60,LEN($D60)-FIND(" + ",$D60)-2),'HVAC weighting'!$A$3:$E$9,MATCH('SC-NR'!$C60,'HVAC weighting'!$B$3:$E$3,0)+1,0)</f>
        <v>0.86901819517073076</v>
      </c>
      <c r="S60" s="29">
        <f>VLOOKUP($C60,$D$48:$Z$48,S$20+1,FALSE)*$D$56*$A60/8760/1000*VLOOKUP(RIGHT($D60,LEN($D60)-FIND(" + ",$D60)-2),'HVAC weighting'!$A$3:$E$9,MATCH('SC-NR'!$C60,'HVAC weighting'!$B$3:$E$3,0)+1,0)</f>
        <v>0.87253351922100486</v>
      </c>
      <c r="T60" s="29">
        <f>VLOOKUP($C60,$D$48:$Z$48,T$20+1,FALSE)*$D$56*$A60/8760/1000*VLOOKUP(RIGHT($D60,LEN($D60)-FIND(" + ",$D60)-2),'HVAC weighting'!$A$3:$E$9,MATCH('SC-NR'!$C60,'HVAC weighting'!$B$3:$E$3,0)+1,0)</f>
        <v>1.0679002805147348</v>
      </c>
      <c r="U60" s="29">
        <f>VLOOKUP($C60,$D$48:$Z$48,U$20+1,FALSE)*$D$56*$A60/8760/1000*VLOOKUP(RIGHT($D60,LEN($D60)-FIND(" + ",$D60)-2),'HVAC weighting'!$A$3:$E$9,MATCH('SC-NR'!$C60,'HVAC weighting'!$B$3:$E$3,0)+1,0)</f>
        <v>1.0504307993845583</v>
      </c>
      <c r="V60" s="29">
        <f>VLOOKUP($C60,$D$48:$Z$48,V$20+1,FALSE)*$D$56*$A60/8760/1000*VLOOKUP(RIGHT($D60,LEN($D60)-FIND(" + ",$D60)-2),'HVAC weighting'!$A$3:$E$9,MATCH('SC-NR'!$C60,'HVAC weighting'!$B$3:$E$3,0)+1,0)</f>
        <v>1.0303603783323056</v>
      </c>
      <c r="W60" s="29">
        <f>VLOOKUP($C60,$D$48:$Z$48,W$20+1,FALSE)*$D$56*$A60/8760/1000*VLOOKUP(RIGHT($D60,LEN($D60)-FIND(" + ",$D60)-2),'HVAC weighting'!$A$3:$E$9,MATCH('SC-NR'!$C60,'HVAC weighting'!$B$3:$E$3,0)+1,0)</f>
        <v>1.0131987052575004</v>
      </c>
      <c r="X60" s="29">
        <f>VLOOKUP($C60,$D$48:$Z$48,X$20+1,FALSE)*$D$56*$A60/8760/1000*VLOOKUP(RIGHT($D60,LEN($D60)-FIND(" + ",$D60)-2),'HVAC weighting'!$A$3:$E$9,MATCH('SC-NR'!$C60,'HVAC weighting'!$B$3:$E$3,0)+1,0)</f>
        <v>0.99624560265641859</v>
      </c>
      <c r="Y60" s="29">
        <f>(VLOOKUP($C60,$D$42:$Z$42,X$28+2,FALSE)+VLOOKUP($C60,$D$37:$Z$37,X$28+2,FALSE))*$D$56*$A60/8760/1000*VLOOKUP(RIGHT($D60,LEN($D60)-FIND(" + ",$D60)-2),'HVAC weighting'!$A$3:$E$9,MATCH('SC-NR'!$C60,'HVAC weighting'!$B$3:$E$3,0)+1,0)</f>
        <v>13.646621448457164</v>
      </c>
      <c r="Z60" s="442"/>
      <c r="AA60" s="29">
        <f t="shared" si="14"/>
        <v>12.944886812972477</v>
      </c>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row>
    <row r="61" spans="1:80">
      <c r="A61" s="57">
        <f t="shared" si="12"/>
        <v>2721.7747534126584</v>
      </c>
      <c r="B61" s="57">
        <f t="shared" si="13"/>
        <v>101.92281262146766</v>
      </c>
      <c r="C61" s="7" t="s">
        <v>49</v>
      </c>
      <c r="D61" s="7" t="s">
        <v>491</v>
      </c>
      <c r="E61" s="29">
        <f>VLOOKUP($C61,$D$48:$Z$48,E$20+1,FALSE)*$D$56*$A61/8760/1000*VLOOKUP(RIGHT($D61,LEN($D61)-FIND(" + ",$D61)-2),'HVAC weighting'!$A$3:$E$9,MATCH('SC-NR'!$C61,'HVAC weighting'!$B$3:$E$3,0)+1,0)</f>
        <v>1.7658379625596819E-2</v>
      </c>
      <c r="F61" s="29">
        <f>VLOOKUP($C61,$D$48:$Z$48,F$20+1,FALSE)*$D$56*$A61/8760/1000*VLOOKUP(RIGHT($D61,LEN($D61)-FIND(" + ",$D61)-2),'HVAC weighting'!$A$3:$E$9,MATCH('SC-NR'!$C61,'HVAC weighting'!$B$3:$E$3,0)+1,0)</f>
        <v>3.9250720956548454E-2</v>
      </c>
      <c r="G61" s="29">
        <f>VLOOKUP($C61,$D$48:$Z$48,G$20+1,FALSE)*$D$56*$A61/8760/1000*VLOOKUP(RIGHT($D61,LEN($D61)-FIND(" + ",$D61)-2),'HVAC weighting'!$A$3:$E$9,MATCH('SC-NR'!$C61,'HVAC weighting'!$B$3:$E$3,0)+1,0)</f>
        <v>6.5573255101471536E-2</v>
      </c>
      <c r="H61" s="29">
        <f>VLOOKUP($C61,$D$48:$Z$48,H$20+1,FALSE)*$D$56*$A61/8760/1000*VLOOKUP(RIGHT($D61,LEN($D61)-FIND(" + ",$D61)-2),'HVAC weighting'!$A$3:$E$9,MATCH('SC-NR'!$C61,'HVAC weighting'!$B$3:$E$3,0)+1,0)</f>
        <v>9.6014511232582658E-2</v>
      </c>
      <c r="I61" s="29">
        <f>VLOOKUP($C61,$D$48:$Z$48,I$20+1,FALSE)*$D$56*$A61/8760/1000*VLOOKUP(RIGHT($D61,LEN($D61)-FIND(" + ",$D61)-2),'HVAC weighting'!$A$3:$E$9,MATCH('SC-NR'!$C61,'HVAC weighting'!$B$3:$E$3,0)+1,0)</f>
        <v>0.13060920095394613</v>
      </c>
      <c r="J61" s="29">
        <f>VLOOKUP($C61,$D$48:$Z$48,J$20+1,FALSE)*$D$56*$A61/8760/1000*VLOOKUP(RIGHT($D61,LEN($D61)-FIND(" + ",$D61)-2),'HVAC weighting'!$A$3:$E$9,MATCH('SC-NR'!$C61,'HVAC weighting'!$B$3:$E$3,0)+1,0)</f>
        <v>0.17092044620704186</v>
      </c>
      <c r="K61" s="29">
        <f>VLOOKUP($C61,$D$48:$Z$48,K$20+1,FALSE)*$D$56*$A61/8760/1000*VLOOKUP(RIGHT($D61,LEN($D61)-FIND(" + ",$D61)-2),'HVAC weighting'!$A$3:$E$9,MATCH('SC-NR'!$C61,'HVAC weighting'!$B$3:$E$3,0)+1,0)</f>
        <v>0.2149785861365468</v>
      </c>
      <c r="L61" s="29">
        <f>VLOOKUP($C61,$D$48:$Z$48,L$20+1,FALSE)*$D$56*$A61/8760/1000*VLOOKUP(RIGHT($D61,LEN($D61)-FIND(" + ",$D61)-2),'HVAC weighting'!$A$3:$E$9,MATCH('SC-NR'!$C61,'HVAC weighting'!$B$3:$E$3,0)+1,0)</f>
        <v>0.25979230904766437</v>
      </c>
      <c r="M61" s="29">
        <f>VLOOKUP($C61,$D$48:$Z$48,M$20+1,FALSE)*$D$56*$A61/8760/1000*VLOOKUP(RIGHT($D61,LEN($D61)-FIND(" + ",$D61)-2),'HVAC weighting'!$A$3:$E$9,MATCH('SC-NR'!$C61,'HVAC weighting'!$B$3:$E$3,0)+1,0)</f>
        <v>0.30179703098896077</v>
      </c>
      <c r="N61" s="29">
        <f>VLOOKUP($C61,$D$48:$Z$48,N$20+1,FALSE)*$D$56*$A61/8760/1000*VLOOKUP(RIGHT($D61,LEN($D61)-FIND(" + ",$D61)-2),'HVAC weighting'!$A$3:$E$9,MATCH('SC-NR'!$C61,'HVAC weighting'!$B$3:$E$3,0)+1,0)</f>
        <v>0.33764228674048652</v>
      </c>
      <c r="O61" s="29">
        <f>VLOOKUP($C61,$D$48:$Z$48,O$20+1,FALSE)*$D$56*$A61/8760/1000*VLOOKUP(RIGHT($D61,LEN($D61)-FIND(" + ",$D61)-2),'HVAC weighting'!$A$3:$E$9,MATCH('SC-NR'!$C61,'HVAC weighting'!$B$3:$E$3,0)+1,0)</f>
        <v>0.36508028048430785</v>
      </c>
      <c r="P61" s="29">
        <f>VLOOKUP($C61,$D$48:$Z$48,P$20+1,FALSE)*$D$56*$A61/8760/1000*VLOOKUP(RIGHT($D61,LEN($D61)-FIND(" + ",$D61)-2),'HVAC weighting'!$A$3:$E$9,MATCH('SC-NR'!$C61,'HVAC weighting'!$B$3:$E$3,0)+1,0)</f>
        <v>0.38356358222016751</v>
      </c>
      <c r="Q61" s="29">
        <f>VLOOKUP($C61,$D$48:$Z$48,Q$20+1,FALSE)*$D$56*$A61/8760/1000*VLOOKUP(RIGHT($D61,LEN($D61)-FIND(" + ",$D61)-2),'HVAC weighting'!$A$3:$E$9,MATCH('SC-NR'!$C61,'HVAC weighting'!$B$3:$E$3,0)+1,0)</f>
        <v>0.39422298971495184</v>
      </c>
      <c r="R61" s="29">
        <f>VLOOKUP($C61,$D$48:$Z$48,R$20+1,FALSE)*$D$56*$A61/8760/1000*VLOOKUP(RIGHT($D61,LEN($D61)-FIND(" + ",$D61)-2),'HVAC weighting'!$A$3:$E$9,MATCH('SC-NR'!$C61,'HVAC weighting'!$B$3:$E$3,0)+1,0)</f>
        <v>0.39921819077702891</v>
      </c>
      <c r="S61" s="29">
        <f>VLOOKUP($C61,$D$48:$Z$48,S$20+1,FALSE)*$D$56*$A61/8760/1000*VLOOKUP(RIGHT($D61,LEN($D61)-FIND(" + ",$D61)-2),'HVAC weighting'!$A$3:$E$9,MATCH('SC-NR'!$C61,'HVAC weighting'!$B$3:$E$3,0)+1,0)</f>
        <v>0.40083309517735582</v>
      </c>
      <c r="T61" s="29">
        <f>VLOOKUP($C61,$D$48:$Z$48,T$20+1,FALSE)*$D$56*$A61/8760/1000*VLOOKUP(RIGHT($D61,LEN($D61)-FIND(" + ",$D61)-2),'HVAC weighting'!$A$3:$E$9,MATCH('SC-NR'!$C61,'HVAC weighting'!$B$3:$E$3,0)+1,0)</f>
        <v>0.49058261413458265</v>
      </c>
      <c r="U61" s="29">
        <f>VLOOKUP($C61,$D$48:$Z$48,U$20+1,FALSE)*$D$56*$A61/8760/1000*VLOOKUP(RIGHT($D61,LEN($D61)-FIND(" + ",$D61)-2),'HVAC weighting'!$A$3:$E$9,MATCH('SC-NR'!$C61,'HVAC weighting'!$B$3:$E$3,0)+1,0)</f>
        <v>0.48255731076422875</v>
      </c>
      <c r="V61" s="29">
        <f>VLOOKUP($C61,$D$48:$Z$48,V$20+1,FALSE)*$D$56*$A61/8760/1000*VLOOKUP(RIGHT($D61,LEN($D61)-FIND(" + ",$D61)-2),'HVAC weighting'!$A$3:$E$9,MATCH('SC-NR'!$C61,'HVAC weighting'!$B$3:$E$3,0)+1,0)</f>
        <v>0.47333716183623159</v>
      </c>
      <c r="W61" s="29">
        <f>VLOOKUP($C61,$D$48:$Z$48,W$20+1,FALSE)*$D$56*$A61/8760/1000*VLOOKUP(RIGHT($D61,LEN($D61)-FIND(" + ",$D61)-2),'HVAC weighting'!$A$3:$E$9,MATCH('SC-NR'!$C61,'HVAC weighting'!$B$3:$E$3,0)+1,0)</f>
        <v>0.46545326238084139</v>
      </c>
      <c r="X61" s="29">
        <f>VLOOKUP($C61,$D$48:$Z$48,X$20+1,FALSE)*$D$56*$A61/8760/1000*VLOOKUP(RIGHT($D61,LEN($D61)-FIND(" + ",$D61)-2),'HVAC weighting'!$A$3:$E$9,MATCH('SC-NR'!$C61,'HVAC weighting'!$B$3:$E$3,0)+1,0)</f>
        <v>0.457665178096678</v>
      </c>
      <c r="Y61" s="29">
        <f>(VLOOKUP($C61,$D$42:$Z$42,X$28+2,FALSE)+VLOOKUP($C61,$D$37:$Z$37,X$28+2,FALSE))*$D$56*$A61/8760/1000*VLOOKUP(RIGHT($D61,LEN($D61)-FIND(" + ",$D61)-2),'HVAC weighting'!$A$3:$E$9,MATCH('SC-NR'!$C61,'HVAC weighting'!$B$3:$E$3,0)+1,0)</f>
        <v>6.2691202038660805</v>
      </c>
      <c r="Z61" s="442"/>
      <c r="AA61" s="29">
        <f t="shared" si="14"/>
        <v>5.9467503925772203</v>
      </c>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row>
    <row r="62" spans="1:80">
      <c r="A62" s="57">
        <f t="shared" si="12"/>
        <v>2664.0365823158331</v>
      </c>
      <c r="B62" s="57">
        <f>VLOOKUP($D62,MeasureOutput,11,FALSE)</f>
        <v>134.8540761670649</v>
      </c>
      <c r="C62" s="7" t="s">
        <v>49</v>
      </c>
      <c r="D62" s="7" t="s">
        <v>504</v>
      </c>
      <c r="E62" s="29">
        <f>VLOOKUP($C62,$D$48:$Z$48,E$20+1,FALSE)*$D$56*$A62/8760/1000*VLOOKUP(RIGHT($D62,LEN($D62)-FIND(" + ",$D62)-2),'HVAC weighting'!$A$3:$E$9,MATCH('SC-NR'!$C62,'HVAC weighting'!$B$3:$E$3,0)+1,0)</f>
        <v>7.2305505048060756E-2</v>
      </c>
      <c r="F62" s="29">
        <f>VLOOKUP($C62,$D$48:$Z$48,F$20+1,FALSE)*$D$56*$A62/8760/1000*VLOOKUP(RIGHT($D62,LEN($D62)-FIND(" + ",$D62)-2),'HVAC weighting'!$A$3:$E$9,MATCH('SC-NR'!$C62,'HVAC weighting'!$B$3:$E$3,0)+1,0)</f>
        <v>0.16071934472117891</v>
      </c>
      <c r="G62" s="29">
        <f>VLOOKUP($C62,$D$48:$Z$48,G$20+1,FALSE)*$D$56*$A62/8760/1000*VLOOKUP(RIGHT($D62,LEN($D62)-FIND(" + ",$D62)-2),'HVAC weighting'!$A$3:$E$9,MATCH('SC-NR'!$C62,'HVAC weighting'!$B$3:$E$3,0)+1,0)</f>
        <v>0.26850183472578831</v>
      </c>
      <c r="H62" s="29">
        <f>VLOOKUP($C62,$D$48:$Z$48,H$20+1,FALSE)*$D$56*$A62/8760/1000*VLOOKUP(RIGHT($D62,LEN($D62)-FIND(" + ",$D62)-2),'HVAC weighting'!$A$3:$E$9,MATCH('SC-NR'!$C62,'HVAC weighting'!$B$3:$E$3,0)+1,0)</f>
        <v>0.39314919453601632</v>
      </c>
      <c r="I62" s="29">
        <f>VLOOKUP($C62,$D$48:$Z$48,I$20+1,FALSE)*$D$56*$A62/8760/1000*VLOOKUP(RIGHT($D62,LEN($D62)-FIND(" + ",$D62)-2),'HVAC weighting'!$A$3:$E$9,MATCH('SC-NR'!$C62,'HVAC weighting'!$B$3:$E$3,0)+1,0)</f>
        <v>0.53480355724199413</v>
      </c>
      <c r="J62" s="29">
        <f>VLOOKUP($C62,$D$48:$Z$48,J$20+1,FALSE)*$D$56*$A62/8760/1000*VLOOKUP(RIGHT($D62,LEN($D62)-FIND(" + ",$D62)-2),'HVAC weighting'!$A$3:$E$9,MATCH('SC-NR'!$C62,'HVAC weighting'!$B$3:$E$3,0)+1,0)</f>
        <v>0.69986541506479627</v>
      </c>
      <c r="K62" s="29">
        <f>VLOOKUP($C62,$D$48:$Z$48,K$20+1,FALSE)*$D$56*$A62/8760/1000*VLOOKUP(RIGHT($D62,LEN($D62)-FIND(" + ",$D62)-2),'HVAC weighting'!$A$3:$E$9,MATCH('SC-NR'!$C62,'HVAC weighting'!$B$3:$E$3,0)+1,0)</f>
        <v>0.88026962692482524</v>
      </c>
      <c r="L62" s="29">
        <f>VLOOKUP($C62,$D$48:$Z$48,L$20+1,FALSE)*$D$56*$A62/8760/1000*VLOOKUP(RIGHT($D62,LEN($D62)-FIND(" + ",$D62)-2),'HVAC weighting'!$A$3:$E$9,MATCH('SC-NR'!$C62,'HVAC weighting'!$B$3:$E$3,0)+1,0)</f>
        <v>1.0637677132087584</v>
      </c>
      <c r="M62" s="29">
        <f>VLOOKUP($C62,$D$48:$Z$48,M$20+1,FALSE)*$D$56*$A62/8760/1000*VLOOKUP(RIGHT($D62,LEN($D62)-FIND(" + ",$D62)-2),'HVAC weighting'!$A$3:$E$9,MATCH('SC-NR'!$C62,'HVAC weighting'!$B$3:$E$3,0)+1,0)</f>
        <v>1.2357638248999034</v>
      </c>
      <c r="N62" s="29">
        <f>VLOOKUP($C62,$D$48:$Z$48,N$20+1,FALSE)*$D$56*$A62/8760/1000*VLOOKUP(RIGHT($D62,LEN($D62)-FIND(" + ",$D62)-2),'HVAC weighting'!$A$3:$E$9,MATCH('SC-NR'!$C62,'HVAC weighting'!$B$3:$E$3,0)+1,0)</f>
        <v>1.3825388617744081</v>
      </c>
      <c r="O62" s="29">
        <f>VLOOKUP($C62,$D$48:$Z$48,O$20+1,FALSE)*$D$56*$A62/8760/1000*VLOOKUP(RIGHT($D62,LEN($D62)-FIND(" + ",$D62)-2),'HVAC weighting'!$A$3:$E$9,MATCH('SC-NR'!$C62,'HVAC weighting'!$B$3:$E$3,0)+1,0)</f>
        <v>1.4948888076480786</v>
      </c>
      <c r="P62" s="29">
        <f>VLOOKUP($C62,$D$48:$Z$48,P$20+1,FALSE)*$D$56*$A62/8760/1000*VLOOKUP(RIGHT($D62,LEN($D62)-FIND(" + ",$D62)-2),'HVAC weighting'!$A$3:$E$9,MATCH('SC-NR'!$C62,'HVAC weighting'!$B$3:$E$3,0)+1,0)</f>
        <v>1.5705721090213134</v>
      </c>
      <c r="Q62" s="29">
        <f>VLOOKUP($C62,$D$48:$Z$48,Q$20+1,FALSE)*$D$56*$A62/8760/1000*VLOOKUP(RIGHT($D62,LEN($D62)-FIND(" + ",$D62)-2),'HVAC weighting'!$A$3:$E$9,MATCH('SC-NR'!$C62,'HVAC weighting'!$B$3:$E$3,0)+1,0)</f>
        <v>1.6142190267320551</v>
      </c>
      <c r="R62" s="29">
        <f>VLOOKUP($C62,$D$48:$Z$48,R$20+1,FALSE)*$D$56*$A62/8760/1000*VLOOKUP(RIGHT($D62,LEN($D62)-FIND(" + ",$D62)-2),'HVAC weighting'!$A$3:$E$9,MATCH('SC-NR'!$C62,'HVAC weighting'!$B$3:$E$3,0)+1,0)</f>
        <v>1.6346728024050243</v>
      </c>
      <c r="S62" s="29">
        <f>VLOOKUP($C62,$D$48:$Z$48,S$20+1,FALSE)*$D$56*$A62/8760/1000*VLOOKUP(RIGHT($D62,LEN($D62)-FIND(" + ",$D62)-2),'HVAC weighting'!$A$3:$E$9,MATCH('SC-NR'!$C62,'HVAC weighting'!$B$3:$E$3,0)+1,0)</f>
        <v>1.6412853274920214</v>
      </c>
      <c r="T62" s="29">
        <f>VLOOKUP($C62,$D$48:$Z$48,T$20+1,FALSE)*$D$56*$A62/8760/1000*VLOOKUP(RIGHT($D62,LEN($D62)-FIND(" + ",$D62)-2),'HVAC weighting'!$A$3:$E$9,MATCH('SC-NR'!$C62,'HVAC weighting'!$B$3:$E$3,0)+1,0)</f>
        <v>2.0087813511144872</v>
      </c>
      <c r="U62" s="29">
        <f>VLOOKUP($C62,$D$48:$Z$48,U$20+1,FALSE)*$D$56*$A62/8760/1000*VLOOKUP(RIGHT($D62,LEN($D62)-FIND(" + ",$D62)-2),'HVAC weighting'!$A$3:$E$9,MATCH('SC-NR'!$C62,'HVAC weighting'!$B$3:$E$3,0)+1,0)</f>
        <v>1.97592026047873</v>
      </c>
      <c r="V62" s="29">
        <f>VLOOKUP($C62,$D$48:$Z$48,V$20+1,FALSE)*$D$56*$A62/8760/1000*VLOOKUP(RIGHT($D62,LEN($D62)-FIND(" + ",$D62)-2),'HVAC weighting'!$A$3:$E$9,MATCH('SC-NR'!$C62,'HVAC weighting'!$B$3:$E$3,0)+1,0)</f>
        <v>1.9381666534665212</v>
      </c>
      <c r="W62" s="29">
        <f>VLOOKUP($C62,$D$48:$Z$48,W$20+1,FALSE)*$D$56*$A62/8760/1000*VLOOKUP(RIGHT($D62,LEN($D62)-FIND(" + ",$D62)-2),'HVAC weighting'!$A$3:$E$9,MATCH('SC-NR'!$C62,'HVAC weighting'!$B$3:$E$3,0)+1,0)</f>
        <v>1.9058845673432965</v>
      </c>
      <c r="X62" s="29">
        <f>VLOOKUP($C62,$D$48:$Z$48,X$20+1,FALSE)*$D$56*$A62/8760/1000*VLOOKUP(RIGHT($D62,LEN($D62)-FIND(" + ",$D62)-2),'HVAC weighting'!$A$3:$E$9,MATCH('SC-NR'!$C62,'HVAC weighting'!$B$3:$E$3,0)+1,0)</f>
        <v>1.8739948141800431</v>
      </c>
      <c r="Y62" s="29">
        <f>(VLOOKUP($C62,$D$42:$Z$42,X$28+2,FALSE)+VLOOKUP($C62,$D$37:$Z$37,X$28+2,FALSE))*$D$56*$A62/8760/1000*VLOOKUP(RIGHT($D62,LEN($D62)-FIND(" + ",$D62)-2),'HVAC weighting'!$A$3:$E$9,MATCH('SC-NR'!$C62,'HVAC weighting'!$B$3:$E$3,0)+1,0)</f>
        <v>25.670073481174132</v>
      </c>
      <c r="Z62" s="442"/>
      <c r="AA62" s="29">
        <f t="shared" si="14"/>
        <v>24.350070598027298</v>
      </c>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row>
    <row r="63" spans="1:80">
      <c r="A63" s="57">
        <f t="shared" si="12"/>
        <v>2521.5432350451379</v>
      </c>
      <c r="B63" s="57">
        <f t="shared" si="13"/>
        <v>151.48739454562457</v>
      </c>
      <c r="C63" s="7" t="s">
        <v>49</v>
      </c>
      <c r="D63" s="7" t="s">
        <v>490</v>
      </c>
      <c r="E63" s="29">
        <f>VLOOKUP($C63,$D$48:$Z$48,E$20+1,FALSE)*$D$56*$A63/8760/1000*VLOOKUP(RIGHT($D63,LEN($D63)-FIND(" + ",$D63)-2),'HVAC weighting'!$A$3:$E$9,MATCH('SC-NR'!$C63,'HVAC weighting'!$B$3:$E$3,0)+1,0)</f>
        <v>9.6578093179769901E-3</v>
      </c>
      <c r="F63" s="29">
        <f>VLOOKUP($C63,$D$48:$Z$48,F$20+1,FALSE)*$D$56*$A63/8760/1000*VLOOKUP(RIGHT($D63,LEN($D63)-FIND(" + ",$D63)-2),'HVAC weighting'!$A$3:$E$9,MATCH('SC-NR'!$C63,'HVAC weighting'!$B$3:$E$3,0)+1,0)</f>
        <v>2.1467200650844336E-2</v>
      </c>
      <c r="G63" s="29">
        <f>VLOOKUP($C63,$D$48:$Z$48,G$20+1,FALSE)*$D$56*$A63/8760/1000*VLOOKUP(RIGHT($D63,LEN($D63)-FIND(" + ",$D63)-2),'HVAC weighting'!$A$3:$E$9,MATCH('SC-NR'!$C63,'HVAC weighting'!$B$3:$E$3,0)+1,0)</f>
        <v>3.5863652699542059E-2</v>
      </c>
      <c r="H63" s="29">
        <f>VLOOKUP($C63,$D$48:$Z$48,H$20+1,FALSE)*$D$56*$A63/8760/1000*VLOOKUP(RIGHT($D63,LEN($D63)-FIND(" + ",$D63)-2),'HVAC weighting'!$A$3:$E$9,MATCH('SC-NR'!$C63,'HVAC weighting'!$B$3:$E$3,0)+1,0)</f>
        <v>5.2512736780156437E-2</v>
      </c>
      <c r="I63" s="29">
        <f>VLOOKUP($C63,$D$48:$Z$48,I$20+1,FALSE)*$D$56*$A63/8760/1000*VLOOKUP(RIGHT($D63,LEN($D63)-FIND(" + ",$D63)-2),'HVAC weighting'!$A$3:$E$9,MATCH('SC-NR'!$C63,'HVAC weighting'!$B$3:$E$3,0)+1,0)</f>
        <v>7.1433437536821381E-2</v>
      </c>
      <c r="J63" s="29">
        <f>VLOOKUP($C63,$D$48:$Z$48,J$20+1,FALSE)*$D$56*$A63/8760/1000*VLOOKUP(RIGHT($D63,LEN($D63)-FIND(" + ",$D63)-2),'HVAC weighting'!$A$3:$E$9,MATCH('SC-NR'!$C63,'HVAC weighting'!$B$3:$E$3,0)+1,0)</f>
        <v>9.3480665441032076E-2</v>
      </c>
      <c r="K63" s="29">
        <f>VLOOKUP($C63,$D$48:$Z$48,K$20+1,FALSE)*$D$56*$A63/8760/1000*VLOOKUP(RIGHT($D63,LEN($D63)-FIND(" + ",$D63)-2),'HVAC weighting'!$A$3:$E$9,MATCH('SC-NR'!$C63,'HVAC weighting'!$B$3:$E$3,0)+1,0)</f>
        <v>0.1175771637248901</v>
      </c>
      <c r="L63" s="29">
        <f>VLOOKUP($C63,$D$48:$Z$48,L$20+1,FALSE)*$D$56*$A63/8760/1000*VLOOKUP(RIGHT($D63,LEN($D63)-FIND(" + ",$D63)-2),'HVAC weighting'!$A$3:$E$9,MATCH('SC-NR'!$C63,'HVAC weighting'!$B$3:$E$3,0)+1,0)</f>
        <v>0.14208690923273154</v>
      </c>
      <c r="M63" s="29">
        <f>VLOOKUP($C63,$D$48:$Z$48,M$20+1,FALSE)*$D$56*$A63/8760/1000*VLOOKUP(RIGHT($D63,LEN($D63)-FIND(" + ",$D63)-2),'HVAC weighting'!$A$3:$E$9,MATCH('SC-NR'!$C63,'HVAC weighting'!$B$3:$E$3,0)+1,0)</f>
        <v>0.16506034187859209</v>
      </c>
      <c r="N63" s="29">
        <f>VLOOKUP($C63,$D$48:$Z$48,N$20+1,FALSE)*$D$56*$A63/8760/1000*VLOOKUP(RIGHT($D63,LEN($D63)-FIND(" + ",$D63)-2),'HVAC weighting'!$A$3:$E$9,MATCH('SC-NR'!$C63,'HVAC weighting'!$B$3:$E$3,0)+1,0)</f>
        <v>0.18466500846422471</v>
      </c>
      <c r="O63" s="29">
        <f>VLOOKUP($C63,$D$48:$Z$48,O$20+1,FALSE)*$D$56*$A63/8760/1000*VLOOKUP(RIGHT($D63,LEN($D63)-FIND(" + ",$D63)-2),'HVAC weighting'!$A$3:$E$9,MATCH('SC-NR'!$C63,'HVAC weighting'!$B$3:$E$3,0)+1,0)</f>
        <v>0.1996715332566554</v>
      </c>
      <c r="P63" s="29">
        <f>VLOOKUP($C63,$D$48:$Z$48,P$20+1,FALSE)*$D$56*$A63/8760/1000*VLOOKUP(RIGHT($D63,LEN($D63)-FIND(" + ",$D63)-2),'HVAC weighting'!$A$3:$E$9,MATCH('SC-NR'!$C63,'HVAC weighting'!$B$3:$E$3,0)+1,0)</f>
        <v>0.20978051310171481</v>
      </c>
      <c r="Q63" s="29">
        <f>VLOOKUP($C63,$D$48:$Z$48,Q$20+1,FALSE)*$D$56*$A63/8760/1000*VLOOKUP(RIGHT($D63,LEN($D63)-FIND(" + ",$D63)-2),'HVAC weighting'!$A$3:$E$9,MATCH('SC-NR'!$C63,'HVAC weighting'!$B$3:$E$3,0)+1,0)</f>
        <v>0.21561040957069857</v>
      </c>
      <c r="R63" s="29">
        <f>VLOOKUP($C63,$D$48:$Z$48,R$20+1,FALSE)*$D$56*$A63/8760/1000*VLOOKUP(RIGHT($D63,LEN($D63)-FIND(" + ",$D63)-2),'HVAC weighting'!$A$3:$E$9,MATCH('SC-NR'!$C63,'HVAC weighting'!$B$3:$E$3,0)+1,0)</f>
        <v>0.21834240992324314</v>
      </c>
      <c r="S63" s="29">
        <f>VLOOKUP($C63,$D$48:$Z$48,S$20+1,FALSE)*$D$56*$A63/8760/1000*VLOOKUP(RIGHT($D63,LEN($D63)-FIND(" + ",$D63)-2),'HVAC weighting'!$A$3:$E$9,MATCH('SC-NR'!$C63,'HVAC weighting'!$B$3:$E$3,0)+1,0)</f>
        <v>0.21922564151616408</v>
      </c>
      <c r="T63" s="29">
        <f>VLOOKUP($C63,$D$48:$Z$48,T$20+1,FALSE)*$D$56*$A63/8760/1000*VLOOKUP(RIGHT($D63,LEN($D63)-FIND(" + ",$D63)-2),'HVAC weighting'!$A$3:$E$9,MATCH('SC-NR'!$C63,'HVAC weighting'!$B$3:$E$3,0)+1,0)</f>
        <v>0.26831189738148742</v>
      </c>
      <c r="U63" s="29">
        <f>VLOOKUP($C63,$D$48:$Z$48,U$20+1,FALSE)*$D$56*$A63/8760/1000*VLOOKUP(RIGHT($D63,LEN($D63)-FIND(" + ",$D63)-2),'HVAC weighting'!$A$3:$E$9,MATCH('SC-NR'!$C63,'HVAC weighting'!$B$3:$E$3,0)+1,0)</f>
        <v>0.2639226583169107</v>
      </c>
      <c r="V63" s="29">
        <f>VLOOKUP($C63,$D$48:$Z$48,V$20+1,FALSE)*$D$56*$A63/8760/1000*VLOOKUP(RIGHT($D63,LEN($D63)-FIND(" + ",$D63)-2),'HVAC weighting'!$A$3:$E$9,MATCH('SC-NR'!$C63,'HVAC weighting'!$B$3:$E$3,0)+1,0)</f>
        <v>0.25887992834292889</v>
      </c>
      <c r="W63" s="29">
        <f>VLOOKUP($C63,$D$48:$Z$48,W$20+1,FALSE)*$D$56*$A63/8760/1000*VLOOKUP(RIGHT($D63,LEN($D63)-FIND(" + ",$D63)-2),'HVAC weighting'!$A$3:$E$9,MATCH('SC-NR'!$C63,'HVAC weighting'!$B$3:$E$3,0)+1,0)</f>
        <v>0.25456802661487393</v>
      </c>
      <c r="X63" s="29">
        <f>VLOOKUP($C63,$D$48:$Z$48,X$20+1,FALSE)*$D$56*$A63/8760/1000*VLOOKUP(RIGHT($D63,LEN($D63)-FIND(" + ",$D63)-2),'HVAC weighting'!$A$3:$E$9,MATCH('SC-NR'!$C63,'HVAC weighting'!$B$3:$E$3,0)+1,0)</f>
        <v>0.25030852859956604</v>
      </c>
      <c r="Y63" s="29">
        <f>(VLOOKUP($C63,$D$42:$Z$42,X$28+2,FALSE)+VLOOKUP($C63,$D$37:$Z$37,X$28+2,FALSE))*$D$56*$A63/8760/1000*VLOOKUP(RIGHT($D63,LEN($D63)-FIND(" + ",$D63)-2),'HVAC weighting'!$A$3:$E$9,MATCH('SC-NR'!$C63,'HVAC weighting'!$B$3:$E$3,0)+1,0)</f>
        <v>3.4287385821432248</v>
      </c>
      <c r="Z63" s="442"/>
      <c r="AA63" s="29">
        <f>SUM(E63:X63)</f>
        <v>3.2524264723510545</v>
      </c>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row>
    <row r="64" spans="1:80" customForma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row>
    <row r="65" spans="1:29" customFormat="1">
      <c r="A65" s="7"/>
      <c r="B65" s="67">
        <f>SUMPRODUCT(B58:B63,AA58:AA63)/SUM(AA58:AA63)</f>
        <v>113.71212967102922</v>
      </c>
      <c r="C65" s="7"/>
      <c r="D65" s="48"/>
      <c r="E65" s="35">
        <f t="shared" ref="E65:Y65" si="15">SUM(E58:E63)</f>
        <v>0.15533805758191471</v>
      </c>
      <c r="F65" s="35">
        <f t="shared" si="15"/>
        <v>0.34528257299678017</v>
      </c>
      <c r="G65" s="35">
        <f t="shared" si="15"/>
        <v>0.57683786920181246</v>
      </c>
      <c r="H65" s="35">
        <f t="shared" si="15"/>
        <v>0.84462493109654357</v>
      </c>
      <c r="I65" s="35">
        <f t="shared" si="15"/>
        <v>1.1489491113387609</v>
      </c>
      <c r="J65" s="35">
        <f t="shared" si="15"/>
        <v>1.503560953936546</v>
      </c>
      <c r="K65" s="35">
        <f t="shared" si="15"/>
        <v>1.8911336544011383</v>
      </c>
      <c r="L65" s="35">
        <f t="shared" si="15"/>
        <v>2.2853531024832492</v>
      </c>
      <c r="M65" s="35">
        <f t="shared" si="15"/>
        <v>2.6548621998055846</v>
      </c>
      <c r="N65" s="35">
        <f t="shared" si="15"/>
        <v>2.9701874176357439</v>
      </c>
      <c r="O65" s="35">
        <f t="shared" si="15"/>
        <v>3.2115552408720096</v>
      </c>
      <c r="P65" s="35">
        <f t="shared" si="15"/>
        <v>3.3741500117527403</v>
      </c>
      <c r="Q65" s="35">
        <f t="shared" si="15"/>
        <v>3.4679191848207895</v>
      </c>
      <c r="R65" s="35">
        <f t="shared" si="15"/>
        <v>3.5118612025294462</v>
      </c>
      <c r="S65" s="35">
        <f t="shared" si="15"/>
        <v>3.526067268886953</v>
      </c>
      <c r="T65" s="35">
        <f t="shared" si="15"/>
        <v>4.3155800236992823</v>
      </c>
      <c r="U65" s="35">
        <f t="shared" si="15"/>
        <v>4.2449826606632488</v>
      </c>
      <c r="V65" s="35">
        <f t="shared" si="15"/>
        <v>4.1638744244910599</v>
      </c>
      <c r="W65" s="35">
        <f t="shared" si="15"/>
        <v>4.0945209700100955</v>
      </c>
      <c r="X65" s="35">
        <f t="shared" si="15"/>
        <v>4.0260103868967665</v>
      </c>
      <c r="Y65" s="35">
        <f t="shared" si="15"/>
        <v>55.148489038284595</v>
      </c>
      <c r="Z65" s="35"/>
      <c r="AA65" s="35">
        <f>SUM(E65:X65)</f>
        <v>52.312651245100461</v>
      </c>
      <c r="AB65" s="7"/>
      <c r="AC65" s="29"/>
    </row>
    <row r="66" spans="1:29" customFormat="1">
      <c r="A66" s="7"/>
      <c r="B66" s="7"/>
      <c r="C66" s="7"/>
      <c r="D66" s="7"/>
      <c r="E66" s="35">
        <f>E65</f>
        <v>0.15533805758191471</v>
      </c>
      <c r="F66" s="35">
        <f>F65+E66</f>
        <v>0.50062063057869488</v>
      </c>
      <c r="G66" s="35">
        <f t="shared" ref="G66:X66" si="16">G65+F66</f>
        <v>1.0774584997805072</v>
      </c>
      <c r="H66" s="35">
        <f t="shared" si="16"/>
        <v>1.9220834308770507</v>
      </c>
      <c r="I66" s="35">
        <f t="shared" si="16"/>
        <v>3.0710325422158116</v>
      </c>
      <c r="J66" s="35">
        <f t="shared" si="16"/>
        <v>4.5745934961523576</v>
      </c>
      <c r="K66" s="35">
        <f t="shared" si="16"/>
        <v>6.4657271505534961</v>
      </c>
      <c r="L66" s="35">
        <f t="shared" si="16"/>
        <v>8.7510802530367453</v>
      </c>
      <c r="M66" s="35">
        <f t="shared" si="16"/>
        <v>11.40594245284233</v>
      </c>
      <c r="N66" s="35">
        <f t="shared" si="16"/>
        <v>14.376129870478074</v>
      </c>
      <c r="O66" s="35">
        <f t="shared" si="16"/>
        <v>17.587685111350083</v>
      </c>
      <c r="P66" s="35">
        <f t="shared" si="16"/>
        <v>20.961835123102823</v>
      </c>
      <c r="Q66" s="35">
        <f t="shared" si="16"/>
        <v>24.429754307923613</v>
      </c>
      <c r="R66" s="35">
        <f t="shared" si="16"/>
        <v>27.941615510453058</v>
      </c>
      <c r="S66" s="35">
        <f t="shared" si="16"/>
        <v>31.467682779340009</v>
      </c>
      <c r="T66" s="35">
        <f t="shared" si="16"/>
        <v>35.783262803039293</v>
      </c>
      <c r="U66" s="35">
        <f t="shared" si="16"/>
        <v>40.02824546370254</v>
      </c>
      <c r="V66" s="35">
        <f t="shared" si="16"/>
        <v>44.192119888193602</v>
      </c>
      <c r="W66" s="35">
        <f t="shared" si="16"/>
        <v>48.286640858203697</v>
      </c>
      <c r="X66" s="35">
        <f t="shared" si="16"/>
        <v>52.312651245100461</v>
      </c>
      <c r="Y66" s="7"/>
      <c r="Z66" s="7"/>
      <c r="AA66" s="7"/>
      <c r="AB66" s="7"/>
      <c r="AC66" s="7"/>
    </row>
    <row r="67" spans="1:29" customFormat="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row>
    <row r="68" spans="1:29" customFormat="1" ht="15">
      <c r="A68" s="55" t="s">
        <v>67</v>
      </c>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row>
    <row r="69" spans="1:29" customFormat="1" ht="15">
      <c r="A69" s="7"/>
      <c r="B69" s="7"/>
      <c r="C69" s="7"/>
      <c r="D69" s="7"/>
      <c r="E69" s="58">
        <f t="shared" ref="E69:X69" si="17">E11</f>
        <v>2016</v>
      </c>
      <c r="F69" s="59">
        <f t="shared" si="17"/>
        <v>2017</v>
      </c>
      <c r="G69" s="59">
        <f t="shared" si="17"/>
        <v>2018</v>
      </c>
      <c r="H69" s="59">
        <f t="shared" si="17"/>
        <v>2019</v>
      </c>
      <c r="I69" s="59">
        <f t="shared" si="17"/>
        <v>2020</v>
      </c>
      <c r="J69" s="59">
        <f t="shared" si="17"/>
        <v>2021</v>
      </c>
      <c r="K69" s="59">
        <f t="shared" si="17"/>
        <v>2022</v>
      </c>
      <c r="L69" s="59">
        <f t="shared" si="17"/>
        <v>2023</v>
      </c>
      <c r="M69" s="59">
        <f t="shared" si="17"/>
        <v>2024</v>
      </c>
      <c r="N69" s="59">
        <f t="shared" si="17"/>
        <v>2025</v>
      </c>
      <c r="O69" s="59">
        <f t="shared" si="17"/>
        <v>2026</v>
      </c>
      <c r="P69" s="59">
        <f t="shared" si="17"/>
        <v>2027</v>
      </c>
      <c r="Q69" s="59">
        <f t="shared" si="17"/>
        <v>2028</v>
      </c>
      <c r="R69" s="59">
        <f t="shared" si="17"/>
        <v>2029</v>
      </c>
      <c r="S69" s="59">
        <f t="shared" si="17"/>
        <v>2030</v>
      </c>
      <c r="T69" s="59">
        <f t="shared" si="17"/>
        <v>2031</v>
      </c>
      <c r="U69" s="59">
        <f t="shared" si="17"/>
        <v>2032</v>
      </c>
      <c r="V69" s="59">
        <f t="shared" si="17"/>
        <v>2033</v>
      </c>
      <c r="W69" s="59">
        <f t="shared" si="17"/>
        <v>2034</v>
      </c>
      <c r="X69" s="59">
        <f t="shared" si="17"/>
        <v>2035</v>
      </c>
      <c r="Y69" s="60" t="s">
        <v>60</v>
      </c>
      <c r="Z69" s="7"/>
      <c r="AA69" s="7"/>
      <c r="AB69" s="7"/>
      <c r="AC69" s="7"/>
    </row>
    <row r="70" spans="1:29" customFormat="1" ht="15">
      <c r="A70" s="7"/>
      <c r="B70" s="7"/>
      <c r="C70" s="49" t="s">
        <v>64</v>
      </c>
      <c r="D70" s="49" t="s">
        <v>64</v>
      </c>
      <c r="E70" s="61" t="str">
        <f>CONCATENATE("aMW_",E$11)</f>
        <v>aMW_2016</v>
      </c>
      <c r="F70" s="62" t="str">
        <f t="shared" ref="F70:X70" si="18">CONCATENATE("aMW_",F$11)</f>
        <v>aMW_2017</v>
      </c>
      <c r="G70" s="62" t="str">
        <f t="shared" si="18"/>
        <v>aMW_2018</v>
      </c>
      <c r="H70" s="62" t="str">
        <f t="shared" si="18"/>
        <v>aMW_2019</v>
      </c>
      <c r="I70" s="62" t="str">
        <f t="shared" si="18"/>
        <v>aMW_2020</v>
      </c>
      <c r="J70" s="62" t="str">
        <f t="shared" si="18"/>
        <v>aMW_2021</v>
      </c>
      <c r="K70" s="62" t="str">
        <f t="shared" si="18"/>
        <v>aMW_2022</v>
      </c>
      <c r="L70" s="62" t="str">
        <f t="shared" si="18"/>
        <v>aMW_2023</v>
      </c>
      <c r="M70" s="62" t="str">
        <f t="shared" si="18"/>
        <v>aMW_2024</v>
      </c>
      <c r="N70" s="62" t="str">
        <f t="shared" si="18"/>
        <v>aMW_2025</v>
      </c>
      <c r="O70" s="62" t="str">
        <f t="shared" si="18"/>
        <v>aMW_2026</v>
      </c>
      <c r="P70" s="62" t="str">
        <f t="shared" si="18"/>
        <v>aMW_2027</v>
      </c>
      <c r="Q70" s="62" t="str">
        <f t="shared" si="18"/>
        <v>aMW_2028</v>
      </c>
      <c r="R70" s="62" t="str">
        <f t="shared" si="18"/>
        <v>aMW_2029</v>
      </c>
      <c r="S70" s="62" t="str">
        <f t="shared" si="18"/>
        <v>aMW_2030</v>
      </c>
      <c r="T70" s="62" t="str">
        <f t="shared" si="18"/>
        <v>aMW_2031</v>
      </c>
      <c r="U70" s="62" t="str">
        <f t="shared" si="18"/>
        <v>aMW_2032</v>
      </c>
      <c r="V70" s="62" t="str">
        <f t="shared" si="18"/>
        <v>aMW_2033</v>
      </c>
      <c r="W70" s="62" t="str">
        <f t="shared" si="18"/>
        <v>aMW_2034</v>
      </c>
      <c r="X70" s="62" t="str">
        <f t="shared" si="18"/>
        <v>aMW_2035</v>
      </c>
      <c r="Y70" s="63" t="s">
        <v>60</v>
      </c>
      <c r="Z70" s="7"/>
      <c r="AA70" s="7"/>
      <c r="AB70" s="7"/>
      <c r="AC70" s="7"/>
    </row>
    <row r="71" spans="1:29" customFormat="1">
      <c r="A71" s="7"/>
      <c r="B71" s="7" t="s">
        <v>68</v>
      </c>
      <c r="C71" s="50" t="s">
        <v>69</v>
      </c>
      <c r="D71" s="50" t="s">
        <v>70</v>
      </c>
      <c r="E71" s="35">
        <f>DSUM($B$57:$Y$63,E$57,$C$70:$D71)</f>
        <v>0</v>
      </c>
      <c r="F71" s="35">
        <f>DSUM($B$57:$Y$63,F$57,$C$70:$D71)</f>
        <v>0</v>
      </c>
      <c r="G71" s="35">
        <f>DSUM($B$57:$Y$63,G$57,$C$70:$D71)</f>
        <v>0</v>
      </c>
      <c r="H71" s="35">
        <f>DSUM($B$57:$Y$63,H$57,$C$70:$D71)</f>
        <v>0</v>
      </c>
      <c r="I71" s="35">
        <f>DSUM($B$57:$Y$63,I$57,$C$70:$D71)</f>
        <v>0</v>
      </c>
      <c r="J71" s="35">
        <f>DSUM($B$57:$Y$63,J$57,$C$70:$D71)</f>
        <v>0</v>
      </c>
      <c r="K71" s="35">
        <f>DSUM($B$57:$Y$63,K$57,$C$70:$D71)</f>
        <v>0</v>
      </c>
      <c r="L71" s="35">
        <f>DSUM($B$57:$Y$63,L$57,$C$70:$D71)</f>
        <v>0</v>
      </c>
      <c r="M71" s="35">
        <f>DSUM($B$57:$Y$63,M$57,$C$70:$D71)</f>
        <v>0</v>
      </c>
      <c r="N71" s="35">
        <f>DSUM($B$57:$Y$63,N$57,$C$70:$D71)</f>
        <v>0</v>
      </c>
      <c r="O71" s="35">
        <f>DSUM($B$57:$Y$63,O$57,$C$70:$D71)</f>
        <v>0</v>
      </c>
      <c r="P71" s="35">
        <f>DSUM($B$57:$Y$63,P$57,$C$70:$D71)</f>
        <v>0</v>
      </c>
      <c r="Q71" s="35">
        <f>DSUM($B$57:$Y$63,Q$57,$C$70:$D71)</f>
        <v>0</v>
      </c>
      <c r="R71" s="35">
        <f>DSUM($B$57:$Y$63,R$57,$C$70:$D71)</f>
        <v>0</v>
      </c>
      <c r="S71" s="35">
        <f>DSUM($B$57:$Y$63,S$57,$C$70:$D71)</f>
        <v>0</v>
      </c>
      <c r="T71" s="35">
        <f>DSUM($B$57:$Y$63,T$57,$C$70:$D71)</f>
        <v>0</v>
      </c>
      <c r="U71" s="35">
        <f>DSUM($B$57:$Y$63,U$57,$C$70:$D71)</f>
        <v>0</v>
      </c>
      <c r="V71" s="35">
        <f>DSUM($B$57:$Y$63,V$57,$C$70:$D71)</f>
        <v>0</v>
      </c>
      <c r="W71" s="35">
        <f>DSUM($B$57:$Y$63,W$57,$C$70:$D71)</f>
        <v>0</v>
      </c>
      <c r="X71" s="35">
        <f>DSUM($B$57:$Y$63,X$57,$C$70:$D71)</f>
        <v>0</v>
      </c>
      <c r="Y71" s="35">
        <f>DSUM($B$57:$Y$63,Y$57,$C$70:$D71)</f>
        <v>0</v>
      </c>
      <c r="Z71" s="7"/>
      <c r="AA71" s="7"/>
      <c r="AB71" s="7"/>
      <c r="AC71" s="7"/>
    </row>
    <row r="72" spans="1:29" customFormat="1">
      <c r="A72" s="7"/>
      <c r="B72" s="7" t="s">
        <v>544</v>
      </c>
      <c r="C72" s="50" t="s">
        <v>72</v>
      </c>
      <c r="D72" s="50" t="s">
        <v>73</v>
      </c>
      <c r="E72" s="35">
        <f>DSUM($B$57:$Y$63,E$57,$C$70:$D72)</f>
        <v>0</v>
      </c>
      <c r="F72" s="35">
        <f>DSUM($B$57:$Y$63,F$57,$C$70:$D72)</f>
        <v>0</v>
      </c>
      <c r="G72" s="35">
        <f>DSUM($B$57:$Y$63,G$57,$C$70:$D72)</f>
        <v>0</v>
      </c>
      <c r="H72" s="35">
        <f>DSUM($B$57:$Y$63,H$57,$C$70:$D72)</f>
        <v>0</v>
      </c>
      <c r="I72" s="35">
        <f>DSUM($B$57:$Y$63,I$57,$C$70:$D72)</f>
        <v>0</v>
      </c>
      <c r="J72" s="35">
        <f>DSUM($B$57:$Y$63,J$57,$C$70:$D72)</f>
        <v>0</v>
      </c>
      <c r="K72" s="35">
        <f>DSUM($B$57:$Y$63,K$57,$C$70:$D72)</f>
        <v>0</v>
      </c>
      <c r="L72" s="35">
        <f>DSUM($B$57:$Y$63,L$57,$C$70:$D72)</f>
        <v>0</v>
      </c>
      <c r="M72" s="35">
        <f>DSUM($B$57:$Y$63,M$57,$C$70:$D72)</f>
        <v>0</v>
      </c>
      <c r="N72" s="35">
        <f>DSUM($B$57:$Y$63,N$57,$C$70:$D72)</f>
        <v>0</v>
      </c>
      <c r="O72" s="35">
        <f>DSUM($B$57:$Y$63,O$57,$C$70:$D72)</f>
        <v>0</v>
      </c>
      <c r="P72" s="35">
        <f>DSUM($B$57:$Y$63,P$57,$C$70:$D72)</f>
        <v>0</v>
      </c>
      <c r="Q72" s="35">
        <f>DSUM($B$57:$Y$63,Q$57,$C$70:$D72)</f>
        <v>0</v>
      </c>
      <c r="R72" s="35">
        <f>DSUM($B$57:$Y$63,R$57,$C$70:$D72)</f>
        <v>0</v>
      </c>
      <c r="S72" s="35">
        <f>DSUM($B$57:$Y$63,S$57,$C$70:$D72)</f>
        <v>0</v>
      </c>
      <c r="T72" s="35">
        <f>DSUM($B$57:$Y$63,T$57,$C$70:$D72)</f>
        <v>0</v>
      </c>
      <c r="U72" s="35">
        <f>DSUM($B$57:$Y$63,U$57,$C$70:$D72)</f>
        <v>0</v>
      </c>
      <c r="V72" s="35">
        <f>DSUM($B$57:$Y$63,V$57,$C$70:$D72)</f>
        <v>0</v>
      </c>
      <c r="W72" s="35">
        <f>DSUM($B$57:$Y$63,W$57,$C$70:$D72)</f>
        <v>0</v>
      </c>
      <c r="X72" s="35">
        <f>DSUM($B$57:$Y$63,X$57,$C$70:$D72)</f>
        <v>0</v>
      </c>
      <c r="Y72" s="35">
        <f>DSUM($B$57:$Y$63,Y$57,$C$70:$D72)</f>
        <v>0</v>
      </c>
      <c r="Z72" s="7"/>
      <c r="AA72" s="7"/>
      <c r="AB72" s="7"/>
      <c r="AC72" s="7"/>
    </row>
    <row r="73" spans="1:29" customFormat="1">
      <c r="A73" s="7"/>
      <c r="B73" s="7" t="s">
        <v>74</v>
      </c>
      <c r="C73" s="50" t="s">
        <v>75</v>
      </c>
      <c r="D73" s="50" t="s">
        <v>76</v>
      </c>
      <c r="E73" s="35">
        <f>DSUM($B$57:$Y$63,E$57,$C$70:$D73)</f>
        <v>0</v>
      </c>
      <c r="F73" s="35">
        <f>DSUM($B$57:$Y$63,F$57,$C$70:$D73)</f>
        <v>0</v>
      </c>
      <c r="G73" s="35">
        <f>DSUM($B$57:$Y$63,G$57,$C$70:$D73)</f>
        <v>0</v>
      </c>
      <c r="H73" s="35">
        <f>DSUM($B$57:$Y$63,H$57,$C$70:$D73)</f>
        <v>0</v>
      </c>
      <c r="I73" s="35">
        <f>DSUM($B$57:$Y$63,I$57,$C$70:$D73)</f>
        <v>0</v>
      </c>
      <c r="J73" s="35">
        <f>DSUM($B$57:$Y$63,J$57,$C$70:$D73)</f>
        <v>0</v>
      </c>
      <c r="K73" s="35">
        <f>DSUM($B$57:$Y$63,K$57,$C$70:$D73)</f>
        <v>0</v>
      </c>
      <c r="L73" s="35">
        <f>DSUM($B$57:$Y$63,L$57,$C$70:$D73)</f>
        <v>0</v>
      </c>
      <c r="M73" s="35">
        <f>DSUM($B$57:$Y$63,M$57,$C$70:$D73)</f>
        <v>0</v>
      </c>
      <c r="N73" s="35">
        <f>DSUM($B$57:$Y$63,N$57,$C$70:$D73)</f>
        <v>0</v>
      </c>
      <c r="O73" s="35">
        <f>DSUM($B$57:$Y$63,O$57,$C$70:$D73)</f>
        <v>0</v>
      </c>
      <c r="P73" s="35">
        <f>DSUM($B$57:$Y$63,P$57,$C$70:$D73)</f>
        <v>0</v>
      </c>
      <c r="Q73" s="35">
        <f>DSUM($B$57:$Y$63,Q$57,$C$70:$D73)</f>
        <v>0</v>
      </c>
      <c r="R73" s="35">
        <f>DSUM($B$57:$Y$63,R$57,$C$70:$D73)</f>
        <v>0</v>
      </c>
      <c r="S73" s="35">
        <f>DSUM($B$57:$Y$63,S$57,$C$70:$D73)</f>
        <v>0</v>
      </c>
      <c r="T73" s="35">
        <f>DSUM($B$57:$Y$63,T$57,$C$70:$D73)</f>
        <v>0</v>
      </c>
      <c r="U73" s="35">
        <f>DSUM($B$57:$Y$63,U$57,$C$70:$D73)</f>
        <v>0</v>
      </c>
      <c r="V73" s="35">
        <f>DSUM($B$57:$Y$63,V$57,$C$70:$D73)</f>
        <v>0</v>
      </c>
      <c r="W73" s="35">
        <f>DSUM($B$57:$Y$63,W$57,$C$70:$D73)</f>
        <v>0</v>
      </c>
      <c r="X73" s="35">
        <f>DSUM($B$57:$Y$63,X$57,$C$70:$D73)</f>
        <v>0</v>
      </c>
      <c r="Y73" s="35">
        <f>DSUM($B$57:$Y$63,Y$57,$C$70:$D73)</f>
        <v>0</v>
      </c>
      <c r="Z73" s="7"/>
      <c r="AA73" s="7"/>
      <c r="AB73" s="7"/>
      <c r="AC73" s="7"/>
    </row>
    <row r="74" spans="1:29" customFormat="1">
      <c r="A74" s="7"/>
      <c r="B74" s="7" t="s">
        <v>77</v>
      </c>
      <c r="C74" s="50" t="s">
        <v>78</v>
      </c>
      <c r="D74" s="50" t="s">
        <v>79</v>
      </c>
      <c r="E74" s="35">
        <f>DSUM($B$57:$Y$63,E$57,$C$70:$D74)</f>
        <v>0</v>
      </c>
      <c r="F74" s="35">
        <f>DSUM($B$57:$Y$63,F$57,$C$70:$D74)</f>
        <v>0</v>
      </c>
      <c r="G74" s="35">
        <f>DSUM($B$57:$Y$63,G$57,$C$70:$D74)</f>
        <v>0</v>
      </c>
      <c r="H74" s="35">
        <f>DSUM($B$57:$Y$63,H$57,$C$70:$D74)</f>
        <v>0</v>
      </c>
      <c r="I74" s="35">
        <f>DSUM($B$57:$Y$63,I$57,$C$70:$D74)</f>
        <v>0</v>
      </c>
      <c r="J74" s="35">
        <f>DSUM($B$57:$Y$63,J$57,$C$70:$D74)</f>
        <v>0</v>
      </c>
      <c r="K74" s="35">
        <f>DSUM($B$57:$Y$63,K$57,$C$70:$D74)</f>
        <v>0</v>
      </c>
      <c r="L74" s="35">
        <f>DSUM($B$57:$Y$63,L$57,$C$70:$D74)</f>
        <v>0</v>
      </c>
      <c r="M74" s="35">
        <f>DSUM($B$57:$Y$63,M$57,$C$70:$D74)</f>
        <v>0</v>
      </c>
      <c r="N74" s="35">
        <f>DSUM($B$57:$Y$63,N$57,$C$70:$D74)</f>
        <v>0</v>
      </c>
      <c r="O74" s="35">
        <f>DSUM($B$57:$Y$63,O$57,$C$70:$D74)</f>
        <v>0</v>
      </c>
      <c r="P74" s="35">
        <f>DSUM($B$57:$Y$63,P$57,$C$70:$D74)</f>
        <v>0</v>
      </c>
      <c r="Q74" s="35">
        <f>DSUM($B$57:$Y$63,Q$57,$C$70:$D74)</f>
        <v>0</v>
      </c>
      <c r="R74" s="35">
        <f>DSUM($B$57:$Y$63,R$57,$C$70:$D74)</f>
        <v>0</v>
      </c>
      <c r="S74" s="35">
        <f>DSUM($B$57:$Y$63,S$57,$C$70:$D74)</f>
        <v>0</v>
      </c>
      <c r="T74" s="35">
        <f>DSUM($B$57:$Y$63,T$57,$C$70:$D74)</f>
        <v>0</v>
      </c>
      <c r="U74" s="35">
        <f>DSUM($B$57:$Y$63,U$57,$C$70:$D74)</f>
        <v>0</v>
      </c>
      <c r="V74" s="35">
        <f>DSUM($B$57:$Y$63,V$57,$C$70:$D74)</f>
        <v>0</v>
      </c>
      <c r="W74" s="35">
        <f>DSUM($B$57:$Y$63,W$57,$C$70:$D74)</f>
        <v>0</v>
      </c>
      <c r="X74" s="35">
        <f>DSUM($B$57:$Y$63,X$57,$C$70:$D74)</f>
        <v>0</v>
      </c>
      <c r="Y74" s="35">
        <f>DSUM($B$57:$Y$63,Y$57,$C$70:$D74)</f>
        <v>0</v>
      </c>
      <c r="Z74" s="7"/>
      <c r="AA74" s="7"/>
      <c r="AB74" s="7"/>
      <c r="AC74" s="7"/>
    </row>
    <row r="75" spans="1:29" customFormat="1">
      <c r="A75" s="7"/>
      <c r="B75" s="7" t="s">
        <v>80</v>
      </c>
      <c r="C75" s="50" t="s">
        <v>81</v>
      </c>
      <c r="D75" s="50" t="s">
        <v>82</v>
      </c>
      <c r="E75" s="35">
        <f>DSUM($B$57:$Y$63,E$57,$C$70:$D75)</f>
        <v>0</v>
      </c>
      <c r="F75" s="35">
        <f>DSUM($B$57:$Y$63,F$57,$C$70:$D75)</f>
        <v>0</v>
      </c>
      <c r="G75" s="35">
        <f>DSUM($B$57:$Y$63,G$57,$C$70:$D75)</f>
        <v>0</v>
      </c>
      <c r="H75" s="35">
        <f>DSUM($B$57:$Y$63,H$57,$C$70:$D75)</f>
        <v>0</v>
      </c>
      <c r="I75" s="35">
        <f>DSUM($B$57:$Y$63,I$57,$C$70:$D75)</f>
        <v>0</v>
      </c>
      <c r="J75" s="35">
        <f>DSUM($B$57:$Y$63,J$57,$C$70:$D75)</f>
        <v>0</v>
      </c>
      <c r="K75" s="35">
        <f>DSUM($B$57:$Y$63,K$57,$C$70:$D75)</f>
        <v>0</v>
      </c>
      <c r="L75" s="35">
        <f>DSUM($B$57:$Y$63,L$57,$C$70:$D75)</f>
        <v>0</v>
      </c>
      <c r="M75" s="35">
        <f>DSUM($B$57:$Y$63,M$57,$C$70:$D75)</f>
        <v>0</v>
      </c>
      <c r="N75" s="35">
        <f>DSUM($B$57:$Y$63,N$57,$C$70:$D75)</f>
        <v>0</v>
      </c>
      <c r="O75" s="35">
        <f>DSUM($B$57:$Y$63,O$57,$C$70:$D75)</f>
        <v>0</v>
      </c>
      <c r="P75" s="35">
        <f>DSUM($B$57:$Y$63,P$57,$C$70:$D75)</f>
        <v>0</v>
      </c>
      <c r="Q75" s="35">
        <f>DSUM($B$57:$Y$63,Q$57,$C$70:$D75)</f>
        <v>0</v>
      </c>
      <c r="R75" s="35">
        <f>DSUM($B$57:$Y$63,R$57,$C$70:$D75)</f>
        <v>0</v>
      </c>
      <c r="S75" s="35">
        <f>DSUM($B$57:$Y$63,S$57,$C$70:$D75)</f>
        <v>0</v>
      </c>
      <c r="T75" s="35">
        <f>DSUM($B$57:$Y$63,T$57,$C$70:$D75)</f>
        <v>0</v>
      </c>
      <c r="U75" s="35">
        <f>DSUM($B$57:$Y$63,U$57,$C$70:$D75)</f>
        <v>0</v>
      </c>
      <c r="V75" s="35">
        <f>DSUM($B$57:$Y$63,V$57,$C$70:$D75)</f>
        <v>0</v>
      </c>
      <c r="W75" s="35">
        <f>DSUM($B$57:$Y$63,W$57,$C$70:$D75)</f>
        <v>0</v>
      </c>
      <c r="X75" s="35">
        <f>DSUM($B$57:$Y$63,X$57,$C$70:$D75)</f>
        <v>0</v>
      </c>
      <c r="Y75" s="35">
        <f>DSUM($B$57:$Y$63,Y$57,$C$70:$D75)</f>
        <v>0</v>
      </c>
      <c r="Z75" s="7"/>
      <c r="AA75" s="7"/>
      <c r="AB75" s="7"/>
      <c r="AC75" s="7"/>
    </row>
    <row r="76" spans="1:29" customFormat="1">
      <c r="A76" s="7"/>
      <c r="B76" s="7" t="s">
        <v>83</v>
      </c>
      <c r="C76" s="50" t="s">
        <v>84</v>
      </c>
      <c r="D76" s="50" t="s">
        <v>85</v>
      </c>
      <c r="E76" s="35">
        <f>DSUM($B$57:$Y$63,E$57,$C$70:$D76)</f>
        <v>0</v>
      </c>
      <c r="F76" s="35">
        <f>DSUM($B$57:$Y$63,F$57,$C$70:$D76)</f>
        <v>0</v>
      </c>
      <c r="G76" s="35">
        <f>DSUM($B$57:$Y$63,G$57,$C$70:$D76)</f>
        <v>0</v>
      </c>
      <c r="H76" s="35">
        <f>DSUM($B$57:$Y$63,H$57,$C$70:$D76)</f>
        <v>0</v>
      </c>
      <c r="I76" s="35">
        <f>DSUM($B$57:$Y$63,I$57,$C$70:$D76)</f>
        <v>0</v>
      </c>
      <c r="J76" s="35">
        <f>DSUM($B$57:$Y$63,J$57,$C$70:$D76)</f>
        <v>0</v>
      </c>
      <c r="K76" s="35">
        <f>DSUM($B$57:$Y$63,K$57,$C$70:$D76)</f>
        <v>0</v>
      </c>
      <c r="L76" s="35">
        <f>DSUM($B$57:$Y$63,L$57,$C$70:$D76)</f>
        <v>0</v>
      </c>
      <c r="M76" s="35">
        <f>DSUM($B$57:$Y$63,M$57,$C$70:$D76)</f>
        <v>0</v>
      </c>
      <c r="N76" s="35">
        <f>DSUM($B$57:$Y$63,N$57,$C$70:$D76)</f>
        <v>0</v>
      </c>
      <c r="O76" s="35">
        <f>DSUM($B$57:$Y$63,O$57,$C$70:$D76)</f>
        <v>0</v>
      </c>
      <c r="P76" s="35">
        <f>DSUM($B$57:$Y$63,P$57,$C$70:$D76)</f>
        <v>0</v>
      </c>
      <c r="Q76" s="35">
        <f>DSUM($B$57:$Y$63,Q$57,$C$70:$D76)</f>
        <v>0</v>
      </c>
      <c r="R76" s="35">
        <f>DSUM($B$57:$Y$63,R$57,$C$70:$D76)</f>
        <v>0</v>
      </c>
      <c r="S76" s="35">
        <f>DSUM($B$57:$Y$63,S$57,$C$70:$D76)</f>
        <v>0</v>
      </c>
      <c r="T76" s="35">
        <f>DSUM($B$57:$Y$63,T$57,$C$70:$D76)</f>
        <v>0</v>
      </c>
      <c r="U76" s="35">
        <f>DSUM($B$57:$Y$63,U$57,$C$70:$D76)</f>
        <v>0</v>
      </c>
      <c r="V76" s="35">
        <f>DSUM($B$57:$Y$63,V$57,$C$70:$D76)</f>
        <v>0</v>
      </c>
      <c r="W76" s="35">
        <f>DSUM($B$57:$Y$63,W$57,$C$70:$D76)</f>
        <v>0</v>
      </c>
      <c r="X76" s="35">
        <f>DSUM($B$57:$Y$63,X$57,$C$70:$D76)</f>
        <v>0</v>
      </c>
      <c r="Y76" s="35">
        <f>DSUM($B$57:$Y$63,Y$57,$C$70:$D76)</f>
        <v>0</v>
      </c>
      <c r="Z76" s="7"/>
      <c r="AA76" s="7"/>
      <c r="AB76" s="7"/>
      <c r="AC76" s="7"/>
    </row>
    <row r="77" spans="1:29" customFormat="1">
      <c r="A77" s="7"/>
      <c r="B77" s="7" t="s">
        <v>86</v>
      </c>
      <c r="C77" s="50" t="s">
        <v>87</v>
      </c>
      <c r="D77" s="50" t="s">
        <v>88</v>
      </c>
      <c r="E77" s="35">
        <f>DSUM($B$57:$Y$63,E$57,$C$70:$D77)</f>
        <v>0</v>
      </c>
      <c r="F77" s="35">
        <f>DSUM($B$57:$Y$63,F$57,$C$70:$D77)</f>
        <v>0</v>
      </c>
      <c r="G77" s="35">
        <f>DSUM($B$57:$Y$63,G$57,$C$70:$D77)</f>
        <v>0</v>
      </c>
      <c r="H77" s="35">
        <f>DSUM($B$57:$Y$63,H$57,$C$70:$D77)</f>
        <v>0</v>
      </c>
      <c r="I77" s="35">
        <f>DSUM($B$57:$Y$63,I$57,$C$70:$D77)</f>
        <v>0</v>
      </c>
      <c r="J77" s="35">
        <f>DSUM($B$57:$Y$63,J$57,$C$70:$D77)</f>
        <v>0</v>
      </c>
      <c r="K77" s="35">
        <f>DSUM($B$57:$Y$63,K$57,$C$70:$D77)</f>
        <v>0</v>
      </c>
      <c r="L77" s="35">
        <f>DSUM($B$57:$Y$63,L$57,$C$70:$D77)</f>
        <v>0</v>
      </c>
      <c r="M77" s="35">
        <f>DSUM($B$57:$Y$63,M$57,$C$70:$D77)</f>
        <v>0</v>
      </c>
      <c r="N77" s="35">
        <f>DSUM($B$57:$Y$63,N$57,$C$70:$D77)</f>
        <v>0</v>
      </c>
      <c r="O77" s="35">
        <f>DSUM($B$57:$Y$63,O$57,$C$70:$D77)</f>
        <v>0</v>
      </c>
      <c r="P77" s="35">
        <f>DSUM($B$57:$Y$63,P$57,$C$70:$D77)</f>
        <v>0</v>
      </c>
      <c r="Q77" s="35">
        <f>DSUM($B$57:$Y$63,Q$57,$C$70:$D77)</f>
        <v>0</v>
      </c>
      <c r="R77" s="35">
        <f>DSUM($B$57:$Y$63,R$57,$C$70:$D77)</f>
        <v>0</v>
      </c>
      <c r="S77" s="35">
        <f>DSUM($B$57:$Y$63,S$57,$C$70:$D77)</f>
        <v>0</v>
      </c>
      <c r="T77" s="35">
        <f>DSUM($B$57:$Y$63,T$57,$C$70:$D77)</f>
        <v>0</v>
      </c>
      <c r="U77" s="35">
        <f>DSUM($B$57:$Y$63,U$57,$C$70:$D77)</f>
        <v>0</v>
      </c>
      <c r="V77" s="35">
        <f>DSUM($B$57:$Y$63,V$57,$C$70:$D77)</f>
        <v>0</v>
      </c>
      <c r="W77" s="35">
        <f>DSUM($B$57:$Y$63,W$57,$C$70:$D77)</f>
        <v>0</v>
      </c>
      <c r="X77" s="35">
        <f>DSUM($B$57:$Y$63,X$57,$C$70:$D77)</f>
        <v>0</v>
      </c>
      <c r="Y77" s="35">
        <f>DSUM($B$57:$Y$63,Y$57,$C$70:$D77)</f>
        <v>0</v>
      </c>
      <c r="Z77" s="7"/>
      <c r="AA77" s="7"/>
      <c r="AB77" s="7"/>
      <c r="AC77" s="7"/>
    </row>
    <row r="78" spans="1:29" customFormat="1">
      <c r="A78" s="7"/>
      <c r="B78" s="7" t="s">
        <v>89</v>
      </c>
      <c r="C78" s="50" t="s">
        <v>90</v>
      </c>
      <c r="D78" s="50" t="s">
        <v>91</v>
      </c>
      <c r="E78" s="35">
        <f>DSUM($B$57:$Y$63,E$57,$C$70:$D78)</f>
        <v>0</v>
      </c>
      <c r="F78" s="35">
        <f>DSUM($B$57:$Y$63,F$57,$C$70:$D78)</f>
        <v>0</v>
      </c>
      <c r="G78" s="35">
        <f>DSUM($B$57:$Y$63,G$57,$C$70:$D78)</f>
        <v>0</v>
      </c>
      <c r="H78" s="35">
        <f>DSUM($B$57:$Y$63,H$57,$C$70:$D78)</f>
        <v>0</v>
      </c>
      <c r="I78" s="35">
        <f>DSUM($B$57:$Y$63,I$57,$C$70:$D78)</f>
        <v>0</v>
      </c>
      <c r="J78" s="35">
        <f>DSUM($B$57:$Y$63,J$57,$C$70:$D78)</f>
        <v>0</v>
      </c>
      <c r="K78" s="35">
        <f>DSUM($B$57:$Y$63,K$57,$C$70:$D78)</f>
        <v>0</v>
      </c>
      <c r="L78" s="35">
        <f>DSUM($B$57:$Y$63,L$57,$C$70:$D78)</f>
        <v>0</v>
      </c>
      <c r="M78" s="35">
        <f>DSUM($B$57:$Y$63,M$57,$C$70:$D78)</f>
        <v>0</v>
      </c>
      <c r="N78" s="35">
        <f>DSUM($B$57:$Y$63,N$57,$C$70:$D78)</f>
        <v>0</v>
      </c>
      <c r="O78" s="35">
        <f>DSUM($B$57:$Y$63,O$57,$C$70:$D78)</f>
        <v>0</v>
      </c>
      <c r="P78" s="35">
        <f>DSUM($B$57:$Y$63,P$57,$C$70:$D78)</f>
        <v>0</v>
      </c>
      <c r="Q78" s="35">
        <f>DSUM($B$57:$Y$63,Q$57,$C$70:$D78)</f>
        <v>0</v>
      </c>
      <c r="R78" s="35">
        <f>DSUM($B$57:$Y$63,R$57,$C$70:$D78)</f>
        <v>0</v>
      </c>
      <c r="S78" s="35">
        <f>DSUM($B$57:$Y$63,S$57,$C$70:$D78)</f>
        <v>0</v>
      </c>
      <c r="T78" s="35">
        <f>DSUM($B$57:$Y$63,T$57,$C$70:$D78)</f>
        <v>0</v>
      </c>
      <c r="U78" s="35">
        <f>DSUM($B$57:$Y$63,U$57,$C$70:$D78)</f>
        <v>0</v>
      </c>
      <c r="V78" s="35">
        <f>DSUM($B$57:$Y$63,V$57,$C$70:$D78)</f>
        <v>0</v>
      </c>
      <c r="W78" s="35">
        <f>DSUM($B$57:$Y$63,W$57,$C$70:$D78)</f>
        <v>0</v>
      </c>
      <c r="X78" s="35">
        <f>DSUM($B$57:$Y$63,X$57,$C$70:$D78)</f>
        <v>0</v>
      </c>
      <c r="Y78" s="35">
        <f>DSUM($B$57:$Y$63,Y$57,$C$70:$D78)</f>
        <v>0</v>
      </c>
      <c r="Z78" s="7"/>
      <c r="AA78" s="7"/>
      <c r="AB78" s="7"/>
      <c r="AC78" s="7"/>
    </row>
    <row r="79" spans="1:29" customFormat="1">
      <c r="A79" s="7"/>
      <c r="B79" s="7" t="s">
        <v>92</v>
      </c>
      <c r="C79" s="50" t="s">
        <v>93</v>
      </c>
      <c r="D79" s="50" t="s">
        <v>94</v>
      </c>
      <c r="E79" s="35">
        <f>DSUM($B$57:$Y$63,E$57,$C$70:$D79)</f>
        <v>1.7277601163127911E-2</v>
      </c>
      <c r="F79" s="35">
        <f>DSUM($B$57:$Y$63,F$57,$C$70:$D79)</f>
        <v>3.8404333604281658E-2</v>
      </c>
      <c r="G79" s="35">
        <f>DSUM($B$57:$Y$63,G$57,$C$70:$D79)</f>
        <v>6.4159258812682599E-2</v>
      </c>
      <c r="H79" s="35">
        <f>DSUM($B$57:$Y$63,H$57,$C$70:$D79)</f>
        <v>9.3944091480769737E-2</v>
      </c>
      <c r="I79" s="35">
        <f>DSUM($B$57:$Y$63,I$57,$C$70:$D79)</f>
        <v>0.12779279470501453</v>
      </c>
      <c r="J79" s="35">
        <f>DSUM($B$57:$Y$63,J$57,$C$70:$D79)</f>
        <v>0.16723478387045485</v>
      </c>
      <c r="K79" s="35">
        <f>DSUM($B$57:$Y$63,K$57,$C$70:$D79)</f>
        <v>0.21034287112597164</v>
      </c>
      <c r="L79" s="35">
        <f>DSUM($B$57:$Y$63,L$57,$C$70:$D79)</f>
        <v>0.25419024826418107</v>
      </c>
      <c r="M79" s="35">
        <f>DSUM($B$57:$Y$63,M$57,$C$70:$D79)</f>
        <v>0.29528919664208342</v>
      </c>
      <c r="N79" s="35">
        <f>DSUM($B$57:$Y$63,N$57,$C$70:$D79)</f>
        <v>0.33036149917472574</v>
      </c>
      <c r="O79" s="35">
        <f>DSUM($B$57:$Y$63,O$57,$C$70:$D79)</f>
        <v>0.35720783064304246</v>
      </c>
      <c r="P79" s="35">
        <f>DSUM($B$57:$Y$63,P$57,$C$70:$D79)</f>
        <v>0.3752925656153851</v>
      </c>
      <c r="Q79" s="35">
        <f>DSUM($B$57:$Y$63,Q$57,$C$70:$D79)</f>
        <v>0.38572211777334053</v>
      </c>
      <c r="R79" s="35">
        <f>DSUM($B$57:$Y$63,R$57,$C$70:$D79)</f>
        <v>0.39060960425341912</v>
      </c>
      <c r="S79" s="35">
        <f>DSUM($B$57:$Y$63,S$57,$C$70:$D79)</f>
        <v>0.39218968548040689</v>
      </c>
      <c r="T79" s="35">
        <f>DSUM($B$57:$Y$63,T$57,$C$70:$D79)</f>
        <v>0.48000388055399057</v>
      </c>
      <c r="U79" s="35">
        <f>DSUM($B$57:$Y$63,U$57,$C$70:$D79)</f>
        <v>0.47215163171882069</v>
      </c>
      <c r="V79" s="35">
        <f>DSUM($B$57:$Y$63,V$57,$C$70:$D79)</f>
        <v>0.46313030251307291</v>
      </c>
      <c r="W79" s="35">
        <f>DSUM($B$57:$Y$63,W$57,$C$70:$D79)</f>
        <v>0.45541640841358361</v>
      </c>
      <c r="X79" s="35">
        <f>DSUM($B$57:$Y$63,X$57,$C$70:$D79)</f>
        <v>0.44779626336406009</v>
      </c>
      <c r="Y79" s="35">
        <f>DSUM($B$57:$Y$63,Y$57,$C$70:$D79)</f>
        <v>6.133935322643989</v>
      </c>
      <c r="Z79" s="7"/>
      <c r="AA79" s="7"/>
      <c r="AB79" s="7"/>
      <c r="AC79" s="7"/>
    </row>
    <row r="80" spans="1:29" customFormat="1">
      <c r="A80" s="7"/>
      <c r="B80" s="7" t="s">
        <v>95</v>
      </c>
      <c r="C80" s="50" t="s">
        <v>96</v>
      </c>
      <c r="D80" s="50" t="s">
        <v>97</v>
      </c>
      <c r="E80" s="35">
        <f>DSUM($B$57:$Y$63,E$57,$C$70:$D80)</f>
        <v>5.5716363590280156E-2</v>
      </c>
      <c r="F80" s="35">
        <f>DSUM($B$57:$Y$63,F$57,$C$70:$D80)</f>
        <v>0.12384530666820848</v>
      </c>
      <c r="G80" s="35">
        <f>DSUM($B$57:$Y$63,G$57,$C$70:$D80)</f>
        <v>0.20689912667501048</v>
      </c>
      <c r="H80" s="35">
        <f>DSUM($B$57:$Y$63,H$57,$C$70:$D80)</f>
        <v>0.30294848854778811</v>
      </c>
      <c r="I80" s="35">
        <f>DSUM($B$57:$Y$63,I$57,$C$70:$D80)</f>
        <v>0.41210291560599943</v>
      </c>
      <c r="J80" s="35">
        <f>DSUM($B$57:$Y$63,J$57,$C$70:$D80)</f>
        <v>0.53929442722367582</v>
      </c>
      <c r="K80" s="35">
        <f>DSUM($B$57:$Y$63,K$57,$C$70:$D80)</f>
        <v>0.67830827761487633</v>
      </c>
      <c r="L80" s="35">
        <f>DSUM($B$57:$Y$63,L$57,$C$70:$D80)</f>
        <v>0.81970617099409449</v>
      </c>
      <c r="M80" s="35">
        <f>DSUM($B$57:$Y$63,M$57,$C$70:$D80)</f>
        <v>0.95224100203812834</v>
      </c>
      <c r="N80" s="35">
        <f>DSUM($B$57:$Y$63,N$57,$C$70:$D80)</f>
        <v>1.0653412606566248</v>
      </c>
      <c r="O80" s="35">
        <f>DSUM($B$57:$Y$63,O$57,$C$70:$D80)</f>
        <v>1.1519146194829679</v>
      </c>
      <c r="P80" s="35">
        <f>DSUM($B$57:$Y$63,P$57,$C$70:$D80)</f>
        <v>1.2102338074095447</v>
      </c>
      <c r="Q80" s="35">
        <f>DSUM($B$57:$Y$63,Q$57,$C$70:$D80)</f>
        <v>1.2438667588030838</v>
      </c>
      <c r="R80" s="35">
        <f>DSUM($B$57:$Y$63,R$57,$C$70:$D80)</f>
        <v>1.2596277994241498</v>
      </c>
      <c r="S80" s="35">
        <f>DSUM($B$57:$Y$63,S$57,$C$70:$D80)</f>
        <v>1.2647232047014119</v>
      </c>
      <c r="T80" s="35">
        <f>DSUM($B$57:$Y$63,T$57,$C$70:$D80)</f>
        <v>1.5479041610687254</v>
      </c>
      <c r="U80" s="35">
        <f>DSUM($B$57:$Y$63,U$57,$C$70:$D80)</f>
        <v>1.5225824311033791</v>
      </c>
      <c r="V80" s="35">
        <f>DSUM($B$57:$Y$63,V$57,$C$70:$D80)</f>
        <v>1.4934906808453785</v>
      </c>
      <c r="W80" s="35">
        <f>DSUM($B$57:$Y$63,W$57,$C$70:$D80)</f>
        <v>1.4686151136710841</v>
      </c>
      <c r="X80" s="35">
        <f>DSUM($B$57:$Y$63,X$57,$C$70:$D80)</f>
        <v>1.4440418660204788</v>
      </c>
      <c r="Y80" s="35">
        <f>DSUM($B$57:$Y$63,Y$57,$C$70:$D80)</f>
        <v>19.780556771101153</v>
      </c>
      <c r="Z80" s="7"/>
      <c r="AA80" s="7"/>
      <c r="AB80" s="7"/>
      <c r="AC80" s="7"/>
    </row>
    <row r="81" spans="1:29" customFormat="1">
      <c r="A81" s="7"/>
      <c r="B81" s="7" t="s">
        <v>98</v>
      </c>
      <c r="C81" s="50" t="s">
        <v>99</v>
      </c>
      <c r="D81" s="50" t="s">
        <v>100</v>
      </c>
      <c r="E81" s="35">
        <f>DSUM($B$57:$Y$63,E$57,$C$70:$D81)</f>
        <v>5.5716363590280156E-2</v>
      </c>
      <c r="F81" s="35">
        <f>DSUM($B$57:$Y$63,F$57,$C$70:$D81)</f>
        <v>0.12384530666820848</v>
      </c>
      <c r="G81" s="35">
        <f>DSUM($B$57:$Y$63,G$57,$C$70:$D81)</f>
        <v>0.20689912667501048</v>
      </c>
      <c r="H81" s="35">
        <f>DSUM($B$57:$Y$63,H$57,$C$70:$D81)</f>
        <v>0.30294848854778811</v>
      </c>
      <c r="I81" s="35">
        <f>DSUM($B$57:$Y$63,I$57,$C$70:$D81)</f>
        <v>0.41210291560599943</v>
      </c>
      <c r="J81" s="35">
        <f>DSUM($B$57:$Y$63,J$57,$C$70:$D81)</f>
        <v>0.53929442722367582</v>
      </c>
      <c r="K81" s="35">
        <f>DSUM($B$57:$Y$63,K$57,$C$70:$D81)</f>
        <v>0.67830827761487633</v>
      </c>
      <c r="L81" s="35">
        <f>DSUM($B$57:$Y$63,L$57,$C$70:$D81)</f>
        <v>0.81970617099409449</v>
      </c>
      <c r="M81" s="35">
        <f>DSUM($B$57:$Y$63,M$57,$C$70:$D81)</f>
        <v>0.95224100203812834</v>
      </c>
      <c r="N81" s="35">
        <f>DSUM($B$57:$Y$63,N$57,$C$70:$D81)</f>
        <v>1.0653412606566248</v>
      </c>
      <c r="O81" s="35">
        <f>DSUM($B$57:$Y$63,O$57,$C$70:$D81)</f>
        <v>1.1519146194829679</v>
      </c>
      <c r="P81" s="35">
        <f>DSUM($B$57:$Y$63,P$57,$C$70:$D81)</f>
        <v>1.2102338074095447</v>
      </c>
      <c r="Q81" s="35">
        <f>DSUM($B$57:$Y$63,Q$57,$C$70:$D81)</f>
        <v>1.2438667588030838</v>
      </c>
      <c r="R81" s="35">
        <f>DSUM($B$57:$Y$63,R$57,$C$70:$D81)</f>
        <v>1.2596277994241498</v>
      </c>
      <c r="S81" s="35">
        <f>DSUM($B$57:$Y$63,S$57,$C$70:$D81)</f>
        <v>1.2647232047014119</v>
      </c>
      <c r="T81" s="35">
        <f>DSUM($B$57:$Y$63,T$57,$C$70:$D81)</f>
        <v>1.5479041610687254</v>
      </c>
      <c r="U81" s="35">
        <f>DSUM($B$57:$Y$63,U$57,$C$70:$D81)</f>
        <v>1.5225824311033791</v>
      </c>
      <c r="V81" s="35">
        <f>DSUM($B$57:$Y$63,V$57,$C$70:$D81)</f>
        <v>1.4934906808453785</v>
      </c>
      <c r="W81" s="35">
        <f>DSUM($B$57:$Y$63,W$57,$C$70:$D81)</f>
        <v>1.4686151136710841</v>
      </c>
      <c r="X81" s="35">
        <f>DSUM($B$57:$Y$63,X$57,$C$70:$D81)</f>
        <v>1.4440418660204788</v>
      </c>
      <c r="Y81" s="35">
        <f>DSUM($B$57:$Y$63,Y$57,$C$70:$D81)</f>
        <v>19.780556771101153</v>
      </c>
      <c r="Z81" s="7"/>
      <c r="AA81" s="7"/>
      <c r="AB81" s="7"/>
      <c r="AC81" s="7"/>
    </row>
    <row r="82" spans="1:29" customFormat="1">
      <c r="A82" s="7"/>
      <c r="B82" s="7" t="s">
        <v>101</v>
      </c>
      <c r="C82" s="50" t="s">
        <v>102</v>
      </c>
      <c r="D82" s="50" t="s">
        <v>103</v>
      </c>
      <c r="E82" s="35">
        <f>DSUM($B$57:$Y$63,E$57,$C$70:$D82)</f>
        <v>7.3374743215876975E-2</v>
      </c>
      <c r="F82" s="35">
        <f>DSUM($B$57:$Y$63,F$57,$C$70:$D82)</f>
        <v>0.16309602762475695</v>
      </c>
      <c r="G82" s="35">
        <f>DSUM($B$57:$Y$63,G$57,$C$70:$D82)</f>
        <v>0.27247238177648203</v>
      </c>
      <c r="H82" s="35">
        <f>DSUM($B$57:$Y$63,H$57,$C$70:$D82)</f>
        <v>0.39896299978037075</v>
      </c>
      <c r="I82" s="35">
        <f>DSUM($B$57:$Y$63,I$57,$C$70:$D82)</f>
        <v>0.54271211655994556</v>
      </c>
      <c r="J82" s="35">
        <f>DSUM($B$57:$Y$63,J$57,$C$70:$D82)</f>
        <v>0.71021487343071765</v>
      </c>
      <c r="K82" s="35">
        <f>DSUM($B$57:$Y$63,K$57,$C$70:$D82)</f>
        <v>0.89328686375142308</v>
      </c>
      <c r="L82" s="35">
        <f>DSUM($B$57:$Y$63,L$57,$C$70:$D82)</f>
        <v>1.0794984800417589</v>
      </c>
      <c r="M82" s="35">
        <f>DSUM($B$57:$Y$63,M$57,$C$70:$D82)</f>
        <v>1.254038033027089</v>
      </c>
      <c r="N82" s="35">
        <f>DSUM($B$57:$Y$63,N$57,$C$70:$D82)</f>
        <v>1.4029835473971113</v>
      </c>
      <c r="O82" s="35">
        <f>DSUM($B$57:$Y$63,O$57,$C$70:$D82)</f>
        <v>1.5169948999672758</v>
      </c>
      <c r="P82" s="35">
        <f>DSUM($B$57:$Y$63,P$57,$C$70:$D82)</f>
        <v>1.5937973896297122</v>
      </c>
      <c r="Q82" s="35">
        <f>DSUM($B$57:$Y$63,Q$57,$C$70:$D82)</f>
        <v>1.6380897485180357</v>
      </c>
      <c r="R82" s="35">
        <f>DSUM($B$57:$Y$63,R$57,$C$70:$D82)</f>
        <v>1.6588459902011787</v>
      </c>
      <c r="S82" s="35">
        <f>DSUM($B$57:$Y$63,S$57,$C$70:$D82)</f>
        <v>1.6655562998787676</v>
      </c>
      <c r="T82" s="35">
        <f>DSUM($B$57:$Y$63,T$57,$C$70:$D82)</f>
        <v>2.038486775203308</v>
      </c>
      <c r="U82" s="35">
        <f>DSUM($B$57:$Y$63,U$57,$C$70:$D82)</f>
        <v>2.005139741867608</v>
      </c>
      <c r="V82" s="35">
        <f>DSUM($B$57:$Y$63,V$57,$C$70:$D82)</f>
        <v>1.9668278426816102</v>
      </c>
      <c r="W82" s="35">
        <f>DSUM($B$57:$Y$63,W$57,$C$70:$D82)</f>
        <v>1.9340683760519255</v>
      </c>
      <c r="X82" s="35">
        <f>DSUM($B$57:$Y$63,X$57,$C$70:$D82)</f>
        <v>1.9017070441171569</v>
      </c>
      <c r="Y82" s="35">
        <f>DSUM($B$57:$Y$63,Y$57,$C$70:$D82)</f>
        <v>26.049676974967234</v>
      </c>
      <c r="Z82" s="7"/>
      <c r="AA82" s="7"/>
      <c r="AB82" s="7"/>
      <c r="AC82" s="7"/>
    </row>
    <row r="83" spans="1:29" customFormat="1">
      <c r="A83" s="7"/>
      <c r="B83" s="7" t="s">
        <v>104</v>
      </c>
      <c r="C83" s="50" t="s">
        <v>105</v>
      </c>
      <c r="D83" s="50" t="s">
        <v>106</v>
      </c>
      <c r="E83" s="35">
        <f>DSUM($B$57:$Y$63,E$57,$C$70:$D83)</f>
        <v>7.3374743215876975E-2</v>
      </c>
      <c r="F83" s="35">
        <f>DSUM($B$57:$Y$63,F$57,$C$70:$D83)</f>
        <v>0.16309602762475695</v>
      </c>
      <c r="G83" s="35">
        <f>DSUM($B$57:$Y$63,G$57,$C$70:$D83)</f>
        <v>0.27247238177648203</v>
      </c>
      <c r="H83" s="35">
        <f>DSUM($B$57:$Y$63,H$57,$C$70:$D83)</f>
        <v>0.39896299978037075</v>
      </c>
      <c r="I83" s="35">
        <f>DSUM($B$57:$Y$63,I$57,$C$70:$D83)</f>
        <v>0.54271211655994556</v>
      </c>
      <c r="J83" s="35">
        <f>DSUM($B$57:$Y$63,J$57,$C$70:$D83)</f>
        <v>0.71021487343071765</v>
      </c>
      <c r="K83" s="35">
        <f>DSUM($B$57:$Y$63,K$57,$C$70:$D83)</f>
        <v>0.89328686375142308</v>
      </c>
      <c r="L83" s="35">
        <f>DSUM($B$57:$Y$63,L$57,$C$70:$D83)</f>
        <v>1.0794984800417589</v>
      </c>
      <c r="M83" s="35">
        <f>DSUM($B$57:$Y$63,M$57,$C$70:$D83)</f>
        <v>1.254038033027089</v>
      </c>
      <c r="N83" s="35">
        <f>DSUM($B$57:$Y$63,N$57,$C$70:$D83)</f>
        <v>1.4029835473971113</v>
      </c>
      <c r="O83" s="35">
        <f>DSUM($B$57:$Y$63,O$57,$C$70:$D83)</f>
        <v>1.5169948999672758</v>
      </c>
      <c r="P83" s="35">
        <f>DSUM($B$57:$Y$63,P$57,$C$70:$D83)</f>
        <v>1.5937973896297122</v>
      </c>
      <c r="Q83" s="35">
        <f>DSUM($B$57:$Y$63,Q$57,$C$70:$D83)</f>
        <v>1.6380897485180357</v>
      </c>
      <c r="R83" s="35">
        <f>DSUM($B$57:$Y$63,R$57,$C$70:$D83)</f>
        <v>1.6588459902011787</v>
      </c>
      <c r="S83" s="35">
        <f>DSUM($B$57:$Y$63,S$57,$C$70:$D83)</f>
        <v>1.6655562998787676</v>
      </c>
      <c r="T83" s="35">
        <f>DSUM($B$57:$Y$63,T$57,$C$70:$D83)</f>
        <v>2.038486775203308</v>
      </c>
      <c r="U83" s="35">
        <f>DSUM($B$57:$Y$63,U$57,$C$70:$D83)</f>
        <v>2.005139741867608</v>
      </c>
      <c r="V83" s="35">
        <f>DSUM($B$57:$Y$63,V$57,$C$70:$D83)</f>
        <v>1.9668278426816102</v>
      </c>
      <c r="W83" s="35">
        <f>DSUM($B$57:$Y$63,W$57,$C$70:$D83)</f>
        <v>1.9340683760519255</v>
      </c>
      <c r="X83" s="35">
        <f>DSUM($B$57:$Y$63,X$57,$C$70:$D83)</f>
        <v>1.9017070441171569</v>
      </c>
      <c r="Y83" s="35">
        <f>DSUM($B$57:$Y$63,Y$57,$C$70:$D83)</f>
        <v>26.049676974967234</v>
      </c>
      <c r="Z83" s="7"/>
      <c r="AA83" s="7"/>
      <c r="AB83" s="7"/>
      <c r="AC83" s="7"/>
    </row>
    <row r="84" spans="1:29" customFormat="1">
      <c r="A84" s="7"/>
      <c r="B84" s="7" t="s">
        <v>107</v>
      </c>
      <c r="C84" s="50" t="s">
        <v>108</v>
      </c>
      <c r="D84" s="50" t="s">
        <v>109</v>
      </c>
      <c r="E84" s="35">
        <f>DSUM($B$57:$Y$63,E$57,$C$70:$D84)</f>
        <v>7.3374743215876975E-2</v>
      </c>
      <c r="F84" s="35">
        <f>DSUM($B$57:$Y$63,F$57,$C$70:$D84)</f>
        <v>0.16309602762475695</v>
      </c>
      <c r="G84" s="35">
        <f>DSUM($B$57:$Y$63,G$57,$C$70:$D84)</f>
        <v>0.27247238177648203</v>
      </c>
      <c r="H84" s="35">
        <f>DSUM($B$57:$Y$63,H$57,$C$70:$D84)</f>
        <v>0.39896299978037075</v>
      </c>
      <c r="I84" s="35">
        <f>DSUM($B$57:$Y$63,I$57,$C$70:$D84)</f>
        <v>0.54271211655994556</v>
      </c>
      <c r="J84" s="35">
        <f>DSUM($B$57:$Y$63,J$57,$C$70:$D84)</f>
        <v>0.71021487343071765</v>
      </c>
      <c r="K84" s="35">
        <f>DSUM($B$57:$Y$63,K$57,$C$70:$D84)</f>
        <v>0.89328686375142308</v>
      </c>
      <c r="L84" s="35">
        <f>DSUM($B$57:$Y$63,L$57,$C$70:$D84)</f>
        <v>1.0794984800417589</v>
      </c>
      <c r="M84" s="35">
        <f>DSUM($B$57:$Y$63,M$57,$C$70:$D84)</f>
        <v>1.254038033027089</v>
      </c>
      <c r="N84" s="35">
        <f>DSUM($B$57:$Y$63,N$57,$C$70:$D84)</f>
        <v>1.4029835473971113</v>
      </c>
      <c r="O84" s="35">
        <f>DSUM($B$57:$Y$63,O$57,$C$70:$D84)</f>
        <v>1.5169948999672758</v>
      </c>
      <c r="P84" s="35">
        <f>DSUM($B$57:$Y$63,P$57,$C$70:$D84)</f>
        <v>1.5937973896297122</v>
      </c>
      <c r="Q84" s="35">
        <f>DSUM($B$57:$Y$63,Q$57,$C$70:$D84)</f>
        <v>1.6380897485180357</v>
      </c>
      <c r="R84" s="35">
        <f>DSUM($B$57:$Y$63,R$57,$C$70:$D84)</f>
        <v>1.6588459902011787</v>
      </c>
      <c r="S84" s="35">
        <f>DSUM($B$57:$Y$63,S$57,$C$70:$D84)</f>
        <v>1.6655562998787676</v>
      </c>
      <c r="T84" s="35">
        <f>DSUM($B$57:$Y$63,T$57,$C$70:$D84)</f>
        <v>2.038486775203308</v>
      </c>
      <c r="U84" s="35">
        <f>DSUM($B$57:$Y$63,U$57,$C$70:$D84)</f>
        <v>2.005139741867608</v>
      </c>
      <c r="V84" s="35">
        <f>DSUM($B$57:$Y$63,V$57,$C$70:$D84)</f>
        <v>1.9668278426816102</v>
      </c>
      <c r="W84" s="35">
        <f>DSUM($B$57:$Y$63,W$57,$C$70:$D84)</f>
        <v>1.9340683760519255</v>
      </c>
      <c r="X84" s="35">
        <f>DSUM($B$57:$Y$63,X$57,$C$70:$D84)</f>
        <v>1.9017070441171569</v>
      </c>
      <c r="Y84" s="35">
        <f>DSUM($B$57:$Y$63,Y$57,$C$70:$D84)</f>
        <v>26.049676974967234</v>
      </c>
      <c r="Z84" s="7"/>
      <c r="AA84" s="7"/>
      <c r="AB84" s="7"/>
      <c r="AC84" s="7"/>
    </row>
    <row r="85" spans="1:29" customFormat="1">
      <c r="A85" s="7"/>
      <c r="B85" s="7" t="s">
        <v>110</v>
      </c>
      <c r="C85" s="50" t="s">
        <v>111</v>
      </c>
      <c r="D85" s="50" t="s">
        <v>112</v>
      </c>
      <c r="E85" s="35">
        <f>DSUM($B$57:$Y$63,E$57,$C$70:$D85)</f>
        <v>0.14568024826393772</v>
      </c>
      <c r="F85" s="35">
        <f>DSUM($B$57:$Y$63,F$57,$C$70:$D85)</f>
        <v>0.32381537234593583</v>
      </c>
      <c r="G85" s="35">
        <f>DSUM($B$57:$Y$63,G$57,$C$70:$D85)</f>
        <v>0.5409742165022704</v>
      </c>
      <c r="H85" s="35">
        <f>DSUM($B$57:$Y$63,H$57,$C$70:$D85)</f>
        <v>0.79211219431638713</v>
      </c>
      <c r="I85" s="35">
        <f>DSUM($B$57:$Y$63,I$57,$C$70:$D85)</f>
        <v>1.0775156738019396</v>
      </c>
      <c r="J85" s="35">
        <f>DSUM($B$57:$Y$63,J$57,$C$70:$D85)</f>
        <v>1.4100802884955139</v>
      </c>
      <c r="K85" s="35">
        <f>DSUM($B$57:$Y$63,K$57,$C$70:$D85)</f>
        <v>1.7735564906762482</v>
      </c>
      <c r="L85" s="35">
        <f>DSUM($B$57:$Y$63,L$57,$C$70:$D85)</f>
        <v>2.1432661932505175</v>
      </c>
      <c r="M85" s="35">
        <f>DSUM($B$57:$Y$63,M$57,$C$70:$D85)</f>
        <v>2.4898018579269925</v>
      </c>
      <c r="N85" s="35">
        <f>DSUM($B$57:$Y$63,N$57,$C$70:$D85)</f>
        <v>2.7855224091715192</v>
      </c>
      <c r="O85" s="35">
        <f>DSUM($B$57:$Y$63,O$57,$C$70:$D85)</f>
        <v>3.0118837076153544</v>
      </c>
      <c r="P85" s="35">
        <f>DSUM($B$57:$Y$63,P$57,$C$70:$D85)</f>
        <v>3.1643694986510256</v>
      </c>
      <c r="Q85" s="35">
        <f>DSUM($B$57:$Y$63,Q$57,$C$70:$D85)</f>
        <v>3.252308775250091</v>
      </c>
      <c r="R85" s="35">
        <f>DSUM($B$57:$Y$63,R$57,$C$70:$D85)</f>
        <v>3.2935187926062031</v>
      </c>
      <c r="S85" s="35">
        <f>DSUM($B$57:$Y$63,S$57,$C$70:$D85)</f>
        <v>3.306841627370789</v>
      </c>
      <c r="T85" s="35">
        <f>DSUM($B$57:$Y$63,T$57,$C$70:$D85)</f>
        <v>4.0472681263177952</v>
      </c>
      <c r="U85" s="35">
        <f>DSUM($B$57:$Y$63,U$57,$C$70:$D85)</f>
        <v>3.9810600023463381</v>
      </c>
      <c r="V85" s="35">
        <f>DSUM($B$57:$Y$63,V$57,$C$70:$D85)</f>
        <v>3.9049944961481313</v>
      </c>
      <c r="W85" s="35">
        <f>DSUM($B$57:$Y$63,W$57,$C$70:$D85)</f>
        <v>3.8399529433952218</v>
      </c>
      <c r="X85" s="35">
        <f>DSUM($B$57:$Y$63,X$57,$C$70:$D85)</f>
        <v>3.7757018582972002</v>
      </c>
      <c r="Y85" s="35">
        <f>DSUM($B$57:$Y$63,Y$57,$C$70:$D85)</f>
        <v>51.719750456141369</v>
      </c>
      <c r="Z85" s="7"/>
      <c r="AA85" s="7"/>
      <c r="AB85" s="7"/>
      <c r="AC85" s="7"/>
    </row>
    <row r="86" spans="1:29" customFormat="1">
      <c r="A86" s="7"/>
      <c r="B86" s="7" t="s">
        <v>113</v>
      </c>
      <c r="C86" s="50" t="s">
        <v>114</v>
      </c>
      <c r="D86" s="50" t="s">
        <v>115</v>
      </c>
      <c r="E86" s="35">
        <f>DSUM($B$57:$Y$63,E$57,$C$70:$D86)</f>
        <v>0.14568024826393772</v>
      </c>
      <c r="F86" s="35">
        <f>DSUM($B$57:$Y$63,F$57,$C$70:$D86)</f>
        <v>0.32381537234593583</v>
      </c>
      <c r="G86" s="35">
        <f>DSUM($B$57:$Y$63,G$57,$C$70:$D86)</f>
        <v>0.5409742165022704</v>
      </c>
      <c r="H86" s="35">
        <f>DSUM($B$57:$Y$63,H$57,$C$70:$D86)</f>
        <v>0.79211219431638713</v>
      </c>
      <c r="I86" s="35">
        <f>DSUM($B$57:$Y$63,I$57,$C$70:$D86)</f>
        <v>1.0775156738019396</v>
      </c>
      <c r="J86" s="35">
        <f>DSUM($B$57:$Y$63,J$57,$C$70:$D86)</f>
        <v>1.4100802884955139</v>
      </c>
      <c r="K86" s="35">
        <f>DSUM($B$57:$Y$63,K$57,$C$70:$D86)</f>
        <v>1.7735564906762482</v>
      </c>
      <c r="L86" s="35">
        <f>DSUM($B$57:$Y$63,L$57,$C$70:$D86)</f>
        <v>2.1432661932505175</v>
      </c>
      <c r="M86" s="35">
        <f>DSUM($B$57:$Y$63,M$57,$C$70:$D86)</f>
        <v>2.4898018579269925</v>
      </c>
      <c r="N86" s="35">
        <f>DSUM($B$57:$Y$63,N$57,$C$70:$D86)</f>
        <v>2.7855224091715192</v>
      </c>
      <c r="O86" s="35">
        <f>DSUM($B$57:$Y$63,O$57,$C$70:$D86)</f>
        <v>3.0118837076153544</v>
      </c>
      <c r="P86" s="35">
        <f>DSUM($B$57:$Y$63,P$57,$C$70:$D86)</f>
        <v>3.1643694986510256</v>
      </c>
      <c r="Q86" s="35">
        <f>DSUM($B$57:$Y$63,Q$57,$C$70:$D86)</f>
        <v>3.252308775250091</v>
      </c>
      <c r="R86" s="35">
        <f>DSUM($B$57:$Y$63,R$57,$C$70:$D86)</f>
        <v>3.2935187926062031</v>
      </c>
      <c r="S86" s="35">
        <f>DSUM($B$57:$Y$63,S$57,$C$70:$D86)</f>
        <v>3.306841627370789</v>
      </c>
      <c r="T86" s="35">
        <f>DSUM($B$57:$Y$63,T$57,$C$70:$D86)</f>
        <v>4.0472681263177952</v>
      </c>
      <c r="U86" s="35">
        <f>DSUM($B$57:$Y$63,U$57,$C$70:$D86)</f>
        <v>3.9810600023463381</v>
      </c>
      <c r="V86" s="35">
        <f>DSUM($B$57:$Y$63,V$57,$C$70:$D86)</f>
        <v>3.9049944961481313</v>
      </c>
      <c r="W86" s="35">
        <f>DSUM($B$57:$Y$63,W$57,$C$70:$D86)</f>
        <v>3.8399529433952218</v>
      </c>
      <c r="X86" s="35">
        <f>DSUM($B$57:$Y$63,X$57,$C$70:$D86)</f>
        <v>3.7757018582972002</v>
      </c>
      <c r="Y86" s="35">
        <f>DSUM($B$57:$Y$63,Y$57,$C$70:$D86)</f>
        <v>51.719750456141369</v>
      </c>
      <c r="Z86" s="7"/>
      <c r="AA86" s="7"/>
      <c r="AB86" s="7"/>
      <c r="AC86" s="7"/>
    </row>
    <row r="87" spans="1:29" customFormat="1">
      <c r="A87" s="7"/>
      <c r="B87" s="7" t="s">
        <v>116</v>
      </c>
      <c r="C87" s="50" t="s">
        <v>117</v>
      </c>
      <c r="D87" s="50" t="s">
        <v>118</v>
      </c>
      <c r="E87" s="35">
        <f>DSUM($B$57:$Y$63,E$57,$C$70:$D87)</f>
        <v>0.15533805758191471</v>
      </c>
      <c r="F87" s="35">
        <f>DSUM($B$57:$Y$63,F$57,$C$70:$D87)</f>
        <v>0.34528257299678017</v>
      </c>
      <c r="G87" s="35">
        <f>DSUM($B$57:$Y$63,G$57,$C$70:$D87)</f>
        <v>0.57683786920181246</v>
      </c>
      <c r="H87" s="35">
        <f>DSUM($B$57:$Y$63,H$57,$C$70:$D87)</f>
        <v>0.84462493109654357</v>
      </c>
      <c r="I87" s="35">
        <f>DSUM($B$57:$Y$63,I$57,$C$70:$D87)</f>
        <v>1.1489491113387609</v>
      </c>
      <c r="J87" s="35">
        <f>DSUM($B$57:$Y$63,J$57,$C$70:$D87)</f>
        <v>1.503560953936546</v>
      </c>
      <c r="K87" s="35">
        <f>DSUM($B$57:$Y$63,K$57,$C$70:$D87)</f>
        <v>1.8911336544011383</v>
      </c>
      <c r="L87" s="35">
        <f>DSUM($B$57:$Y$63,L$57,$C$70:$D87)</f>
        <v>2.2853531024832492</v>
      </c>
      <c r="M87" s="35">
        <f>DSUM($B$57:$Y$63,M$57,$C$70:$D87)</f>
        <v>2.6548621998055846</v>
      </c>
      <c r="N87" s="35">
        <f>DSUM($B$57:$Y$63,N$57,$C$70:$D87)</f>
        <v>2.9701874176357439</v>
      </c>
      <c r="O87" s="35">
        <f>DSUM($B$57:$Y$63,O$57,$C$70:$D87)</f>
        <v>3.2115552408720096</v>
      </c>
      <c r="P87" s="35">
        <f>DSUM($B$57:$Y$63,P$57,$C$70:$D87)</f>
        <v>3.3741500117527403</v>
      </c>
      <c r="Q87" s="35">
        <f>DSUM($B$57:$Y$63,Q$57,$C$70:$D87)</f>
        <v>3.4679191848207895</v>
      </c>
      <c r="R87" s="35">
        <f>DSUM($B$57:$Y$63,R$57,$C$70:$D87)</f>
        <v>3.5118612025294462</v>
      </c>
      <c r="S87" s="35">
        <f>DSUM($B$57:$Y$63,S$57,$C$70:$D87)</f>
        <v>3.526067268886953</v>
      </c>
      <c r="T87" s="35">
        <f>DSUM($B$57:$Y$63,T$57,$C$70:$D87)</f>
        <v>4.3155800236992823</v>
      </c>
      <c r="U87" s="35">
        <f>DSUM($B$57:$Y$63,U$57,$C$70:$D87)</f>
        <v>4.2449826606632488</v>
      </c>
      <c r="V87" s="35">
        <f>DSUM($B$57:$Y$63,V$57,$C$70:$D87)</f>
        <v>4.1638744244910599</v>
      </c>
      <c r="W87" s="35">
        <f>DSUM($B$57:$Y$63,W$57,$C$70:$D87)</f>
        <v>4.0945209700100955</v>
      </c>
      <c r="X87" s="35">
        <f>DSUM($B$57:$Y$63,X$57,$C$70:$D87)</f>
        <v>4.0260103868967665</v>
      </c>
      <c r="Y87" s="35">
        <f>DSUM($B$57:$Y$63,Y$57,$C$70:$D87)</f>
        <v>55.148489038284595</v>
      </c>
      <c r="Z87" s="7"/>
      <c r="AA87" s="7"/>
      <c r="AB87" s="7"/>
      <c r="AC87" s="7"/>
    </row>
    <row r="88" spans="1:29" customFormat="1">
      <c r="A88" s="7"/>
      <c r="B88" s="7" t="s">
        <v>119</v>
      </c>
      <c r="C88" s="50" t="s">
        <v>120</v>
      </c>
      <c r="D88" s="50" t="s">
        <v>121</v>
      </c>
      <c r="E88" s="35">
        <f>DSUM($B$57:$Y$63,E$57,$C$70:$D88)</f>
        <v>0.15533805758191471</v>
      </c>
      <c r="F88" s="35">
        <f>DSUM($B$57:$Y$63,F$57,$C$70:$D88)</f>
        <v>0.34528257299678017</v>
      </c>
      <c r="G88" s="35">
        <f>DSUM($B$57:$Y$63,G$57,$C$70:$D88)</f>
        <v>0.57683786920181246</v>
      </c>
      <c r="H88" s="35">
        <f>DSUM($B$57:$Y$63,H$57,$C$70:$D88)</f>
        <v>0.84462493109654357</v>
      </c>
      <c r="I88" s="35">
        <f>DSUM($B$57:$Y$63,I$57,$C$70:$D88)</f>
        <v>1.1489491113387609</v>
      </c>
      <c r="J88" s="35">
        <f>DSUM($B$57:$Y$63,J$57,$C$70:$D88)</f>
        <v>1.503560953936546</v>
      </c>
      <c r="K88" s="35">
        <f>DSUM($B$57:$Y$63,K$57,$C$70:$D88)</f>
        <v>1.8911336544011383</v>
      </c>
      <c r="L88" s="35">
        <f>DSUM($B$57:$Y$63,L$57,$C$70:$D88)</f>
        <v>2.2853531024832492</v>
      </c>
      <c r="M88" s="35">
        <f>DSUM($B$57:$Y$63,M$57,$C$70:$D88)</f>
        <v>2.6548621998055846</v>
      </c>
      <c r="N88" s="35">
        <f>DSUM($B$57:$Y$63,N$57,$C$70:$D88)</f>
        <v>2.9701874176357439</v>
      </c>
      <c r="O88" s="35">
        <f>DSUM($B$57:$Y$63,O$57,$C$70:$D88)</f>
        <v>3.2115552408720096</v>
      </c>
      <c r="P88" s="35">
        <f>DSUM($B$57:$Y$63,P$57,$C$70:$D88)</f>
        <v>3.3741500117527403</v>
      </c>
      <c r="Q88" s="35">
        <f>DSUM($B$57:$Y$63,Q$57,$C$70:$D88)</f>
        <v>3.4679191848207895</v>
      </c>
      <c r="R88" s="35">
        <f>DSUM($B$57:$Y$63,R$57,$C$70:$D88)</f>
        <v>3.5118612025294462</v>
      </c>
      <c r="S88" s="35">
        <f>DSUM($B$57:$Y$63,S$57,$C$70:$D88)</f>
        <v>3.526067268886953</v>
      </c>
      <c r="T88" s="35">
        <f>DSUM($B$57:$Y$63,T$57,$C$70:$D88)</f>
        <v>4.3155800236992823</v>
      </c>
      <c r="U88" s="35">
        <f>DSUM($B$57:$Y$63,U$57,$C$70:$D88)</f>
        <v>4.2449826606632488</v>
      </c>
      <c r="V88" s="35">
        <f>DSUM($B$57:$Y$63,V$57,$C$70:$D88)</f>
        <v>4.1638744244910599</v>
      </c>
      <c r="W88" s="35">
        <f>DSUM($B$57:$Y$63,W$57,$C$70:$D88)</f>
        <v>4.0945209700100955</v>
      </c>
      <c r="X88" s="35">
        <f>DSUM($B$57:$Y$63,X$57,$C$70:$D88)</f>
        <v>4.0260103868967665</v>
      </c>
      <c r="Y88" s="35">
        <f>DSUM($B$57:$Y$63,Y$57,$C$70:$D88)</f>
        <v>55.148489038284595</v>
      </c>
      <c r="Z88" s="7"/>
      <c r="AA88" s="7"/>
      <c r="AB88" s="7"/>
      <c r="AC88" s="7"/>
    </row>
    <row r="89" spans="1:29" customFormat="1">
      <c r="A89" s="7"/>
      <c r="B89" s="7" t="s">
        <v>122</v>
      </c>
      <c r="C89" s="50" t="s">
        <v>123</v>
      </c>
      <c r="D89" s="50" t="s">
        <v>124</v>
      </c>
      <c r="E89" s="35">
        <f>DSUM($B$57:$Y$63,E$57,$C$70:$D89)</f>
        <v>0.15533805758191471</v>
      </c>
      <c r="F89" s="35">
        <f>DSUM($B$57:$Y$63,F$57,$C$70:$D89)</f>
        <v>0.34528257299678017</v>
      </c>
      <c r="G89" s="35">
        <f>DSUM($B$57:$Y$63,G$57,$C$70:$D89)</f>
        <v>0.57683786920181246</v>
      </c>
      <c r="H89" s="35">
        <f>DSUM($B$57:$Y$63,H$57,$C$70:$D89)</f>
        <v>0.84462493109654357</v>
      </c>
      <c r="I89" s="35">
        <f>DSUM($B$57:$Y$63,I$57,$C$70:$D89)</f>
        <v>1.1489491113387609</v>
      </c>
      <c r="J89" s="35">
        <f>DSUM($B$57:$Y$63,J$57,$C$70:$D89)</f>
        <v>1.503560953936546</v>
      </c>
      <c r="K89" s="35">
        <f>DSUM($B$57:$Y$63,K$57,$C$70:$D89)</f>
        <v>1.8911336544011383</v>
      </c>
      <c r="L89" s="35">
        <f>DSUM($B$57:$Y$63,L$57,$C$70:$D89)</f>
        <v>2.2853531024832492</v>
      </c>
      <c r="M89" s="35">
        <f>DSUM($B$57:$Y$63,M$57,$C$70:$D89)</f>
        <v>2.6548621998055846</v>
      </c>
      <c r="N89" s="35">
        <f>DSUM($B$57:$Y$63,N$57,$C$70:$D89)</f>
        <v>2.9701874176357439</v>
      </c>
      <c r="O89" s="35">
        <f>DSUM($B$57:$Y$63,O$57,$C$70:$D89)</f>
        <v>3.2115552408720096</v>
      </c>
      <c r="P89" s="35">
        <f>DSUM($B$57:$Y$63,P$57,$C$70:$D89)</f>
        <v>3.3741500117527403</v>
      </c>
      <c r="Q89" s="35">
        <f>DSUM($B$57:$Y$63,Q$57,$C$70:$D89)</f>
        <v>3.4679191848207895</v>
      </c>
      <c r="R89" s="35">
        <f>DSUM($B$57:$Y$63,R$57,$C$70:$D89)</f>
        <v>3.5118612025294462</v>
      </c>
      <c r="S89" s="35">
        <f>DSUM($B$57:$Y$63,S$57,$C$70:$D89)</f>
        <v>3.526067268886953</v>
      </c>
      <c r="T89" s="35">
        <f>DSUM($B$57:$Y$63,T$57,$C$70:$D89)</f>
        <v>4.3155800236992823</v>
      </c>
      <c r="U89" s="35">
        <f>DSUM($B$57:$Y$63,U$57,$C$70:$D89)</f>
        <v>4.2449826606632488</v>
      </c>
      <c r="V89" s="35">
        <f>DSUM($B$57:$Y$63,V$57,$C$70:$D89)</f>
        <v>4.1638744244910599</v>
      </c>
      <c r="W89" s="35">
        <f>DSUM($B$57:$Y$63,W$57,$C$70:$D89)</f>
        <v>4.0945209700100955</v>
      </c>
      <c r="X89" s="35">
        <f>DSUM($B$57:$Y$63,X$57,$C$70:$D89)</f>
        <v>4.0260103868967665</v>
      </c>
      <c r="Y89" s="35">
        <f>DSUM($B$57:$Y$63,Y$57,$C$70:$D89)</f>
        <v>55.148489038284595</v>
      </c>
      <c r="Z89" s="7"/>
      <c r="AA89" s="7"/>
      <c r="AB89" s="7"/>
      <c r="AC89" s="7"/>
    </row>
    <row r="90" spans="1:29" customFormat="1">
      <c r="A90" s="7"/>
      <c r="B90" s="7" t="s">
        <v>125</v>
      </c>
      <c r="C90" s="50" t="s">
        <v>126</v>
      </c>
      <c r="D90" s="50" t="s">
        <v>127</v>
      </c>
      <c r="E90" s="35">
        <f>DSUM($B$57:$Y$63,E$57,$C$70:$D90)</f>
        <v>0.15533805758191471</v>
      </c>
      <c r="F90" s="35">
        <f>DSUM($B$57:$Y$63,F$57,$C$70:$D90)</f>
        <v>0.34528257299678017</v>
      </c>
      <c r="G90" s="35">
        <f>DSUM($B$57:$Y$63,G$57,$C$70:$D90)</f>
        <v>0.57683786920181246</v>
      </c>
      <c r="H90" s="35">
        <f>DSUM($B$57:$Y$63,H$57,$C$70:$D90)</f>
        <v>0.84462493109654357</v>
      </c>
      <c r="I90" s="35">
        <f>DSUM($B$57:$Y$63,I$57,$C$70:$D90)</f>
        <v>1.1489491113387609</v>
      </c>
      <c r="J90" s="35">
        <f>DSUM($B$57:$Y$63,J$57,$C$70:$D90)</f>
        <v>1.503560953936546</v>
      </c>
      <c r="K90" s="35">
        <f>DSUM($B$57:$Y$63,K$57,$C$70:$D90)</f>
        <v>1.8911336544011383</v>
      </c>
      <c r="L90" s="35">
        <f>DSUM($B$57:$Y$63,L$57,$C$70:$D90)</f>
        <v>2.2853531024832492</v>
      </c>
      <c r="M90" s="35">
        <f>DSUM($B$57:$Y$63,M$57,$C$70:$D90)</f>
        <v>2.6548621998055846</v>
      </c>
      <c r="N90" s="35">
        <f>DSUM($B$57:$Y$63,N$57,$C$70:$D90)</f>
        <v>2.9701874176357439</v>
      </c>
      <c r="O90" s="35">
        <f>DSUM($B$57:$Y$63,O$57,$C$70:$D90)</f>
        <v>3.2115552408720096</v>
      </c>
      <c r="P90" s="35">
        <f>DSUM($B$57:$Y$63,P$57,$C$70:$D90)</f>
        <v>3.3741500117527403</v>
      </c>
      <c r="Q90" s="35">
        <f>DSUM($B$57:$Y$63,Q$57,$C$70:$D90)</f>
        <v>3.4679191848207895</v>
      </c>
      <c r="R90" s="35">
        <f>DSUM($B$57:$Y$63,R$57,$C$70:$D90)</f>
        <v>3.5118612025294462</v>
      </c>
      <c r="S90" s="35">
        <f>DSUM($B$57:$Y$63,S$57,$C$70:$D90)</f>
        <v>3.526067268886953</v>
      </c>
      <c r="T90" s="35">
        <f>DSUM($B$57:$Y$63,T$57,$C$70:$D90)</f>
        <v>4.3155800236992823</v>
      </c>
      <c r="U90" s="35">
        <f>DSUM($B$57:$Y$63,U$57,$C$70:$D90)</f>
        <v>4.2449826606632488</v>
      </c>
      <c r="V90" s="35">
        <f>DSUM($B$57:$Y$63,V$57,$C$70:$D90)</f>
        <v>4.1638744244910599</v>
      </c>
      <c r="W90" s="35">
        <f>DSUM($B$57:$Y$63,W$57,$C$70:$D90)</f>
        <v>4.0945209700100955</v>
      </c>
      <c r="X90" s="35">
        <f>DSUM($B$57:$Y$63,X$57,$C$70:$D90)</f>
        <v>4.0260103868967665</v>
      </c>
      <c r="Y90" s="35">
        <f>DSUM($B$57:$Y$63,Y$57,$C$70:$D90)</f>
        <v>55.148489038284595</v>
      </c>
      <c r="Z90" s="7"/>
      <c r="AA90" s="7"/>
      <c r="AB90" s="7"/>
      <c r="AC90" s="7"/>
    </row>
    <row r="91" spans="1:29" customFormat="1">
      <c r="A91" s="7"/>
      <c r="B91" s="7" t="s">
        <v>128</v>
      </c>
      <c r="C91" s="50" t="s">
        <v>129</v>
      </c>
      <c r="D91" s="50" t="s">
        <v>130</v>
      </c>
      <c r="E91" s="35">
        <f>DSUM($B$57:$Y$63,E$57,$C$70:$D91)</f>
        <v>0.15533805758191471</v>
      </c>
      <c r="F91" s="35">
        <f>DSUM($B$57:$Y$63,F$57,$C$70:$D91)</f>
        <v>0.34528257299678017</v>
      </c>
      <c r="G91" s="35">
        <f>DSUM($B$57:$Y$63,G$57,$C$70:$D91)</f>
        <v>0.57683786920181246</v>
      </c>
      <c r="H91" s="35">
        <f>DSUM($B$57:$Y$63,H$57,$C$70:$D91)</f>
        <v>0.84462493109654357</v>
      </c>
      <c r="I91" s="35">
        <f>DSUM($B$57:$Y$63,I$57,$C$70:$D91)</f>
        <v>1.1489491113387609</v>
      </c>
      <c r="J91" s="35">
        <f>DSUM($B$57:$Y$63,J$57,$C$70:$D91)</f>
        <v>1.503560953936546</v>
      </c>
      <c r="K91" s="35">
        <f>DSUM($B$57:$Y$63,K$57,$C$70:$D91)</f>
        <v>1.8911336544011383</v>
      </c>
      <c r="L91" s="35">
        <f>DSUM($B$57:$Y$63,L$57,$C$70:$D91)</f>
        <v>2.2853531024832492</v>
      </c>
      <c r="M91" s="35">
        <f>DSUM($B$57:$Y$63,M$57,$C$70:$D91)</f>
        <v>2.6548621998055846</v>
      </c>
      <c r="N91" s="35">
        <f>DSUM($B$57:$Y$63,N$57,$C$70:$D91)</f>
        <v>2.9701874176357439</v>
      </c>
      <c r="O91" s="35">
        <f>DSUM($B$57:$Y$63,O$57,$C$70:$D91)</f>
        <v>3.2115552408720096</v>
      </c>
      <c r="P91" s="35">
        <f>DSUM($B$57:$Y$63,P$57,$C$70:$D91)</f>
        <v>3.3741500117527403</v>
      </c>
      <c r="Q91" s="35">
        <f>DSUM($B$57:$Y$63,Q$57,$C$70:$D91)</f>
        <v>3.4679191848207895</v>
      </c>
      <c r="R91" s="35">
        <f>DSUM($B$57:$Y$63,R$57,$C$70:$D91)</f>
        <v>3.5118612025294462</v>
      </c>
      <c r="S91" s="35">
        <f>DSUM($B$57:$Y$63,S$57,$C$70:$D91)</f>
        <v>3.526067268886953</v>
      </c>
      <c r="T91" s="35">
        <f>DSUM($B$57:$Y$63,T$57,$C$70:$D91)</f>
        <v>4.3155800236992823</v>
      </c>
      <c r="U91" s="35">
        <f>DSUM($B$57:$Y$63,U$57,$C$70:$D91)</f>
        <v>4.2449826606632488</v>
      </c>
      <c r="V91" s="35">
        <f>DSUM($B$57:$Y$63,V$57,$C$70:$D91)</f>
        <v>4.1638744244910599</v>
      </c>
      <c r="W91" s="35">
        <f>DSUM($B$57:$Y$63,W$57,$C$70:$D91)</f>
        <v>4.0945209700100955</v>
      </c>
      <c r="X91" s="35">
        <f>DSUM($B$57:$Y$63,X$57,$C$70:$D91)</f>
        <v>4.0260103868967665</v>
      </c>
      <c r="Y91" s="35">
        <f>DSUM($B$57:$Y$63,Y$57,$C$70:$D91)</f>
        <v>55.148489038284595</v>
      </c>
      <c r="Z91" s="7"/>
      <c r="AA91" s="7"/>
      <c r="AB91" s="7"/>
      <c r="AC91" s="7"/>
    </row>
    <row r="92" spans="1:29" customFormat="1">
      <c r="A92" s="7"/>
      <c r="B92" s="7" t="s">
        <v>372</v>
      </c>
      <c r="C92" s="50" t="s">
        <v>132</v>
      </c>
      <c r="D92" s="50" t="s">
        <v>362</v>
      </c>
      <c r="E92" s="35">
        <f>DSUM($B$57:$Y$63,E$57,$C$70:$D92)</f>
        <v>0.15533805758191471</v>
      </c>
      <c r="F92" s="35">
        <f>DSUM($B$57:$Y$63,F$57,$C$70:$D92)</f>
        <v>0.34528257299678017</v>
      </c>
      <c r="G92" s="35">
        <f>DSUM($B$57:$Y$63,G$57,$C$70:$D92)</f>
        <v>0.57683786920181246</v>
      </c>
      <c r="H92" s="35">
        <f>DSUM($B$57:$Y$63,H$57,$C$70:$D92)</f>
        <v>0.84462493109654357</v>
      </c>
      <c r="I92" s="35">
        <f>DSUM($B$57:$Y$63,I$57,$C$70:$D92)</f>
        <v>1.1489491113387609</v>
      </c>
      <c r="J92" s="35">
        <f>DSUM($B$57:$Y$63,J$57,$C$70:$D92)</f>
        <v>1.503560953936546</v>
      </c>
      <c r="K92" s="35">
        <f>DSUM($B$57:$Y$63,K$57,$C$70:$D92)</f>
        <v>1.8911336544011383</v>
      </c>
      <c r="L92" s="35">
        <f>DSUM($B$57:$Y$63,L$57,$C$70:$D92)</f>
        <v>2.2853531024832492</v>
      </c>
      <c r="M92" s="35">
        <f>DSUM($B$57:$Y$63,M$57,$C$70:$D92)</f>
        <v>2.6548621998055846</v>
      </c>
      <c r="N92" s="35">
        <f>DSUM($B$57:$Y$63,N$57,$C$70:$D92)</f>
        <v>2.9701874176357439</v>
      </c>
      <c r="O92" s="35">
        <f>DSUM($B$57:$Y$63,O$57,$C$70:$D92)</f>
        <v>3.2115552408720096</v>
      </c>
      <c r="P92" s="35">
        <f>DSUM($B$57:$Y$63,P$57,$C$70:$D92)</f>
        <v>3.3741500117527403</v>
      </c>
      <c r="Q92" s="35">
        <f>DSUM($B$57:$Y$63,Q$57,$C$70:$D92)</f>
        <v>3.4679191848207895</v>
      </c>
      <c r="R92" s="35">
        <f>DSUM($B$57:$Y$63,R$57,$C$70:$D92)</f>
        <v>3.5118612025294462</v>
      </c>
      <c r="S92" s="35">
        <f>DSUM($B$57:$Y$63,S$57,$C$70:$D92)</f>
        <v>3.526067268886953</v>
      </c>
      <c r="T92" s="35">
        <f>DSUM($B$57:$Y$63,T$57,$C$70:$D92)</f>
        <v>4.3155800236992823</v>
      </c>
      <c r="U92" s="35">
        <f>DSUM($B$57:$Y$63,U$57,$C$70:$D92)</f>
        <v>4.2449826606632488</v>
      </c>
      <c r="V92" s="35">
        <f>DSUM($B$57:$Y$63,V$57,$C$70:$D92)</f>
        <v>4.1638744244910599</v>
      </c>
      <c r="W92" s="35">
        <f>DSUM($B$57:$Y$63,W$57,$C$70:$D92)</f>
        <v>4.0945209700100955</v>
      </c>
      <c r="X92" s="35">
        <f>DSUM($B$57:$Y$63,X$57,$C$70:$D92)</f>
        <v>4.0260103868967665</v>
      </c>
      <c r="Y92" s="35">
        <f>DSUM($B$57:$Y$63,Y$57,$C$70:$D92)</f>
        <v>55.148489038284595</v>
      </c>
      <c r="Z92" s="7"/>
      <c r="AA92" s="7"/>
      <c r="AB92" s="7"/>
      <c r="AC92" s="7"/>
    </row>
    <row r="93" spans="1:29" customFormat="1">
      <c r="A93" s="7"/>
      <c r="B93" s="7" t="s">
        <v>373</v>
      </c>
      <c r="C93" s="50" t="s">
        <v>352</v>
      </c>
      <c r="D93" s="50" t="s">
        <v>363</v>
      </c>
      <c r="E93" s="35">
        <f>DSUM($B$57:$Y$63,E$57,$C$70:$D93)</f>
        <v>0.15533805758191471</v>
      </c>
      <c r="F93" s="35">
        <f>DSUM($B$57:$Y$63,F$57,$C$70:$D93)</f>
        <v>0.34528257299678017</v>
      </c>
      <c r="G93" s="35">
        <f>DSUM($B$57:$Y$63,G$57,$C$70:$D93)</f>
        <v>0.57683786920181246</v>
      </c>
      <c r="H93" s="35">
        <f>DSUM($B$57:$Y$63,H$57,$C$70:$D93)</f>
        <v>0.84462493109654357</v>
      </c>
      <c r="I93" s="35">
        <f>DSUM($B$57:$Y$63,I$57,$C$70:$D93)</f>
        <v>1.1489491113387609</v>
      </c>
      <c r="J93" s="35">
        <f>DSUM($B$57:$Y$63,J$57,$C$70:$D93)</f>
        <v>1.503560953936546</v>
      </c>
      <c r="K93" s="35">
        <f>DSUM($B$57:$Y$63,K$57,$C$70:$D93)</f>
        <v>1.8911336544011383</v>
      </c>
      <c r="L93" s="35">
        <f>DSUM($B$57:$Y$63,L$57,$C$70:$D93)</f>
        <v>2.2853531024832492</v>
      </c>
      <c r="M93" s="35">
        <f>DSUM($B$57:$Y$63,M$57,$C$70:$D93)</f>
        <v>2.6548621998055846</v>
      </c>
      <c r="N93" s="35">
        <f>DSUM($B$57:$Y$63,N$57,$C$70:$D93)</f>
        <v>2.9701874176357439</v>
      </c>
      <c r="O93" s="35">
        <f>DSUM($B$57:$Y$63,O$57,$C$70:$D93)</f>
        <v>3.2115552408720096</v>
      </c>
      <c r="P93" s="35">
        <f>DSUM($B$57:$Y$63,P$57,$C$70:$D93)</f>
        <v>3.3741500117527403</v>
      </c>
      <c r="Q93" s="35">
        <f>DSUM($B$57:$Y$63,Q$57,$C$70:$D93)</f>
        <v>3.4679191848207895</v>
      </c>
      <c r="R93" s="35">
        <f>DSUM($B$57:$Y$63,R$57,$C$70:$D93)</f>
        <v>3.5118612025294462</v>
      </c>
      <c r="S93" s="35">
        <f>DSUM($B$57:$Y$63,S$57,$C$70:$D93)</f>
        <v>3.526067268886953</v>
      </c>
      <c r="T93" s="35">
        <f>DSUM($B$57:$Y$63,T$57,$C$70:$D93)</f>
        <v>4.3155800236992823</v>
      </c>
      <c r="U93" s="35">
        <f>DSUM($B$57:$Y$63,U$57,$C$70:$D93)</f>
        <v>4.2449826606632488</v>
      </c>
      <c r="V93" s="35">
        <f>DSUM($B$57:$Y$63,V$57,$C$70:$D93)</f>
        <v>4.1638744244910599</v>
      </c>
      <c r="W93" s="35">
        <f>DSUM($B$57:$Y$63,W$57,$C$70:$D93)</f>
        <v>4.0945209700100955</v>
      </c>
      <c r="X93" s="35">
        <f>DSUM($B$57:$Y$63,X$57,$C$70:$D93)</f>
        <v>4.0260103868967665</v>
      </c>
      <c r="Y93" s="35">
        <f>DSUM($B$57:$Y$63,Y$57,$C$70:$D93)</f>
        <v>55.148489038284595</v>
      </c>
      <c r="Z93" s="7"/>
      <c r="AA93" s="7"/>
      <c r="AB93" s="7"/>
      <c r="AC93" s="7"/>
    </row>
    <row r="94" spans="1:29" customFormat="1">
      <c r="A94" s="7"/>
      <c r="B94" s="7" t="s">
        <v>374</v>
      </c>
      <c r="C94" s="50" t="s">
        <v>353</v>
      </c>
      <c r="D94" s="50" t="s">
        <v>364</v>
      </c>
      <c r="E94" s="35">
        <f>DSUM($B$57:$Y$63,E$57,$C$70:$D94)</f>
        <v>0.15533805758191471</v>
      </c>
      <c r="F94" s="35">
        <f>DSUM($B$57:$Y$63,F$57,$C$70:$D94)</f>
        <v>0.34528257299678017</v>
      </c>
      <c r="G94" s="35">
        <f>DSUM($B$57:$Y$63,G$57,$C$70:$D94)</f>
        <v>0.57683786920181246</v>
      </c>
      <c r="H94" s="35">
        <f>DSUM($B$57:$Y$63,H$57,$C$70:$D94)</f>
        <v>0.84462493109654357</v>
      </c>
      <c r="I94" s="35">
        <f>DSUM($B$57:$Y$63,I$57,$C$70:$D94)</f>
        <v>1.1489491113387609</v>
      </c>
      <c r="J94" s="35">
        <f>DSUM($B$57:$Y$63,J$57,$C$70:$D94)</f>
        <v>1.503560953936546</v>
      </c>
      <c r="K94" s="35">
        <f>DSUM($B$57:$Y$63,K$57,$C$70:$D94)</f>
        <v>1.8911336544011383</v>
      </c>
      <c r="L94" s="35">
        <f>DSUM($B$57:$Y$63,L$57,$C$70:$D94)</f>
        <v>2.2853531024832492</v>
      </c>
      <c r="M94" s="35">
        <f>DSUM($B$57:$Y$63,M$57,$C$70:$D94)</f>
        <v>2.6548621998055846</v>
      </c>
      <c r="N94" s="35">
        <f>DSUM($B$57:$Y$63,N$57,$C$70:$D94)</f>
        <v>2.9701874176357439</v>
      </c>
      <c r="O94" s="35">
        <f>DSUM($B$57:$Y$63,O$57,$C$70:$D94)</f>
        <v>3.2115552408720096</v>
      </c>
      <c r="P94" s="35">
        <f>DSUM($B$57:$Y$63,P$57,$C$70:$D94)</f>
        <v>3.3741500117527403</v>
      </c>
      <c r="Q94" s="35">
        <f>DSUM($B$57:$Y$63,Q$57,$C$70:$D94)</f>
        <v>3.4679191848207895</v>
      </c>
      <c r="R94" s="35">
        <f>DSUM($B$57:$Y$63,R$57,$C$70:$D94)</f>
        <v>3.5118612025294462</v>
      </c>
      <c r="S94" s="35">
        <f>DSUM($B$57:$Y$63,S$57,$C$70:$D94)</f>
        <v>3.526067268886953</v>
      </c>
      <c r="T94" s="35">
        <f>DSUM($B$57:$Y$63,T$57,$C$70:$D94)</f>
        <v>4.3155800236992823</v>
      </c>
      <c r="U94" s="35">
        <f>DSUM($B$57:$Y$63,U$57,$C$70:$D94)</f>
        <v>4.2449826606632488</v>
      </c>
      <c r="V94" s="35">
        <f>DSUM($B$57:$Y$63,V$57,$C$70:$D94)</f>
        <v>4.1638744244910599</v>
      </c>
      <c r="W94" s="35">
        <f>DSUM($B$57:$Y$63,W$57,$C$70:$D94)</f>
        <v>4.0945209700100955</v>
      </c>
      <c r="X94" s="35">
        <f>DSUM($B$57:$Y$63,X$57,$C$70:$D94)</f>
        <v>4.0260103868967665</v>
      </c>
      <c r="Y94" s="35">
        <f>DSUM($B$57:$Y$63,Y$57,$C$70:$D94)</f>
        <v>55.148489038284595</v>
      </c>
      <c r="Z94" s="7"/>
      <c r="AA94" s="7"/>
      <c r="AB94" s="7"/>
      <c r="AC94" s="7"/>
    </row>
    <row r="95" spans="1:29" customFormat="1">
      <c r="A95" s="7"/>
      <c r="B95" s="7" t="s">
        <v>375</v>
      </c>
      <c r="C95" s="50" t="s">
        <v>354</v>
      </c>
      <c r="D95" s="50" t="s">
        <v>365</v>
      </c>
      <c r="E95" s="35">
        <f>DSUM($B$57:$Y$63,E$57,$C$70:$D95)</f>
        <v>0.15533805758191471</v>
      </c>
      <c r="F95" s="35">
        <f>DSUM($B$57:$Y$63,F$57,$C$70:$D95)</f>
        <v>0.34528257299678017</v>
      </c>
      <c r="G95" s="35">
        <f>DSUM($B$57:$Y$63,G$57,$C$70:$D95)</f>
        <v>0.57683786920181246</v>
      </c>
      <c r="H95" s="35">
        <f>DSUM($B$57:$Y$63,H$57,$C$70:$D95)</f>
        <v>0.84462493109654357</v>
      </c>
      <c r="I95" s="35">
        <f>DSUM($B$57:$Y$63,I$57,$C$70:$D95)</f>
        <v>1.1489491113387609</v>
      </c>
      <c r="J95" s="35">
        <f>DSUM($B$57:$Y$63,J$57,$C$70:$D95)</f>
        <v>1.503560953936546</v>
      </c>
      <c r="K95" s="35">
        <f>DSUM($B$57:$Y$63,K$57,$C$70:$D95)</f>
        <v>1.8911336544011383</v>
      </c>
      <c r="L95" s="35">
        <f>DSUM($B$57:$Y$63,L$57,$C$70:$D95)</f>
        <v>2.2853531024832492</v>
      </c>
      <c r="M95" s="35">
        <f>DSUM($B$57:$Y$63,M$57,$C$70:$D95)</f>
        <v>2.6548621998055846</v>
      </c>
      <c r="N95" s="35">
        <f>DSUM($B$57:$Y$63,N$57,$C$70:$D95)</f>
        <v>2.9701874176357439</v>
      </c>
      <c r="O95" s="35">
        <f>DSUM($B$57:$Y$63,O$57,$C$70:$D95)</f>
        <v>3.2115552408720096</v>
      </c>
      <c r="P95" s="35">
        <f>DSUM($B$57:$Y$63,P$57,$C$70:$D95)</f>
        <v>3.3741500117527403</v>
      </c>
      <c r="Q95" s="35">
        <f>DSUM($B$57:$Y$63,Q$57,$C$70:$D95)</f>
        <v>3.4679191848207895</v>
      </c>
      <c r="R95" s="35">
        <f>DSUM($B$57:$Y$63,R$57,$C$70:$D95)</f>
        <v>3.5118612025294462</v>
      </c>
      <c r="S95" s="35">
        <f>DSUM($B$57:$Y$63,S$57,$C$70:$D95)</f>
        <v>3.526067268886953</v>
      </c>
      <c r="T95" s="35">
        <f>DSUM($B$57:$Y$63,T$57,$C$70:$D95)</f>
        <v>4.3155800236992823</v>
      </c>
      <c r="U95" s="35">
        <f>DSUM($B$57:$Y$63,U$57,$C$70:$D95)</f>
        <v>4.2449826606632488</v>
      </c>
      <c r="V95" s="35">
        <f>DSUM($B$57:$Y$63,V$57,$C$70:$D95)</f>
        <v>4.1638744244910599</v>
      </c>
      <c r="W95" s="35">
        <f>DSUM($B$57:$Y$63,W$57,$C$70:$D95)</f>
        <v>4.0945209700100955</v>
      </c>
      <c r="X95" s="35">
        <f>DSUM($B$57:$Y$63,X$57,$C$70:$D95)</f>
        <v>4.0260103868967665</v>
      </c>
      <c r="Y95" s="35">
        <f>DSUM($B$57:$Y$63,Y$57,$C$70:$D95)</f>
        <v>55.148489038284595</v>
      </c>
      <c r="Z95" s="7"/>
      <c r="AA95" s="7"/>
      <c r="AB95" s="7"/>
      <c r="AC95" s="7"/>
    </row>
    <row r="96" spans="1:29" customFormat="1">
      <c r="A96" s="7"/>
      <c r="B96" s="7" t="s">
        <v>376</v>
      </c>
      <c r="C96" s="50" t="s">
        <v>355</v>
      </c>
      <c r="D96" s="50" t="s">
        <v>366</v>
      </c>
      <c r="E96" s="35">
        <f>DSUM($B$57:$Y$63,E$57,$C$70:$D96)</f>
        <v>0.15533805758191471</v>
      </c>
      <c r="F96" s="35">
        <f>DSUM($B$57:$Y$63,F$57,$C$70:$D96)</f>
        <v>0.34528257299678017</v>
      </c>
      <c r="G96" s="35">
        <f>DSUM($B$57:$Y$63,G$57,$C$70:$D96)</f>
        <v>0.57683786920181246</v>
      </c>
      <c r="H96" s="35">
        <f>DSUM($B$57:$Y$63,H$57,$C$70:$D96)</f>
        <v>0.84462493109654357</v>
      </c>
      <c r="I96" s="35">
        <f>DSUM($B$57:$Y$63,I$57,$C$70:$D96)</f>
        <v>1.1489491113387609</v>
      </c>
      <c r="J96" s="35">
        <f>DSUM($B$57:$Y$63,J$57,$C$70:$D96)</f>
        <v>1.503560953936546</v>
      </c>
      <c r="K96" s="35">
        <f>DSUM($B$57:$Y$63,K$57,$C$70:$D96)</f>
        <v>1.8911336544011383</v>
      </c>
      <c r="L96" s="35">
        <f>DSUM($B$57:$Y$63,L$57,$C$70:$D96)</f>
        <v>2.2853531024832492</v>
      </c>
      <c r="M96" s="35">
        <f>DSUM($B$57:$Y$63,M$57,$C$70:$D96)</f>
        <v>2.6548621998055846</v>
      </c>
      <c r="N96" s="35">
        <f>DSUM($B$57:$Y$63,N$57,$C$70:$D96)</f>
        <v>2.9701874176357439</v>
      </c>
      <c r="O96" s="35">
        <f>DSUM($B$57:$Y$63,O$57,$C$70:$D96)</f>
        <v>3.2115552408720096</v>
      </c>
      <c r="P96" s="35">
        <f>DSUM($B$57:$Y$63,P$57,$C$70:$D96)</f>
        <v>3.3741500117527403</v>
      </c>
      <c r="Q96" s="35">
        <f>DSUM($B$57:$Y$63,Q$57,$C$70:$D96)</f>
        <v>3.4679191848207895</v>
      </c>
      <c r="R96" s="35">
        <f>DSUM($B$57:$Y$63,R$57,$C$70:$D96)</f>
        <v>3.5118612025294462</v>
      </c>
      <c r="S96" s="35">
        <f>DSUM($B$57:$Y$63,S$57,$C$70:$D96)</f>
        <v>3.526067268886953</v>
      </c>
      <c r="T96" s="35">
        <f>DSUM($B$57:$Y$63,T$57,$C$70:$D96)</f>
        <v>4.3155800236992823</v>
      </c>
      <c r="U96" s="35">
        <f>DSUM($B$57:$Y$63,U$57,$C$70:$D96)</f>
        <v>4.2449826606632488</v>
      </c>
      <c r="V96" s="35">
        <f>DSUM($B$57:$Y$63,V$57,$C$70:$D96)</f>
        <v>4.1638744244910599</v>
      </c>
      <c r="W96" s="35">
        <f>DSUM($B$57:$Y$63,W$57,$C$70:$D96)</f>
        <v>4.0945209700100955</v>
      </c>
      <c r="X96" s="35">
        <f>DSUM($B$57:$Y$63,X$57,$C$70:$D96)</f>
        <v>4.0260103868967665</v>
      </c>
      <c r="Y96" s="35">
        <f>DSUM($B$57:$Y$63,Y$57,$C$70:$D96)</f>
        <v>55.148489038284595</v>
      </c>
      <c r="Z96" s="7"/>
      <c r="AA96" s="7"/>
      <c r="AB96" s="7"/>
      <c r="AC96" s="7"/>
    </row>
    <row r="97" spans="1:29" customFormat="1">
      <c r="A97" s="7"/>
      <c r="B97" s="7" t="s">
        <v>377</v>
      </c>
      <c r="C97" s="50" t="s">
        <v>356</v>
      </c>
      <c r="D97" s="50" t="s">
        <v>367</v>
      </c>
      <c r="E97" s="35">
        <f>DSUM($B$57:$Y$63,E$57,$C$70:$D97)</f>
        <v>0.15533805758191471</v>
      </c>
      <c r="F97" s="35">
        <f>DSUM($B$57:$Y$63,F$57,$C$70:$D97)</f>
        <v>0.34528257299678017</v>
      </c>
      <c r="G97" s="35">
        <f>DSUM($B$57:$Y$63,G$57,$C$70:$D97)</f>
        <v>0.57683786920181246</v>
      </c>
      <c r="H97" s="35">
        <f>DSUM($B$57:$Y$63,H$57,$C$70:$D97)</f>
        <v>0.84462493109654357</v>
      </c>
      <c r="I97" s="35">
        <f>DSUM($B$57:$Y$63,I$57,$C$70:$D97)</f>
        <v>1.1489491113387609</v>
      </c>
      <c r="J97" s="35">
        <f>DSUM($B$57:$Y$63,J$57,$C$70:$D97)</f>
        <v>1.503560953936546</v>
      </c>
      <c r="K97" s="35">
        <f>DSUM($B$57:$Y$63,K$57,$C$70:$D97)</f>
        <v>1.8911336544011383</v>
      </c>
      <c r="L97" s="35">
        <f>DSUM($B$57:$Y$63,L$57,$C$70:$D97)</f>
        <v>2.2853531024832492</v>
      </c>
      <c r="M97" s="35">
        <f>DSUM($B$57:$Y$63,M$57,$C$70:$D97)</f>
        <v>2.6548621998055846</v>
      </c>
      <c r="N97" s="35">
        <f>DSUM($B$57:$Y$63,N$57,$C$70:$D97)</f>
        <v>2.9701874176357439</v>
      </c>
      <c r="O97" s="35">
        <f>DSUM($B$57:$Y$63,O$57,$C$70:$D97)</f>
        <v>3.2115552408720096</v>
      </c>
      <c r="P97" s="35">
        <f>DSUM($B$57:$Y$63,P$57,$C$70:$D97)</f>
        <v>3.3741500117527403</v>
      </c>
      <c r="Q97" s="35">
        <f>DSUM($B$57:$Y$63,Q$57,$C$70:$D97)</f>
        <v>3.4679191848207895</v>
      </c>
      <c r="R97" s="35">
        <f>DSUM($B$57:$Y$63,R$57,$C$70:$D97)</f>
        <v>3.5118612025294462</v>
      </c>
      <c r="S97" s="35">
        <f>DSUM($B$57:$Y$63,S$57,$C$70:$D97)</f>
        <v>3.526067268886953</v>
      </c>
      <c r="T97" s="35">
        <f>DSUM($B$57:$Y$63,T$57,$C$70:$D97)</f>
        <v>4.3155800236992823</v>
      </c>
      <c r="U97" s="35">
        <f>DSUM($B$57:$Y$63,U$57,$C$70:$D97)</f>
        <v>4.2449826606632488</v>
      </c>
      <c r="V97" s="35">
        <f>DSUM($B$57:$Y$63,V$57,$C$70:$D97)</f>
        <v>4.1638744244910599</v>
      </c>
      <c r="W97" s="35">
        <f>DSUM($B$57:$Y$63,W$57,$C$70:$D97)</f>
        <v>4.0945209700100955</v>
      </c>
      <c r="X97" s="35">
        <f>DSUM($B$57:$Y$63,X$57,$C$70:$D97)</f>
        <v>4.0260103868967665</v>
      </c>
      <c r="Y97" s="35">
        <f>DSUM($B$57:$Y$63,Y$57,$C$70:$D97)</f>
        <v>55.148489038284595</v>
      </c>
      <c r="Z97" s="7"/>
      <c r="AA97" s="7"/>
      <c r="AB97" s="7"/>
      <c r="AC97" s="7"/>
    </row>
    <row r="98" spans="1:29" customFormat="1">
      <c r="A98" s="7"/>
      <c r="B98" s="7" t="s">
        <v>378</v>
      </c>
      <c r="C98" s="50" t="s">
        <v>357</v>
      </c>
      <c r="D98" s="50" t="s">
        <v>368</v>
      </c>
      <c r="E98" s="35">
        <f>DSUM($B$57:$Y$63,E$57,$C$70:$D98)</f>
        <v>0.15533805758191471</v>
      </c>
      <c r="F98" s="35">
        <f>DSUM($B$57:$Y$63,F$57,$C$70:$D98)</f>
        <v>0.34528257299678017</v>
      </c>
      <c r="G98" s="35">
        <f>DSUM($B$57:$Y$63,G$57,$C$70:$D98)</f>
        <v>0.57683786920181246</v>
      </c>
      <c r="H98" s="35">
        <f>DSUM($B$57:$Y$63,H$57,$C$70:$D98)</f>
        <v>0.84462493109654357</v>
      </c>
      <c r="I98" s="35">
        <f>DSUM($B$57:$Y$63,I$57,$C$70:$D98)</f>
        <v>1.1489491113387609</v>
      </c>
      <c r="J98" s="35">
        <f>DSUM($B$57:$Y$63,J$57,$C$70:$D98)</f>
        <v>1.503560953936546</v>
      </c>
      <c r="K98" s="35">
        <f>DSUM($B$57:$Y$63,K$57,$C$70:$D98)</f>
        <v>1.8911336544011383</v>
      </c>
      <c r="L98" s="35">
        <f>DSUM($B$57:$Y$63,L$57,$C$70:$D98)</f>
        <v>2.2853531024832492</v>
      </c>
      <c r="M98" s="35">
        <f>DSUM($B$57:$Y$63,M$57,$C$70:$D98)</f>
        <v>2.6548621998055846</v>
      </c>
      <c r="N98" s="35">
        <f>DSUM($B$57:$Y$63,N$57,$C$70:$D98)</f>
        <v>2.9701874176357439</v>
      </c>
      <c r="O98" s="35">
        <f>DSUM($B$57:$Y$63,O$57,$C$70:$D98)</f>
        <v>3.2115552408720096</v>
      </c>
      <c r="P98" s="35">
        <f>DSUM($B$57:$Y$63,P$57,$C$70:$D98)</f>
        <v>3.3741500117527403</v>
      </c>
      <c r="Q98" s="35">
        <f>DSUM($B$57:$Y$63,Q$57,$C$70:$D98)</f>
        <v>3.4679191848207895</v>
      </c>
      <c r="R98" s="35">
        <f>DSUM($B$57:$Y$63,R$57,$C$70:$D98)</f>
        <v>3.5118612025294462</v>
      </c>
      <c r="S98" s="35">
        <f>DSUM($B$57:$Y$63,S$57,$C$70:$D98)</f>
        <v>3.526067268886953</v>
      </c>
      <c r="T98" s="35">
        <f>DSUM($B$57:$Y$63,T$57,$C$70:$D98)</f>
        <v>4.3155800236992823</v>
      </c>
      <c r="U98" s="35">
        <f>DSUM($B$57:$Y$63,U$57,$C$70:$D98)</f>
        <v>4.2449826606632488</v>
      </c>
      <c r="V98" s="35">
        <f>DSUM($B$57:$Y$63,V$57,$C$70:$D98)</f>
        <v>4.1638744244910599</v>
      </c>
      <c r="W98" s="35">
        <f>DSUM($B$57:$Y$63,W$57,$C$70:$D98)</f>
        <v>4.0945209700100955</v>
      </c>
      <c r="X98" s="35">
        <f>DSUM($B$57:$Y$63,X$57,$C$70:$D98)</f>
        <v>4.0260103868967665</v>
      </c>
      <c r="Y98" s="35">
        <f>DSUM($B$57:$Y$63,Y$57,$C$70:$D98)</f>
        <v>55.148489038284595</v>
      </c>
      <c r="Z98" s="7"/>
      <c r="AA98" s="7"/>
      <c r="AB98" s="7"/>
      <c r="AC98" s="7"/>
    </row>
    <row r="99" spans="1:29" customFormat="1">
      <c r="A99" s="7"/>
      <c r="B99" s="7" t="s">
        <v>379</v>
      </c>
      <c r="C99" s="50" t="s">
        <v>358</v>
      </c>
      <c r="D99" s="50" t="s">
        <v>369</v>
      </c>
      <c r="E99" s="35">
        <f>DSUM($B$57:$Y$63,E$57,$C$70:$D99)</f>
        <v>0.15533805758191471</v>
      </c>
      <c r="F99" s="35">
        <f>DSUM($B$57:$Y$63,F$57,$C$70:$D99)</f>
        <v>0.34528257299678017</v>
      </c>
      <c r="G99" s="35">
        <f>DSUM($B$57:$Y$63,G$57,$C$70:$D99)</f>
        <v>0.57683786920181246</v>
      </c>
      <c r="H99" s="35">
        <f>DSUM($B$57:$Y$63,H$57,$C$70:$D99)</f>
        <v>0.84462493109654357</v>
      </c>
      <c r="I99" s="35">
        <f>DSUM($B$57:$Y$63,I$57,$C$70:$D99)</f>
        <v>1.1489491113387609</v>
      </c>
      <c r="J99" s="35">
        <f>DSUM($B$57:$Y$63,J$57,$C$70:$D99)</f>
        <v>1.503560953936546</v>
      </c>
      <c r="K99" s="35">
        <f>DSUM($B$57:$Y$63,K$57,$C$70:$D99)</f>
        <v>1.8911336544011383</v>
      </c>
      <c r="L99" s="35">
        <f>DSUM($B$57:$Y$63,L$57,$C$70:$D99)</f>
        <v>2.2853531024832492</v>
      </c>
      <c r="M99" s="35">
        <f>DSUM($B$57:$Y$63,M$57,$C$70:$D99)</f>
        <v>2.6548621998055846</v>
      </c>
      <c r="N99" s="35">
        <f>DSUM($B$57:$Y$63,N$57,$C$70:$D99)</f>
        <v>2.9701874176357439</v>
      </c>
      <c r="O99" s="35">
        <f>DSUM($B$57:$Y$63,O$57,$C$70:$D99)</f>
        <v>3.2115552408720096</v>
      </c>
      <c r="P99" s="35">
        <f>DSUM($B$57:$Y$63,P$57,$C$70:$D99)</f>
        <v>3.3741500117527403</v>
      </c>
      <c r="Q99" s="35">
        <f>DSUM($B$57:$Y$63,Q$57,$C$70:$D99)</f>
        <v>3.4679191848207895</v>
      </c>
      <c r="R99" s="35">
        <f>DSUM($B$57:$Y$63,R$57,$C$70:$D99)</f>
        <v>3.5118612025294462</v>
      </c>
      <c r="S99" s="35">
        <f>DSUM($B$57:$Y$63,S$57,$C$70:$D99)</f>
        <v>3.526067268886953</v>
      </c>
      <c r="T99" s="35">
        <f>DSUM($B$57:$Y$63,T$57,$C$70:$D99)</f>
        <v>4.3155800236992823</v>
      </c>
      <c r="U99" s="35">
        <f>DSUM($B$57:$Y$63,U$57,$C$70:$D99)</f>
        <v>4.2449826606632488</v>
      </c>
      <c r="V99" s="35">
        <f>DSUM($B$57:$Y$63,V$57,$C$70:$D99)</f>
        <v>4.1638744244910599</v>
      </c>
      <c r="W99" s="35">
        <f>DSUM($B$57:$Y$63,W$57,$C$70:$D99)</f>
        <v>4.0945209700100955</v>
      </c>
      <c r="X99" s="35">
        <f>DSUM($B$57:$Y$63,X$57,$C$70:$D99)</f>
        <v>4.0260103868967665</v>
      </c>
      <c r="Y99" s="35">
        <f>DSUM($B$57:$Y$63,Y$57,$C$70:$D99)</f>
        <v>55.148489038284595</v>
      </c>
      <c r="Z99" s="7"/>
      <c r="AA99" s="7"/>
      <c r="AB99" s="7"/>
      <c r="AC99" s="7"/>
    </row>
    <row r="100" spans="1:29" customFormat="1">
      <c r="A100" s="7"/>
      <c r="B100" s="7" t="s">
        <v>380</v>
      </c>
      <c r="C100" s="50" t="s">
        <v>359</v>
      </c>
      <c r="D100" s="50" t="s">
        <v>370</v>
      </c>
      <c r="E100" s="35">
        <f>DSUM($B$57:$Y$63,E$57,$C$70:$D100)</f>
        <v>0.15533805758191471</v>
      </c>
      <c r="F100" s="35">
        <f>DSUM($B$57:$Y$63,F$57,$C$70:$D100)</f>
        <v>0.34528257299678017</v>
      </c>
      <c r="G100" s="35">
        <f>DSUM($B$57:$Y$63,G$57,$C$70:$D100)</f>
        <v>0.57683786920181246</v>
      </c>
      <c r="H100" s="35">
        <f>DSUM($B$57:$Y$63,H$57,$C$70:$D100)</f>
        <v>0.84462493109654357</v>
      </c>
      <c r="I100" s="35">
        <f>DSUM($B$57:$Y$63,I$57,$C$70:$D100)</f>
        <v>1.1489491113387609</v>
      </c>
      <c r="J100" s="35">
        <f>DSUM($B$57:$Y$63,J$57,$C$70:$D100)</f>
        <v>1.503560953936546</v>
      </c>
      <c r="K100" s="35">
        <f>DSUM($B$57:$Y$63,K$57,$C$70:$D100)</f>
        <v>1.8911336544011383</v>
      </c>
      <c r="L100" s="35">
        <f>DSUM($B$57:$Y$63,L$57,$C$70:$D100)</f>
        <v>2.2853531024832492</v>
      </c>
      <c r="M100" s="35">
        <f>DSUM($B$57:$Y$63,M$57,$C$70:$D100)</f>
        <v>2.6548621998055846</v>
      </c>
      <c r="N100" s="35">
        <f>DSUM($B$57:$Y$63,N$57,$C$70:$D100)</f>
        <v>2.9701874176357439</v>
      </c>
      <c r="O100" s="35">
        <f>DSUM($B$57:$Y$63,O$57,$C$70:$D100)</f>
        <v>3.2115552408720096</v>
      </c>
      <c r="P100" s="35">
        <f>DSUM($B$57:$Y$63,P$57,$C$70:$D100)</f>
        <v>3.3741500117527403</v>
      </c>
      <c r="Q100" s="35">
        <f>DSUM($B$57:$Y$63,Q$57,$C$70:$D100)</f>
        <v>3.4679191848207895</v>
      </c>
      <c r="R100" s="35">
        <f>DSUM($B$57:$Y$63,R$57,$C$70:$D100)</f>
        <v>3.5118612025294462</v>
      </c>
      <c r="S100" s="35">
        <f>DSUM($B$57:$Y$63,S$57,$C$70:$D100)</f>
        <v>3.526067268886953</v>
      </c>
      <c r="T100" s="35">
        <f>DSUM($B$57:$Y$63,T$57,$C$70:$D100)</f>
        <v>4.3155800236992823</v>
      </c>
      <c r="U100" s="35">
        <f>DSUM($B$57:$Y$63,U$57,$C$70:$D100)</f>
        <v>4.2449826606632488</v>
      </c>
      <c r="V100" s="35">
        <f>DSUM($B$57:$Y$63,V$57,$C$70:$D100)</f>
        <v>4.1638744244910599</v>
      </c>
      <c r="W100" s="35">
        <f>DSUM($B$57:$Y$63,W$57,$C$70:$D100)</f>
        <v>4.0945209700100955</v>
      </c>
      <c r="X100" s="35">
        <f>DSUM($B$57:$Y$63,X$57,$C$70:$D100)</f>
        <v>4.0260103868967665</v>
      </c>
      <c r="Y100" s="35">
        <f>DSUM($B$57:$Y$63,Y$57,$C$70:$D100)</f>
        <v>55.148489038284595</v>
      </c>
      <c r="Z100" s="7"/>
      <c r="AA100" s="7"/>
      <c r="AB100" s="7"/>
      <c r="AC100" s="7"/>
    </row>
    <row r="101" spans="1:29" customFormat="1">
      <c r="A101" s="7"/>
      <c r="B101" s="7" t="s">
        <v>381</v>
      </c>
      <c r="C101" s="50" t="s">
        <v>360</v>
      </c>
      <c r="D101" s="50" t="s">
        <v>371</v>
      </c>
      <c r="E101" s="35">
        <f>DSUM($B$57:$Y$63,E$57,$C$70:$D101)</f>
        <v>0.15533805758191471</v>
      </c>
      <c r="F101" s="35">
        <f>DSUM($B$57:$Y$63,F$57,$C$70:$D101)</f>
        <v>0.34528257299678017</v>
      </c>
      <c r="G101" s="35">
        <f>DSUM($B$57:$Y$63,G$57,$C$70:$D101)</f>
        <v>0.57683786920181246</v>
      </c>
      <c r="H101" s="35">
        <f>DSUM($B$57:$Y$63,H$57,$C$70:$D101)</f>
        <v>0.84462493109654357</v>
      </c>
      <c r="I101" s="35">
        <f>DSUM($B$57:$Y$63,I$57,$C$70:$D101)</f>
        <v>1.1489491113387609</v>
      </c>
      <c r="J101" s="35">
        <f>DSUM($B$57:$Y$63,J$57,$C$70:$D101)</f>
        <v>1.503560953936546</v>
      </c>
      <c r="K101" s="35">
        <f>DSUM($B$57:$Y$63,K$57,$C$70:$D101)</f>
        <v>1.8911336544011383</v>
      </c>
      <c r="L101" s="35">
        <f>DSUM($B$57:$Y$63,L$57,$C$70:$D101)</f>
        <v>2.2853531024832492</v>
      </c>
      <c r="M101" s="35">
        <f>DSUM($B$57:$Y$63,M$57,$C$70:$D101)</f>
        <v>2.6548621998055846</v>
      </c>
      <c r="N101" s="35">
        <f>DSUM($B$57:$Y$63,N$57,$C$70:$D101)</f>
        <v>2.9701874176357439</v>
      </c>
      <c r="O101" s="35">
        <f>DSUM($B$57:$Y$63,O$57,$C$70:$D101)</f>
        <v>3.2115552408720096</v>
      </c>
      <c r="P101" s="35">
        <f>DSUM($B$57:$Y$63,P$57,$C$70:$D101)</f>
        <v>3.3741500117527403</v>
      </c>
      <c r="Q101" s="35">
        <f>DSUM($B$57:$Y$63,Q$57,$C$70:$D101)</f>
        <v>3.4679191848207895</v>
      </c>
      <c r="R101" s="35">
        <f>DSUM($B$57:$Y$63,R$57,$C$70:$D101)</f>
        <v>3.5118612025294462</v>
      </c>
      <c r="S101" s="35">
        <f>DSUM($B$57:$Y$63,S$57,$C$70:$D101)</f>
        <v>3.526067268886953</v>
      </c>
      <c r="T101" s="35">
        <f>DSUM($B$57:$Y$63,T$57,$C$70:$D101)</f>
        <v>4.3155800236992823</v>
      </c>
      <c r="U101" s="35">
        <f>DSUM($B$57:$Y$63,U$57,$C$70:$D101)</f>
        <v>4.2449826606632488</v>
      </c>
      <c r="V101" s="35">
        <f>DSUM($B$57:$Y$63,V$57,$C$70:$D101)</f>
        <v>4.1638744244910599</v>
      </c>
      <c r="W101" s="35">
        <f>DSUM($B$57:$Y$63,W$57,$C$70:$D101)</f>
        <v>4.0945209700100955</v>
      </c>
      <c r="X101" s="35">
        <f>DSUM($B$57:$Y$63,X$57,$C$70:$D101)</f>
        <v>4.0260103868967665</v>
      </c>
      <c r="Y101" s="35">
        <f>DSUM($B$57:$Y$63,Y$57,$C$70:$D101)</f>
        <v>55.148489038284595</v>
      </c>
      <c r="Z101" s="7"/>
      <c r="AA101" s="7"/>
      <c r="AB101" s="7"/>
      <c r="AC101" s="7"/>
    </row>
    <row r="102" spans="1:29" customFormat="1">
      <c r="A102" s="7"/>
      <c r="B102" s="7" t="s">
        <v>382</v>
      </c>
      <c r="C102" s="50" t="s">
        <v>361</v>
      </c>
      <c r="D102" s="50" t="s">
        <v>133</v>
      </c>
      <c r="E102" s="35">
        <f>DSUM($B$57:$Y$63,E$57,$C$70:$D102)</f>
        <v>0.15533805758191471</v>
      </c>
      <c r="F102" s="35">
        <f>DSUM($B$57:$Y$63,F$57,$C$70:$D102)</f>
        <v>0.34528257299678017</v>
      </c>
      <c r="G102" s="35">
        <f>DSUM($B$57:$Y$63,G$57,$C$70:$D102)</f>
        <v>0.57683786920181246</v>
      </c>
      <c r="H102" s="35">
        <f>DSUM($B$57:$Y$63,H$57,$C$70:$D102)</f>
        <v>0.84462493109654357</v>
      </c>
      <c r="I102" s="35">
        <f>DSUM($B$57:$Y$63,I$57,$C$70:$D102)</f>
        <v>1.1489491113387609</v>
      </c>
      <c r="J102" s="35">
        <f>DSUM($B$57:$Y$63,J$57,$C$70:$D102)</f>
        <v>1.503560953936546</v>
      </c>
      <c r="K102" s="35">
        <f>DSUM($B$57:$Y$63,K$57,$C$70:$D102)</f>
        <v>1.8911336544011383</v>
      </c>
      <c r="L102" s="35">
        <f>DSUM($B$57:$Y$63,L$57,$C$70:$D102)</f>
        <v>2.2853531024832492</v>
      </c>
      <c r="M102" s="35">
        <f>DSUM($B$57:$Y$63,M$57,$C$70:$D102)</f>
        <v>2.6548621998055846</v>
      </c>
      <c r="N102" s="35">
        <f>DSUM($B$57:$Y$63,N$57,$C$70:$D102)</f>
        <v>2.9701874176357439</v>
      </c>
      <c r="O102" s="35">
        <f>DSUM($B$57:$Y$63,O$57,$C$70:$D102)</f>
        <v>3.2115552408720096</v>
      </c>
      <c r="P102" s="35">
        <f>DSUM($B$57:$Y$63,P$57,$C$70:$D102)</f>
        <v>3.3741500117527403</v>
      </c>
      <c r="Q102" s="35">
        <f>DSUM($B$57:$Y$63,Q$57,$C$70:$D102)</f>
        <v>3.4679191848207895</v>
      </c>
      <c r="R102" s="35">
        <f>DSUM($B$57:$Y$63,R$57,$C$70:$D102)</f>
        <v>3.5118612025294462</v>
      </c>
      <c r="S102" s="35">
        <f>DSUM($B$57:$Y$63,S$57,$C$70:$D102)</f>
        <v>3.526067268886953</v>
      </c>
      <c r="T102" s="35">
        <f>DSUM($B$57:$Y$63,T$57,$C$70:$D102)</f>
        <v>4.3155800236992823</v>
      </c>
      <c r="U102" s="35">
        <f>DSUM($B$57:$Y$63,U$57,$C$70:$D102)</f>
        <v>4.2449826606632488</v>
      </c>
      <c r="V102" s="35">
        <f>DSUM($B$57:$Y$63,V$57,$C$70:$D102)</f>
        <v>4.1638744244910599</v>
      </c>
      <c r="W102" s="35">
        <f>DSUM($B$57:$Y$63,W$57,$C$70:$D102)</f>
        <v>4.0945209700100955</v>
      </c>
      <c r="X102" s="35">
        <f>DSUM($B$57:$Y$63,X$57,$C$70:$D102)</f>
        <v>4.0260103868967665</v>
      </c>
      <c r="Y102" s="35">
        <f>DSUM($B$57:$Y$63,Y$57,$C$70:$D102)</f>
        <v>55.148489038284595</v>
      </c>
      <c r="Z102" s="7"/>
      <c r="AA102" s="7"/>
      <c r="AB102" s="7"/>
      <c r="AC102" s="7"/>
    </row>
    <row r="103" spans="1:29" customForma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row>
    <row r="104" spans="1:29" customForma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row>
    <row r="105" spans="1:29" customFormat="1" ht="15">
      <c r="A105" s="55" t="s">
        <v>134</v>
      </c>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row>
    <row r="106" spans="1:29" customFormat="1" ht="15">
      <c r="A106" s="7"/>
      <c r="B106" s="7"/>
      <c r="C106" s="7"/>
      <c r="D106" s="129" t="str">
        <f>C8</f>
        <v>ASHP</v>
      </c>
      <c r="E106" s="58">
        <f t="shared" ref="E106:X106" si="19">E11</f>
        <v>2016</v>
      </c>
      <c r="F106" s="59">
        <f t="shared" si="19"/>
        <v>2017</v>
      </c>
      <c r="G106" s="59">
        <f t="shared" si="19"/>
        <v>2018</v>
      </c>
      <c r="H106" s="59">
        <f t="shared" si="19"/>
        <v>2019</v>
      </c>
      <c r="I106" s="59">
        <f t="shared" si="19"/>
        <v>2020</v>
      </c>
      <c r="J106" s="59">
        <f t="shared" si="19"/>
        <v>2021</v>
      </c>
      <c r="K106" s="59">
        <f t="shared" si="19"/>
        <v>2022</v>
      </c>
      <c r="L106" s="59">
        <f t="shared" si="19"/>
        <v>2023</v>
      </c>
      <c r="M106" s="59">
        <f t="shared" si="19"/>
        <v>2024</v>
      </c>
      <c r="N106" s="59">
        <f t="shared" si="19"/>
        <v>2025</v>
      </c>
      <c r="O106" s="59">
        <f t="shared" si="19"/>
        <v>2026</v>
      </c>
      <c r="P106" s="59">
        <f t="shared" si="19"/>
        <v>2027</v>
      </c>
      <c r="Q106" s="59">
        <f t="shared" si="19"/>
        <v>2028</v>
      </c>
      <c r="R106" s="59">
        <f t="shared" si="19"/>
        <v>2029</v>
      </c>
      <c r="S106" s="59">
        <f t="shared" si="19"/>
        <v>2030</v>
      </c>
      <c r="T106" s="59">
        <f t="shared" si="19"/>
        <v>2031</v>
      </c>
      <c r="U106" s="59">
        <f t="shared" si="19"/>
        <v>2032</v>
      </c>
      <c r="V106" s="59">
        <f t="shared" si="19"/>
        <v>2033</v>
      </c>
      <c r="W106" s="59">
        <f t="shared" si="19"/>
        <v>2034</v>
      </c>
      <c r="X106" s="59">
        <f t="shared" si="19"/>
        <v>2035</v>
      </c>
      <c r="Y106" s="60" t="s">
        <v>60</v>
      </c>
      <c r="Z106" s="7"/>
      <c r="AA106" s="7"/>
      <c r="AB106" s="7"/>
      <c r="AC106" s="7"/>
    </row>
    <row r="107" spans="1:29" customFormat="1" ht="15">
      <c r="A107" s="7"/>
      <c r="B107" s="7"/>
      <c r="C107" s="7"/>
      <c r="D107" s="7" t="str">
        <f>C8</f>
        <v>ASHP</v>
      </c>
      <c r="E107" s="61" t="str">
        <f>CONCATENATE("aMW_",E$11)</f>
        <v>aMW_2016</v>
      </c>
      <c r="F107" s="62" t="str">
        <f t="shared" ref="F107:X107" si="20">CONCATENATE("aMW_",F$11)</f>
        <v>aMW_2017</v>
      </c>
      <c r="G107" s="62" t="str">
        <f t="shared" si="20"/>
        <v>aMW_2018</v>
      </c>
      <c r="H107" s="62" t="str">
        <f t="shared" si="20"/>
        <v>aMW_2019</v>
      </c>
      <c r="I107" s="62" t="str">
        <f t="shared" si="20"/>
        <v>aMW_2020</v>
      </c>
      <c r="J107" s="62" t="str">
        <f t="shared" si="20"/>
        <v>aMW_2021</v>
      </c>
      <c r="K107" s="62" t="str">
        <f t="shared" si="20"/>
        <v>aMW_2022</v>
      </c>
      <c r="L107" s="62" t="str">
        <f t="shared" si="20"/>
        <v>aMW_2023</v>
      </c>
      <c r="M107" s="62" t="str">
        <f t="shared" si="20"/>
        <v>aMW_2024</v>
      </c>
      <c r="N107" s="62" t="str">
        <f t="shared" si="20"/>
        <v>aMW_2025</v>
      </c>
      <c r="O107" s="62" t="str">
        <f t="shared" si="20"/>
        <v>aMW_2026</v>
      </c>
      <c r="P107" s="62" t="str">
        <f t="shared" si="20"/>
        <v>aMW_2027</v>
      </c>
      <c r="Q107" s="62" t="str">
        <f t="shared" si="20"/>
        <v>aMW_2028</v>
      </c>
      <c r="R107" s="62" t="str">
        <f t="shared" si="20"/>
        <v>aMW_2029</v>
      </c>
      <c r="S107" s="62" t="str">
        <f t="shared" si="20"/>
        <v>aMW_2030</v>
      </c>
      <c r="T107" s="62" t="str">
        <f t="shared" si="20"/>
        <v>aMW_2031</v>
      </c>
      <c r="U107" s="62" t="str">
        <f t="shared" si="20"/>
        <v>aMW_2032</v>
      </c>
      <c r="V107" s="62" t="str">
        <f t="shared" si="20"/>
        <v>aMW_2033</v>
      </c>
      <c r="W107" s="62" t="str">
        <f t="shared" si="20"/>
        <v>aMW_2034</v>
      </c>
      <c r="X107" s="62" t="str">
        <f t="shared" si="20"/>
        <v>aMW_2035</v>
      </c>
      <c r="Y107" s="63" t="s">
        <v>60</v>
      </c>
      <c r="Z107" s="7"/>
      <c r="AA107" s="7"/>
      <c r="AB107" s="7"/>
      <c r="AC107" s="7"/>
    </row>
    <row r="108" spans="1:29" customFormat="1">
      <c r="A108" s="7"/>
      <c r="B108" s="7"/>
      <c r="C108" s="7"/>
      <c r="D108" s="7" t="s">
        <v>68</v>
      </c>
      <c r="E108" s="29">
        <f t="shared" ref="E108:Y108" si="21">E71</f>
        <v>0</v>
      </c>
      <c r="F108" s="29">
        <f t="shared" si="21"/>
        <v>0</v>
      </c>
      <c r="G108" s="29">
        <f t="shared" si="21"/>
        <v>0</v>
      </c>
      <c r="H108" s="29">
        <f t="shared" si="21"/>
        <v>0</v>
      </c>
      <c r="I108" s="29">
        <f t="shared" si="21"/>
        <v>0</v>
      </c>
      <c r="J108" s="29">
        <f t="shared" si="21"/>
        <v>0</v>
      </c>
      <c r="K108" s="29">
        <f t="shared" si="21"/>
        <v>0</v>
      </c>
      <c r="L108" s="29">
        <f t="shared" si="21"/>
        <v>0</v>
      </c>
      <c r="M108" s="29">
        <f t="shared" si="21"/>
        <v>0</v>
      </c>
      <c r="N108" s="29">
        <f t="shared" si="21"/>
        <v>0</v>
      </c>
      <c r="O108" s="29">
        <f t="shared" si="21"/>
        <v>0</v>
      </c>
      <c r="P108" s="29">
        <f t="shared" si="21"/>
        <v>0</v>
      </c>
      <c r="Q108" s="29">
        <f t="shared" si="21"/>
        <v>0</v>
      </c>
      <c r="R108" s="29">
        <f t="shared" si="21"/>
        <v>0</v>
      </c>
      <c r="S108" s="29">
        <f t="shared" si="21"/>
        <v>0</v>
      </c>
      <c r="T108" s="29">
        <f t="shared" si="21"/>
        <v>0</v>
      </c>
      <c r="U108" s="29">
        <f t="shared" si="21"/>
        <v>0</v>
      </c>
      <c r="V108" s="29">
        <f t="shared" si="21"/>
        <v>0</v>
      </c>
      <c r="W108" s="29">
        <f t="shared" si="21"/>
        <v>0</v>
      </c>
      <c r="X108" s="29">
        <f t="shared" si="21"/>
        <v>0</v>
      </c>
      <c r="Y108" s="29">
        <f t="shared" si="21"/>
        <v>0</v>
      </c>
      <c r="Z108" s="7"/>
      <c r="AA108" s="7"/>
      <c r="AB108" s="7"/>
      <c r="AC108" s="7"/>
    </row>
    <row r="109" spans="1:29" customFormat="1">
      <c r="A109" s="7"/>
      <c r="B109" s="7"/>
      <c r="C109" s="7"/>
      <c r="D109" s="7" t="s">
        <v>544</v>
      </c>
      <c r="E109" s="29">
        <f t="shared" ref="E109:Y120" si="22">E72-E71</f>
        <v>0</v>
      </c>
      <c r="F109" s="29">
        <f t="shared" si="22"/>
        <v>0</v>
      </c>
      <c r="G109" s="29">
        <f t="shared" si="22"/>
        <v>0</v>
      </c>
      <c r="H109" s="29">
        <f t="shared" si="22"/>
        <v>0</v>
      </c>
      <c r="I109" s="29">
        <f t="shared" si="22"/>
        <v>0</v>
      </c>
      <c r="J109" s="29">
        <f t="shared" si="22"/>
        <v>0</v>
      </c>
      <c r="K109" s="29">
        <f t="shared" si="22"/>
        <v>0</v>
      </c>
      <c r="L109" s="29">
        <f t="shared" si="22"/>
        <v>0</v>
      </c>
      <c r="M109" s="29">
        <f t="shared" si="22"/>
        <v>0</v>
      </c>
      <c r="N109" s="29">
        <f t="shared" si="22"/>
        <v>0</v>
      </c>
      <c r="O109" s="29">
        <f t="shared" si="22"/>
        <v>0</v>
      </c>
      <c r="P109" s="29">
        <f t="shared" si="22"/>
        <v>0</v>
      </c>
      <c r="Q109" s="29">
        <f t="shared" si="22"/>
        <v>0</v>
      </c>
      <c r="R109" s="29">
        <f t="shared" si="22"/>
        <v>0</v>
      </c>
      <c r="S109" s="29">
        <f t="shared" si="22"/>
        <v>0</v>
      </c>
      <c r="T109" s="29">
        <f t="shared" si="22"/>
        <v>0</v>
      </c>
      <c r="U109" s="29">
        <f t="shared" si="22"/>
        <v>0</v>
      </c>
      <c r="V109" s="29">
        <f t="shared" si="22"/>
        <v>0</v>
      </c>
      <c r="W109" s="29">
        <f t="shared" si="22"/>
        <v>0</v>
      </c>
      <c r="X109" s="29">
        <f t="shared" si="22"/>
        <v>0</v>
      </c>
      <c r="Y109" s="29">
        <f t="shared" si="22"/>
        <v>0</v>
      </c>
      <c r="Z109" s="7"/>
      <c r="AA109" s="7"/>
      <c r="AB109" s="7"/>
      <c r="AC109" s="7"/>
    </row>
    <row r="110" spans="1:29" customFormat="1">
      <c r="A110" s="7"/>
      <c r="B110" s="7"/>
      <c r="C110" s="7"/>
      <c r="D110" s="7" t="s">
        <v>74</v>
      </c>
      <c r="E110" s="29">
        <f t="shared" si="22"/>
        <v>0</v>
      </c>
      <c r="F110" s="29">
        <f t="shared" si="22"/>
        <v>0</v>
      </c>
      <c r="G110" s="29">
        <f t="shared" si="22"/>
        <v>0</v>
      </c>
      <c r="H110" s="29">
        <f t="shared" si="22"/>
        <v>0</v>
      </c>
      <c r="I110" s="29">
        <f t="shared" si="22"/>
        <v>0</v>
      </c>
      <c r="J110" s="29">
        <f t="shared" si="22"/>
        <v>0</v>
      </c>
      <c r="K110" s="29">
        <f t="shared" si="22"/>
        <v>0</v>
      </c>
      <c r="L110" s="29">
        <f t="shared" si="22"/>
        <v>0</v>
      </c>
      <c r="M110" s="29">
        <f t="shared" si="22"/>
        <v>0</v>
      </c>
      <c r="N110" s="29">
        <f t="shared" si="22"/>
        <v>0</v>
      </c>
      <c r="O110" s="29">
        <f t="shared" si="22"/>
        <v>0</v>
      </c>
      <c r="P110" s="29">
        <f t="shared" si="22"/>
        <v>0</v>
      </c>
      <c r="Q110" s="29">
        <f t="shared" si="22"/>
        <v>0</v>
      </c>
      <c r="R110" s="29">
        <f t="shared" si="22"/>
        <v>0</v>
      </c>
      <c r="S110" s="29">
        <f t="shared" si="22"/>
        <v>0</v>
      </c>
      <c r="T110" s="29">
        <f t="shared" si="22"/>
        <v>0</v>
      </c>
      <c r="U110" s="29">
        <f t="shared" si="22"/>
        <v>0</v>
      </c>
      <c r="V110" s="29">
        <f t="shared" si="22"/>
        <v>0</v>
      </c>
      <c r="W110" s="29">
        <f t="shared" si="22"/>
        <v>0</v>
      </c>
      <c r="X110" s="29">
        <f t="shared" si="22"/>
        <v>0</v>
      </c>
      <c r="Y110" s="29">
        <f t="shared" ref="Y110" si="23">Y73-Y72</f>
        <v>0</v>
      </c>
      <c r="Z110" s="7"/>
      <c r="AA110" s="7"/>
      <c r="AB110" s="7"/>
      <c r="AC110" s="7"/>
    </row>
    <row r="111" spans="1:29" customFormat="1">
      <c r="A111" s="7"/>
      <c r="B111" s="7"/>
      <c r="C111" s="7"/>
      <c r="D111" s="7" t="s">
        <v>77</v>
      </c>
      <c r="E111" s="29">
        <f t="shared" si="22"/>
        <v>0</v>
      </c>
      <c r="F111" s="29">
        <f t="shared" si="22"/>
        <v>0</v>
      </c>
      <c r="G111" s="29">
        <f t="shared" si="22"/>
        <v>0</v>
      </c>
      <c r="H111" s="29">
        <f t="shared" si="22"/>
        <v>0</v>
      </c>
      <c r="I111" s="29">
        <f t="shared" si="22"/>
        <v>0</v>
      </c>
      <c r="J111" s="29">
        <f t="shared" si="22"/>
        <v>0</v>
      </c>
      <c r="K111" s="29">
        <f t="shared" si="22"/>
        <v>0</v>
      </c>
      <c r="L111" s="29">
        <f t="shared" si="22"/>
        <v>0</v>
      </c>
      <c r="M111" s="29">
        <f t="shared" si="22"/>
        <v>0</v>
      </c>
      <c r="N111" s="29">
        <f t="shared" si="22"/>
        <v>0</v>
      </c>
      <c r="O111" s="29">
        <f t="shared" si="22"/>
        <v>0</v>
      </c>
      <c r="P111" s="29">
        <f t="shared" si="22"/>
        <v>0</v>
      </c>
      <c r="Q111" s="29">
        <f t="shared" si="22"/>
        <v>0</v>
      </c>
      <c r="R111" s="29">
        <f t="shared" si="22"/>
        <v>0</v>
      </c>
      <c r="S111" s="29">
        <f t="shared" si="22"/>
        <v>0</v>
      </c>
      <c r="T111" s="29">
        <f t="shared" si="22"/>
        <v>0</v>
      </c>
      <c r="U111" s="29">
        <f t="shared" si="22"/>
        <v>0</v>
      </c>
      <c r="V111" s="29">
        <f t="shared" si="22"/>
        <v>0</v>
      </c>
      <c r="W111" s="29">
        <f t="shared" si="22"/>
        <v>0</v>
      </c>
      <c r="X111" s="29">
        <f t="shared" si="22"/>
        <v>0</v>
      </c>
      <c r="Y111" s="29">
        <f t="shared" ref="Y111" si="24">Y74-Y73</f>
        <v>0</v>
      </c>
      <c r="Z111" s="7"/>
      <c r="AA111" s="7"/>
      <c r="AB111" s="7"/>
      <c r="AC111" s="7"/>
    </row>
    <row r="112" spans="1:29" customFormat="1">
      <c r="A112" s="7"/>
      <c r="B112" s="7"/>
      <c r="C112" s="7"/>
      <c r="D112" s="7" t="s">
        <v>80</v>
      </c>
      <c r="E112" s="29">
        <f t="shared" si="22"/>
        <v>0</v>
      </c>
      <c r="F112" s="29">
        <f t="shared" si="22"/>
        <v>0</v>
      </c>
      <c r="G112" s="29">
        <f t="shared" si="22"/>
        <v>0</v>
      </c>
      <c r="H112" s="29">
        <f t="shared" si="22"/>
        <v>0</v>
      </c>
      <c r="I112" s="29">
        <f t="shared" si="22"/>
        <v>0</v>
      </c>
      <c r="J112" s="29">
        <f t="shared" si="22"/>
        <v>0</v>
      </c>
      <c r="K112" s="29">
        <f t="shared" si="22"/>
        <v>0</v>
      </c>
      <c r="L112" s="29">
        <f t="shared" si="22"/>
        <v>0</v>
      </c>
      <c r="M112" s="29">
        <f t="shared" si="22"/>
        <v>0</v>
      </c>
      <c r="N112" s="29">
        <f t="shared" si="22"/>
        <v>0</v>
      </c>
      <c r="O112" s="29">
        <f t="shared" si="22"/>
        <v>0</v>
      </c>
      <c r="P112" s="29">
        <f t="shared" si="22"/>
        <v>0</v>
      </c>
      <c r="Q112" s="29">
        <f t="shared" si="22"/>
        <v>0</v>
      </c>
      <c r="R112" s="29">
        <f t="shared" si="22"/>
        <v>0</v>
      </c>
      <c r="S112" s="29">
        <f t="shared" si="22"/>
        <v>0</v>
      </c>
      <c r="T112" s="29">
        <f t="shared" si="22"/>
        <v>0</v>
      </c>
      <c r="U112" s="29">
        <f t="shared" si="22"/>
        <v>0</v>
      </c>
      <c r="V112" s="29">
        <f t="shared" si="22"/>
        <v>0</v>
      </c>
      <c r="W112" s="29">
        <f t="shared" si="22"/>
        <v>0</v>
      </c>
      <c r="X112" s="29">
        <f t="shared" si="22"/>
        <v>0</v>
      </c>
      <c r="Y112" s="29">
        <f t="shared" ref="Y112" si="25">Y75-Y74</f>
        <v>0</v>
      </c>
      <c r="Z112" s="7"/>
      <c r="AA112" s="7"/>
      <c r="AB112" s="7"/>
      <c r="AC112" s="7"/>
    </row>
    <row r="113" spans="1:29" customFormat="1">
      <c r="A113" s="7"/>
      <c r="B113" s="7"/>
      <c r="C113" s="7"/>
      <c r="D113" s="7" t="s">
        <v>83</v>
      </c>
      <c r="E113" s="29">
        <f t="shared" si="22"/>
        <v>0</v>
      </c>
      <c r="F113" s="29">
        <f>F76-F75</f>
        <v>0</v>
      </c>
      <c r="G113" s="29">
        <f t="shared" si="22"/>
        <v>0</v>
      </c>
      <c r="H113" s="29">
        <f t="shared" si="22"/>
        <v>0</v>
      </c>
      <c r="I113" s="29">
        <f t="shared" si="22"/>
        <v>0</v>
      </c>
      <c r="J113" s="29">
        <f t="shared" si="22"/>
        <v>0</v>
      </c>
      <c r="K113" s="29">
        <f t="shared" si="22"/>
        <v>0</v>
      </c>
      <c r="L113" s="29">
        <f t="shared" si="22"/>
        <v>0</v>
      </c>
      <c r="M113" s="29">
        <f t="shared" si="22"/>
        <v>0</v>
      </c>
      <c r="N113" s="29">
        <f t="shared" si="22"/>
        <v>0</v>
      </c>
      <c r="O113" s="29">
        <f t="shared" si="22"/>
        <v>0</v>
      </c>
      <c r="P113" s="29">
        <f t="shared" si="22"/>
        <v>0</v>
      </c>
      <c r="Q113" s="29">
        <f t="shared" si="22"/>
        <v>0</v>
      </c>
      <c r="R113" s="29">
        <f t="shared" si="22"/>
        <v>0</v>
      </c>
      <c r="S113" s="29">
        <f t="shared" si="22"/>
        <v>0</v>
      </c>
      <c r="T113" s="29">
        <f t="shared" si="22"/>
        <v>0</v>
      </c>
      <c r="U113" s="29">
        <f t="shared" si="22"/>
        <v>0</v>
      </c>
      <c r="V113" s="29">
        <f t="shared" si="22"/>
        <v>0</v>
      </c>
      <c r="W113" s="29">
        <f t="shared" si="22"/>
        <v>0</v>
      </c>
      <c r="X113" s="29">
        <f t="shared" si="22"/>
        <v>0</v>
      </c>
      <c r="Y113" s="29">
        <f t="shared" ref="Y113" si="26">Y76-Y75</f>
        <v>0</v>
      </c>
      <c r="Z113" s="7"/>
      <c r="AA113" s="7"/>
      <c r="AB113" s="7"/>
      <c r="AC113" s="7"/>
    </row>
    <row r="114" spans="1:29" customFormat="1">
      <c r="A114" s="7"/>
      <c r="B114" s="7"/>
      <c r="C114" s="7"/>
      <c r="D114" s="7" t="s">
        <v>86</v>
      </c>
      <c r="E114" s="29">
        <f t="shared" si="22"/>
        <v>0</v>
      </c>
      <c r="F114" s="29">
        <f t="shared" si="22"/>
        <v>0</v>
      </c>
      <c r="G114" s="29">
        <f t="shared" si="22"/>
        <v>0</v>
      </c>
      <c r="H114" s="29">
        <f t="shared" si="22"/>
        <v>0</v>
      </c>
      <c r="I114" s="29">
        <f t="shared" si="22"/>
        <v>0</v>
      </c>
      <c r="J114" s="29">
        <f t="shared" si="22"/>
        <v>0</v>
      </c>
      <c r="K114" s="29">
        <f t="shared" si="22"/>
        <v>0</v>
      </c>
      <c r="L114" s="29">
        <f t="shared" si="22"/>
        <v>0</v>
      </c>
      <c r="M114" s="29">
        <f t="shared" si="22"/>
        <v>0</v>
      </c>
      <c r="N114" s="29">
        <f t="shared" si="22"/>
        <v>0</v>
      </c>
      <c r="O114" s="29">
        <f t="shared" si="22"/>
        <v>0</v>
      </c>
      <c r="P114" s="29">
        <f t="shared" si="22"/>
        <v>0</v>
      </c>
      <c r="Q114" s="29">
        <f t="shared" si="22"/>
        <v>0</v>
      </c>
      <c r="R114" s="29">
        <f t="shared" si="22"/>
        <v>0</v>
      </c>
      <c r="S114" s="29">
        <f t="shared" si="22"/>
        <v>0</v>
      </c>
      <c r="T114" s="29">
        <f t="shared" si="22"/>
        <v>0</v>
      </c>
      <c r="U114" s="29">
        <f t="shared" si="22"/>
        <v>0</v>
      </c>
      <c r="V114" s="29">
        <f t="shared" si="22"/>
        <v>0</v>
      </c>
      <c r="W114" s="29">
        <f t="shared" si="22"/>
        <v>0</v>
      </c>
      <c r="X114" s="29">
        <f t="shared" si="22"/>
        <v>0</v>
      </c>
      <c r="Y114" s="29">
        <f t="shared" ref="Y114" si="27">Y77-Y76</f>
        <v>0</v>
      </c>
      <c r="Z114" s="7"/>
      <c r="AA114" s="7"/>
      <c r="AB114" s="7"/>
      <c r="AC114" s="7"/>
    </row>
    <row r="115" spans="1:29" customFormat="1">
      <c r="A115" s="7"/>
      <c r="B115" s="7"/>
      <c r="C115" s="7"/>
      <c r="D115" s="7" t="s">
        <v>89</v>
      </c>
      <c r="E115" s="29">
        <f t="shared" si="22"/>
        <v>0</v>
      </c>
      <c r="F115" s="29">
        <f t="shared" si="22"/>
        <v>0</v>
      </c>
      <c r="G115" s="29">
        <f t="shared" si="22"/>
        <v>0</v>
      </c>
      <c r="H115" s="29">
        <f t="shared" si="22"/>
        <v>0</v>
      </c>
      <c r="I115" s="29">
        <f t="shared" si="22"/>
        <v>0</v>
      </c>
      <c r="J115" s="29">
        <f t="shared" si="22"/>
        <v>0</v>
      </c>
      <c r="K115" s="29">
        <f t="shared" si="22"/>
        <v>0</v>
      </c>
      <c r="L115" s="29">
        <f t="shared" si="22"/>
        <v>0</v>
      </c>
      <c r="M115" s="29">
        <f t="shared" si="22"/>
        <v>0</v>
      </c>
      <c r="N115" s="29">
        <f t="shared" si="22"/>
        <v>0</v>
      </c>
      <c r="O115" s="29">
        <f t="shared" si="22"/>
        <v>0</v>
      </c>
      <c r="P115" s="29">
        <f t="shared" si="22"/>
        <v>0</v>
      </c>
      <c r="Q115" s="29">
        <f t="shared" si="22"/>
        <v>0</v>
      </c>
      <c r="R115" s="29">
        <f t="shared" si="22"/>
        <v>0</v>
      </c>
      <c r="S115" s="29">
        <f t="shared" si="22"/>
        <v>0</v>
      </c>
      <c r="T115" s="29">
        <f t="shared" si="22"/>
        <v>0</v>
      </c>
      <c r="U115" s="29">
        <f t="shared" si="22"/>
        <v>0</v>
      </c>
      <c r="V115" s="29">
        <f t="shared" si="22"/>
        <v>0</v>
      </c>
      <c r="W115" s="29">
        <f t="shared" si="22"/>
        <v>0</v>
      </c>
      <c r="X115" s="29">
        <f t="shared" si="22"/>
        <v>0</v>
      </c>
      <c r="Y115" s="29">
        <f t="shared" ref="Y115" si="28">Y78-Y77</f>
        <v>0</v>
      </c>
      <c r="Z115" s="7"/>
      <c r="AA115" s="7"/>
      <c r="AB115" s="7"/>
      <c r="AC115" s="7"/>
    </row>
    <row r="116" spans="1:29" customFormat="1">
      <c r="A116" s="7"/>
      <c r="B116" s="7"/>
      <c r="C116" s="7"/>
      <c r="D116" s="7" t="s">
        <v>92</v>
      </c>
      <c r="E116" s="29">
        <f t="shared" si="22"/>
        <v>1.7277601163127911E-2</v>
      </c>
      <c r="F116" s="29">
        <f t="shared" si="22"/>
        <v>3.8404333604281658E-2</v>
      </c>
      <c r="G116" s="29">
        <f t="shared" si="22"/>
        <v>6.4159258812682599E-2</v>
      </c>
      <c r="H116" s="29">
        <f t="shared" si="22"/>
        <v>9.3944091480769737E-2</v>
      </c>
      <c r="I116" s="29">
        <f t="shared" si="22"/>
        <v>0.12779279470501453</v>
      </c>
      <c r="J116" s="29">
        <f t="shared" si="22"/>
        <v>0.16723478387045485</v>
      </c>
      <c r="K116" s="29">
        <f t="shared" si="22"/>
        <v>0.21034287112597164</v>
      </c>
      <c r="L116" s="29">
        <f t="shared" si="22"/>
        <v>0.25419024826418107</v>
      </c>
      <c r="M116" s="29">
        <f t="shared" si="22"/>
        <v>0.29528919664208342</v>
      </c>
      <c r="N116" s="29">
        <f t="shared" si="22"/>
        <v>0.33036149917472574</v>
      </c>
      <c r="O116" s="29">
        <f t="shared" si="22"/>
        <v>0.35720783064304246</v>
      </c>
      <c r="P116" s="29">
        <f t="shared" si="22"/>
        <v>0.3752925656153851</v>
      </c>
      <c r="Q116" s="29">
        <f t="shared" si="22"/>
        <v>0.38572211777334053</v>
      </c>
      <c r="R116" s="29">
        <f t="shared" si="22"/>
        <v>0.39060960425341912</v>
      </c>
      <c r="S116" s="29">
        <f t="shared" si="22"/>
        <v>0.39218968548040689</v>
      </c>
      <c r="T116" s="29">
        <f t="shared" si="22"/>
        <v>0.48000388055399057</v>
      </c>
      <c r="U116" s="29">
        <f t="shared" si="22"/>
        <v>0.47215163171882069</v>
      </c>
      <c r="V116" s="29">
        <f t="shared" si="22"/>
        <v>0.46313030251307291</v>
      </c>
      <c r="W116" s="29">
        <f t="shared" si="22"/>
        <v>0.45541640841358361</v>
      </c>
      <c r="X116" s="29">
        <f t="shared" si="22"/>
        <v>0.44779626336406009</v>
      </c>
      <c r="Y116" s="29">
        <f t="shared" ref="Y116" si="29">Y79-Y78</f>
        <v>6.133935322643989</v>
      </c>
      <c r="Z116" s="7"/>
      <c r="AA116" s="7"/>
      <c r="AB116" s="7"/>
      <c r="AC116" s="7"/>
    </row>
    <row r="117" spans="1:29" customFormat="1">
      <c r="A117" s="7"/>
      <c r="B117" s="7"/>
      <c r="C117" s="7"/>
      <c r="D117" s="7" t="s">
        <v>95</v>
      </c>
      <c r="E117" s="29">
        <f t="shared" si="22"/>
        <v>3.8438762427152245E-2</v>
      </c>
      <c r="F117" s="29">
        <f t="shared" si="22"/>
        <v>8.5440973063926812E-2</v>
      </c>
      <c r="G117" s="29">
        <f t="shared" si="22"/>
        <v>0.1427398678623279</v>
      </c>
      <c r="H117" s="29">
        <f t="shared" si="22"/>
        <v>0.20900439706701837</v>
      </c>
      <c r="I117" s="29">
        <f t="shared" si="22"/>
        <v>0.2843101209009849</v>
      </c>
      <c r="J117" s="29">
        <f t="shared" si="22"/>
        <v>0.37205964335322095</v>
      </c>
      <c r="K117" s="29">
        <f t="shared" si="22"/>
        <v>0.46796540648890472</v>
      </c>
      <c r="L117" s="29">
        <f t="shared" si="22"/>
        <v>0.56551592272991336</v>
      </c>
      <c r="M117" s="29">
        <f t="shared" si="22"/>
        <v>0.65695180539604492</v>
      </c>
      <c r="N117" s="29">
        <f t="shared" si="22"/>
        <v>0.73497976148189914</v>
      </c>
      <c r="O117" s="29">
        <f t="shared" si="22"/>
        <v>0.79470678883992552</v>
      </c>
      <c r="P117" s="29">
        <f t="shared" si="22"/>
        <v>0.83494124179415952</v>
      </c>
      <c r="Q117" s="29">
        <f t="shared" si="22"/>
        <v>0.8581446410297433</v>
      </c>
      <c r="R117" s="29">
        <f t="shared" si="22"/>
        <v>0.86901819517073076</v>
      </c>
      <c r="S117" s="29">
        <f t="shared" si="22"/>
        <v>0.87253351922100497</v>
      </c>
      <c r="T117" s="29">
        <f t="shared" si="22"/>
        <v>1.0679002805147348</v>
      </c>
      <c r="U117" s="29">
        <f t="shared" si="22"/>
        <v>1.0504307993845585</v>
      </c>
      <c r="V117" s="29">
        <f t="shared" si="22"/>
        <v>1.0303603783323056</v>
      </c>
      <c r="W117" s="29">
        <f t="shared" si="22"/>
        <v>1.0131987052575004</v>
      </c>
      <c r="X117" s="29">
        <f t="shared" si="22"/>
        <v>0.99624560265641871</v>
      </c>
      <c r="Y117" s="29">
        <f t="shared" ref="Y117" si="30">Y80-Y79</f>
        <v>13.646621448457164</v>
      </c>
      <c r="Z117" s="7"/>
      <c r="AA117" s="7"/>
      <c r="AB117" s="7"/>
      <c r="AC117" s="7"/>
    </row>
    <row r="118" spans="1:29" customFormat="1">
      <c r="A118" s="7"/>
      <c r="B118" s="7"/>
      <c r="C118" s="7"/>
      <c r="D118" s="7" t="s">
        <v>98</v>
      </c>
      <c r="E118" s="29">
        <f t="shared" si="22"/>
        <v>0</v>
      </c>
      <c r="F118" s="29">
        <f t="shared" si="22"/>
        <v>0</v>
      </c>
      <c r="G118" s="29">
        <f t="shared" si="22"/>
        <v>0</v>
      </c>
      <c r="H118" s="29">
        <f t="shared" si="22"/>
        <v>0</v>
      </c>
      <c r="I118" s="29">
        <f t="shared" si="22"/>
        <v>0</v>
      </c>
      <c r="J118" s="29">
        <f t="shared" si="22"/>
        <v>0</v>
      </c>
      <c r="K118" s="29">
        <f t="shared" si="22"/>
        <v>0</v>
      </c>
      <c r="L118" s="29">
        <f t="shared" si="22"/>
        <v>0</v>
      </c>
      <c r="M118" s="29">
        <f t="shared" si="22"/>
        <v>0</v>
      </c>
      <c r="N118" s="29">
        <f t="shared" si="22"/>
        <v>0</v>
      </c>
      <c r="O118" s="29">
        <f t="shared" si="22"/>
        <v>0</v>
      </c>
      <c r="P118" s="29">
        <f t="shared" si="22"/>
        <v>0</v>
      </c>
      <c r="Q118" s="29">
        <f t="shared" si="22"/>
        <v>0</v>
      </c>
      <c r="R118" s="29">
        <f t="shared" si="22"/>
        <v>0</v>
      </c>
      <c r="S118" s="29">
        <f t="shared" si="22"/>
        <v>0</v>
      </c>
      <c r="T118" s="29">
        <f t="shared" si="22"/>
        <v>0</v>
      </c>
      <c r="U118" s="29">
        <f t="shared" si="22"/>
        <v>0</v>
      </c>
      <c r="V118" s="29">
        <f t="shared" si="22"/>
        <v>0</v>
      </c>
      <c r="W118" s="29">
        <f t="shared" si="22"/>
        <v>0</v>
      </c>
      <c r="X118" s="29">
        <f t="shared" si="22"/>
        <v>0</v>
      </c>
      <c r="Y118" s="29">
        <f t="shared" ref="Y118" si="31">Y81-Y80</f>
        <v>0</v>
      </c>
      <c r="Z118" s="7"/>
      <c r="AA118" s="7"/>
      <c r="AB118" s="7"/>
      <c r="AC118" s="7"/>
    </row>
    <row r="119" spans="1:29" customFormat="1">
      <c r="A119" s="7"/>
      <c r="B119" s="7"/>
      <c r="C119" s="7"/>
      <c r="D119" s="7" t="s">
        <v>101</v>
      </c>
      <c r="E119" s="29">
        <f t="shared" si="22"/>
        <v>1.7658379625596819E-2</v>
      </c>
      <c r="F119" s="29">
        <f t="shared" si="22"/>
        <v>3.9250720956548468E-2</v>
      </c>
      <c r="G119" s="29">
        <f t="shared" si="22"/>
        <v>6.557325510147155E-2</v>
      </c>
      <c r="H119" s="29">
        <f t="shared" si="22"/>
        <v>9.6014511232582644E-2</v>
      </c>
      <c r="I119" s="29">
        <f t="shared" si="22"/>
        <v>0.13060920095394613</v>
      </c>
      <c r="J119" s="29">
        <f t="shared" si="22"/>
        <v>0.17092044620704183</v>
      </c>
      <c r="K119" s="29">
        <f t="shared" si="22"/>
        <v>0.21497858613654675</v>
      </c>
      <c r="L119" s="29">
        <f t="shared" si="22"/>
        <v>0.25979230904766437</v>
      </c>
      <c r="M119" s="29">
        <f t="shared" si="22"/>
        <v>0.30179703098896071</v>
      </c>
      <c r="N119" s="29">
        <f t="shared" si="22"/>
        <v>0.33764228674048646</v>
      </c>
      <c r="O119" s="29">
        <f t="shared" si="22"/>
        <v>0.36508028048430785</v>
      </c>
      <c r="P119" s="29">
        <f t="shared" si="22"/>
        <v>0.38356358222016751</v>
      </c>
      <c r="Q119" s="29">
        <f t="shared" si="22"/>
        <v>0.39422298971495184</v>
      </c>
      <c r="R119" s="29">
        <f t="shared" si="22"/>
        <v>0.39921819077702891</v>
      </c>
      <c r="S119" s="29">
        <f t="shared" si="22"/>
        <v>0.40083309517735577</v>
      </c>
      <c r="T119" s="29">
        <f t="shared" si="22"/>
        <v>0.4905826141345826</v>
      </c>
      <c r="U119" s="29">
        <f t="shared" si="22"/>
        <v>0.48255731076422892</v>
      </c>
      <c r="V119" s="29">
        <f t="shared" si="22"/>
        <v>0.47333716183623165</v>
      </c>
      <c r="W119" s="29">
        <f t="shared" si="22"/>
        <v>0.46545326238084139</v>
      </c>
      <c r="X119" s="29">
        <f t="shared" si="22"/>
        <v>0.45766517809667806</v>
      </c>
      <c r="Y119" s="29">
        <f t="shared" ref="Y119" si="32">Y82-Y81</f>
        <v>6.2691202038660805</v>
      </c>
      <c r="Z119" s="7"/>
      <c r="AA119" s="7"/>
      <c r="AB119" s="7"/>
      <c r="AC119" s="7"/>
    </row>
    <row r="120" spans="1:29" customFormat="1">
      <c r="A120" s="7"/>
      <c r="B120" s="7"/>
      <c r="C120" s="7"/>
      <c r="D120" s="7" t="s">
        <v>104</v>
      </c>
      <c r="E120" s="29">
        <f t="shared" si="22"/>
        <v>0</v>
      </c>
      <c r="F120" s="29">
        <f t="shared" ref="F120:X133" si="33">F83-F82</f>
        <v>0</v>
      </c>
      <c r="G120" s="29">
        <f t="shared" si="33"/>
        <v>0</v>
      </c>
      <c r="H120" s="29">
        <f t="shared" si="33"/>
        <v>0</v>
      </c>
      <c r="I120" s="29">
        <f t="shared" si="33"/>
        <v>0</v>
      </c>
      <c r="J120" s="29">
        <f t="shared" si="33"/>
        <v>0</v>
      </c>
      <c r="K120" s="29">
        <f t="shared" si="33"/>
        <v>0</v>
      </c>
      <c r="L120" s="29">
        <f t="shared" si="33"/>
        <v>0</v>
      </c>
      <c r="M120" s="29">
        <f t="shared" si="33"/>
        <v>0</v>
      </c>
      <c r="N120" s="29">
        <f t="shared" si="33"/>
        <v>0</v>
      </c>
      <c r="O120" s="29">
        <f t="shared" si="33"/>
        <v>0</v>
      </c>
      <c r="P120" s="29">
        <f t="shared" si="33"/>
        <v>0</v>
      </c>
      <c r="Q120" s="29">
        <f t="shared" si="33"/>
        <v>0</v>
      </c>
      <c r="R120" s="29">
        <f t="shared" si="33"/>
        <v>0</v>
      </c>
      <c r="S120" s="29">
        <f t="shared" si="33"/>
        <v>0</v>
      </c>
      <c r="T120" s="29">
        <f t="shared" si="33"/>
        <v>0</v>
      </c>
      <c r="U120" s="29">
        <f t="shared" si="33"/>
        <v>0</v>
      </c>
      <c r="V120" s="29">
        <f t="shared" si="33"/>
        <v>0</v>
      </c>
      <c r="W120" s="29">
        <f t="shared" si="33"/>
        <v>0</v>
      </c>
      <c r="X120" s="29">
        <f t="shared" si="33"/>
        <v>0</v>
      </c>
      <c r="Y120" s="29">
        <f t="shared" ref="Y120" si="34">Y83-Y82</f>
        <v>0</v>
      </c>
      <c r="Z120" s="7"/>
      <c r="AA120" s="7"/>
      <c r="AB120" s="7"/>
      <c r="AC120" s="7"/>
    </row>
    <row r="121" spans="1:29" customFormat="1">
      <c r="A121" s="7"/>
      <c r="B121" s="7"/>
      <c r="C121" s="7"/>
      <c r="D121" s="7" t="s">
        <v>107</v>
      </c>
      <c r="E121" s="29">
        <f t="shared" ref="E121:T139" si="35">E84-E83</f>
        <v>0</v>
      </c>
      <c r="F121" s="29">
        <f t="shared" si="35"/>
        <v>0</v>
      </c>
      <c r="G121" s="29">
        <f t="shared" si="35"/>
        <v>0</v>
      </c>
      <c r="H121" s="29">
        <f t="shared" si="35"/>
        <v>0</v>
      </c>
      <c r="I121" s="29">
        <f t="shared" si="35"/>
        <v>0</v>
      </c>
      <c r="J121" s="29">
        <f t="shared" si="35"/>
        <v>0</v>
      </c>
      <c r="K121" s="29">
        <f t="shared" si="35"/>
        <v>0</v>
      </c>
      <c r="L121" s="29">
        <f t="shared" si="35"/>
        <v>0</v>
      </c>
      <c r="M121" s="29">
        <f t="shared" si="35"/>
        <v>0</v>
      </c>
      <c r="N121" s="29">
        <f t="shared" si="35"/>
        <v>0</v>
      </c>
      <c r="O121" s="29">
        <f t="shared" si="35"/>
        <v>0</v>
      </c>
      <c r="P121" s="29">
        <f t="shared" si="35"/>
        <v>0</v>
      </c>
      <c r="Q121" s="29">
        <f t="shared" si="35"/>
        <v>0</v>
      </c>
      <c r="R121" s="29">
        <f t="shared" si="35"/>
        <v>0</v>
      </c>
      <c r="S121" s="29">
        <f t="shared" si="35"/>
        <v>0</v>
      </c>
      <c r="T121" s="29">
        <f t="shared" si="35"/>
        <v>0</v>
      </c>
      <c r="U121" s="29">
        <f t="shared" si="33"/>
        <v>0</v>
      </c>
      <c r="V121" s="29">
        <f t="shared" si="33"/>
        <v>0</v>
      </c>
      <c r="W121" s="29">
        <f t="shared" si="33"/>
        <v>0</v>
      </c>
      <c r="X121" s="29">
        <f t="shared" si="33"/>
        <v>0</v>
      </c>
      <c r="Y121" s="29">
        <f t="shared" ref="Y121" si="36">Y84-Y83</f>
        <v>0</v>
      </c>
      <c r="Z121" s="7"/>
      <c r="AA121" s="7"/>
      <c r="AB121" s="7"/>
      <c r="AC121" s="7"/>
    </row>
    <row r="122" spans="1:29" customFormat="1">
      <c r="A122" s="7"/>
      <c r="B122" s="7"/>
      <c r="C122" s="7"/>
      <c r="D122" s="7" t="s">
        <v>110</v>
      </c>
      <c r="E122" s="29">
        <f t="shared" si="35"/>
        <v>7.2305505048060742E-2</v>
      </c>
      <c r="F122" s="29">
        <f t="shared" si="33"/>
        <v>0.16071934472117888</v>
      </c>
      <c r="G122" s="29">
        <f t="shared" si="33"/>
        <v>0.26850183472578837</v>
      </c>
      <c r="H122" s="29">
        <f t="shared" si="33"/>
        <v>0.39314919453601638</v>
      </c>
      <c r="I122" s="29">
        <f t="shared" si="33"/>
        <v>0.53480355724199402</v>
      </c>
      <c r="J122" s="29">
        <f t="shared" si="33"/>
        <v>0.69986541506479627</v>
      </c>
      <c r="K122" s="29">
        <f t="shared" si="33"/>
        <v>0.88026962692482513</v>
      </c>
      <c r="L122" s="29">
        <f t="shared" si="33"/>
        <v>1.0637677132087586</v>
      </c>
      <c r="M122" s="29">
        <f t="shared" si="33"/>
        <v>1.2357638248999034</v>
      </c>
      <c r="N122" s="29">
        <f t="shared" si="33"/>
        <v>1.3825388617744079</v>
      </c>
      <c r="O122" s="29">
        <f t="shared" si="33"/>
        <v>1.4948888076480786</v>
      </c>
      <c r="P122" s="29">
        <f t="shared" si="33"/>
        <v>1.5705721090213134</v>
      </c>
      <c r="Q122" s="29">
        <f t="shared" si="33"/>
        <v>1.6142190267320553</v>
      </c>
      <c r="R122" s="29">
        <f t="shared" si="33"/>
        <v>1.6346728024050243</v>
      </c>
      <c r="S122" s="29">
        <f t="shared" si="33"/>
        <v>1.6412853274920214</v>
      </c>
      <c r="T122" s="29">
        <f t="shared" si="33"/>
        <v>2.0087813511144872</v>
      </c>
      <c r="U122" s="29">
        <f t="shared" si="33"/>
        <v>1.97592026047873</v>
      </c>
      <c r="V122" s="29">
        <f t="shared" si="33"/>
        <v>1.9381666534665212</v>
      </c>
      <c r="W122" s="29">
        <f t="shared" si="33"/>
        <v>1.9058845673432963</v>
      </c>
      <c r="X122" s="29">
        <f t="shared" si="33"/>
        <v>1.8739948141800433</v>
      </c>
      <c r="Y122" s="29">
        <f t="shared" ref="Y122" si="37">Y85-Y84</f>
        <v>25.670073481174136</v>
      </c>
      <c r="Z122" s="7"/>
      <c r="AA122" s="7"/>
      <c r="AB122" s="7"/>
      <c r="AC122" s="7"/>
    </row>
    <row r="123" spans="1:29" customFormat="1">
      <c r="A123" s="7"/>
      <c r="B123" s="7"/>
      <c r="C123" s="7"/>
      <c r="D123" s="7" t="s">
        <v>113</v>
      </c>
      <c r="E123" s="29">
        <f t="shared" si="35"/>
        <v>0</v>
      </c>
      <c r="F123" s="29">
        <f t="shared" si="33"/>
        <v>0</v>
      </c>
      <c r="G123" s="29">
        <f t="shared" si="33"/>
        <v>0</v>
      </c>
      <c r="H123" s="29">
        <f t="shared" si="33"/>
        <v>0</v>
      </c>
      <c r="I123" s="29">
        <f t="shared" si="33"/>
        <v>0</v>
      </c>
      <c r="J123" s="29">
        <f t="shared" si="33"/>
        <v>0</v>
      </c>
      <c r="K123" s="29">
        <f t="shared" si="33"/>
        <v>0</v>
      </c>
      <c r="L123" s="29">
        <f t="shared" si="33"/>
        <v>0</v>
      </c>
      <c r="M123" s="29">
        <f t="shared" si="33"/>
        <v>0</v>
      </c>
      <c r="N123" s="29">
        <f t="shared" si="33"/>
        <v>0</v>
      </c>
      <c r="O123" s="29">
        <f t="shared" si="33"/>
        <v>0</v>
      </c>
      <c r="P123" s="29">
        <f t="shared" si="33"/>
        <v>0</v>
      </c>
      <c r="Q123" s="29">
        <f t="shared" si="33"/>
        <v>0</v>
      </c>
      <c r="R123" s="29">
        <f t="shared" si="33"/>
        <v>0</v>
      </c>
      <c r="S123" s="29">
        <f t="shared" si="33"/>
        <v>0</v>
      </c>
      <c r="T123" s="29">
        <f t="shared" si="33"/>
        <v>0</v>
      </c>
      <c r="U123" s="29">
        <f t="shared" si="33"/>
        <v>0</v>
      </c>
      <c r="V123" s="29">
        <f t="shared" si="33"/>
        <v>0</v>
      </c>
      <c r="W123" s="29">
        <f t="shared" si="33"/>
        <v>0</v>
      </c>
      <c r="X123" s="29">
        <f t="shared" si="33"/>
        <v>0</v>
      </c>
      <c r="Y123" s="29">
        <f t="shared" ref="Y123" si="38">Y86-Y85</f>
        <v>0</v>
      </c>
      <c r="Z123" s="7"/>
      <c r="AA123" s="7"/>
      <c r="AB123" s="7"/>
      <c r="AC123" s="7"/>
    </row>
    <row r="124" spans="1:29" customFormat="1">
      <c r="A124" s="7"/>
      <c r="B124" s="7"/>
      <c r="C124" s="7"/>
      <c r="D124" s="7" t="s">
        <v>116</v>
      </c>
      <c r="E124" s="29">
        <f t="shared" si="35"/>
        <v>9.6578093179769953E-3</v>
      </c>
      <c r="F124" s="29">
        <f t="shared" si="33"/>
        <v>2.1467200650844342E-2</v>
      </c>
      <c r="G124" s="29">
        <f t="shared" si="33"/>
        <v>3.5863652699542059E-2</v>
      </c>
      <c r="H124" s="29">
        <f t="shared" si="33"/>
        <v>5.2512736780156444E-2</v>
      </c>
      <c r="I124" s="29">
        <f t="shared" si="33"/>
        <v>7.1433437536821298E-2</v>
      </c>
      <c r="J124" s="29">
        <f t="shared" si="33"/>
        <v>9.3480665441032063E-2</v>
      </c>
      <c r="K124" s="29">
        <f t="shared" si="33"/>
        <v>0.11757716372489013</v>
      </c>
      <c r="L124" s="29">
        <f t="shared" si="33"/>
        <v>0.14208690923273171</v>
      </c>
      <c r="M124" s="29">
        <f t="shared" si="33"/>
        <v>0.16506034187859209</v>
      </c>
      <c r="N124" s="29">
        <f t="shared" si="33"/>
        <v>0.18466500846422473</v>
      </c>
      <c r="O124" s="29">
        <f t="shared" si="33"/>
        <v>0.19967153325665521</v>
      </c>
      <c r="P124" s="29">
        <f t="shared" si="33"/>
        <v>0.20978051310171475</v>
      </c>
      <c r="Q124" s="29">
        <f t="shared" si="33"/>
        <v>0.21561040957069855</v>
      </c>
      <c r="R124" s="29">
        <f t="shared" si="33"/>
        <v>0.21834240992324316</v>
      </c>
      <c r="S124" s="29">
        <f t="shared" si="33"/>
        <v>0.21922564151616397</v>
      </c>
      <c r="T124" s="29">
        <f t="shared" si="33"/>
        <v>0.26831189738148709</v>
      </c>
      <c r="U124" s="29">
        <f t="shared" si="33"/>
        <v>0.26392265831691075</v>
      </c>
      <c r="V124" s="29">
        <f t="shared" si="33"/>
        <v>0.25887992834292861</v>
      </c>
      <c r="W124" s="29">
        <f t="shared" si="33"/>
        <v>0.25456802661487377</v>
      </c>
      <c r="X124" s="29">
        <f t="shared" si="33"/>
        <v>0.25030852859956632</v>
      </c>
      <c r="Y124" s="29">
        <f t="shared" ref="Y124" si="39">Y87-Y86</f>
        <v>3.4287385821432252</v>
      </c>
      <c r="Z124" s="7"/>
      <c r="AA124" s="7"/>
      <c r="AB124" s="7"/>
      <c r="AC124" s="7"/>
    </row>
    <row r="125" spans="1:29" customFormat="1">
      <c r="A125" s="7"/>
      <c r="B125" s="7"/>
      <c r="C125" s="7"/>
      <c r="D125" s="7" t="s">
        <v>119</v>
      </c>
      <c r="E125" s="29">
        <f t="shared" si="35"/>
        <v>0</v>
      </c>
      <c r="F125" s="29">
        <f t="shared" si="33"/>
        <v>0</v>
      </c>
      <c r="G125" s="29">
        <f t="shared" si="33"/>
        <v>0</v>
      </c>
      <c r="H125" s="29">
        <f t="shared" si="33"/>
        <v>0</v>
      </c>
      <c r="I125" s="29">
        <f t="shared" si="33"/>
        <v>0</v>
      </c>
      <c r="J125" s="29">
        <f t="shared" si="33"/>
        <v>0</v>
      </c>
      <c r="K125" s="29">
        <f t="shared" si="33"/>
        <v>0</v>
      </c>
      <c r="L125" s="29">
        <f t="shared" si="33"/>
        <v>0</v>
      </c>
      <c r="M125" s="29">
        <f t="shared" si="33"/>
        <v>0</v>
      </c>
      <c r="N125" s="29">
        <f t="shared" si="33"/>
        <v>0</v>
      </c>
      <c r="O125" s="29">
        <f t="shared" si="33"/>
        <v>0</v>
      </c>
      <c r="P125" s="29">
        <f t="shared" si="33"/>
        <v>0</v>
      </c>
      <c r="Q125" s="29">
        <f t="shared" si="33"/>
        <v>0</v>
      </c>
      <c r="R125" s="29">
        <f t="shared" si="33"/>
        <v>0</v>
      </c>
      <c r="S125" s="29">
        <f t="shared" si="33"/>
        <v>0</v>
      </c>
      <c r="T125" s="29">
        <f t="shared" si="33"/>
        <v>0</v>
      </c>
      <c r="U125" s="29">
        <f t="shared" si="33"/>
        <v>0</v>
      </c>
      <c r="V125" s="29">
        <f t="shared" si="33"/>
        <v>0</v>
      </c>
      <c r="W125" s="29">
        <f t="shared" si="33"/>
        <v>0</v>
      </c>
      <c r="X125" s="29">
        <f t="shared" si="33"/>
        <v>0</v>
      </c>
      <c r="Y125" s="29">
        <f t="shared" ref="Y125" si="40">Y88-Y87</f>
        <v>0</v>
      </c>
      <c r="Z125" s="7"/>
      <c r="AA125" s="7"/>
      <c r="AB125" s="7"/>
      <c r="AC125" s="7"/>
    </row>
    <row r="126" spans="1:29" customFormat="1">
      <c r="A126" s="7"/>
      <c r="B126" s="7"/>
      <c r="C126" s="7"/>
      <c r="D126" s="7" t="s">
        <v>122</v>
      </c>
      <c r="E126" s="29">
        <f t="shared" si="35"/>
        <v>0</v>
      </c>
      <c r="F126" s="29">
        <f t="shared" si="33"/>
        <v>0</v>
      </c>
      <c r="G126" s="29">
        <f t="shared" si="33"/>
        <v>0</v>
      </c>
      <c r="H126" s="29">
        <f t="shared" si="33"/>
        <v>0</v>
      </c>
      <c r="I126" s="29">
        <f t="shared" si="33"/>
        <v>0</v>
      </c>
      <c r="J126" s="29">
        <f t="shared" si="33"/>
        <v>0</v>
      </c>
      <c r="K126" s="29">
        <f t="shared" si="33"/>
        <v>0</v>
      </c>
      <c r="L126" s="29">
        <f t="shared" si="33"/>
        <v>0</v>
      </c>
      <c r="M126" s="29">
        <f t="shared" si="33"/>
        <v>0</v>
      </c>
      <c r="N126" s="29">
        <f t="shared" si="33"/>
        <v>0</v>
      </c>
      <c r="O126" s="29">
        <f t="shared" si="33"/>
        <v>0</v>
      </c>
      <c r="P126" s="29">
        <f t="shared" si="33"/>
        <v>0</v>
      </c>
      <c r="Q126" s="29">
        <f t="shared" si="33"/>
        <v>0</v>
      </c>
      <c r="R126" s="29">
        <f t="shared" si="33"/>
        <v>0</v>
      </c>
      <c r="S126" s="29">
        <f t="shared" si="33"/>
        <v>0</v>
      </c>
      <c r="T126" s="29">
        <f t="shared" si="33"/>
        <v>0</v>
      </c>
      <c r="U126" s="29">
        <f t="shared" si="33"/>
        <v>0</v>
      </c>
      <c r="V126" s="29">
        <f t="shared" si="33"/>
        <v>0</v>
      </c>
      <c r="W126" s="29">
        <f t="shared" si="33"/>
        <v>0</v>
      </c>
      <c r="X126" s="29">
        <f t="shared" si="33"/>
        <v>0</v>
      </c>
      <c r="Y126" s="29">
        <f t="shared" ref="Y126" si="41">Y89-Y88</f>
        <v>0</v>
      </c>
      <c r="Z126" s="7"/>
      <c r="AA126" s="7"/>
      <c r="AB126" s="7"/>
      <c r="AC126" s="7"/>
    </row>
    <row r="127" spans="1:29" customFormat="1">
      <c r="A127" s="7"/>
      <c r="B127" s="7"/>
      <c r="C127" s="7"/>
      <c r="D127" s="7" t="s">
        <v>125</v>
      </c>
      <c r="E127" s="29">
        <f t="shared" si="35"/>
        <v>0</v>
      </c>
      <c r="F127" s="29">
        <f t="shared" si="33"/>
        <v>0</v>
      </c>
      <c r="G127" s="29">
        <f t="shared" si="33"/>
        <v>0</v>
      </c>
      <c r="H127" s="29">
        <f t="shared" si="33"/>
        <v>0</v>
      </c>
      <c r="I127" s="29">
        <f t="shared" si="33"/>
        <v>0</v>
      </c>
      <c r="J127" s="29">
        <f t="shared" si="33"/>
        <v>0</v>
      </c>
      <c r="K127" s="29">
        <f t="shared" si="33"/>
        <v>0</v>
      </c>
      <c r="L127" s="29">
        <f t="shared" si="33"/>
        <v>0</v>
      </c>
      <c r="M127" s="29">
        <f t="shared" si="33"/>
        <v>0</v>
      </c>
      <c r="N127" s="29">
        <f t="shared" si="33"/>
        <v>0</v>
      </c>
      <c r="O127" s="29">
        <f t="shared" si="33"/>
        <v>0</v>
      </c>
      <c r="P127" s="29">
        <f t="shared" si="33"/>
        <v>0</v>
      </c>
      <c r="Q127" s="29">
        <f t="shared" si="33"/>
        <v>0</v>
      </c>
      <c r="R127" s="29">
        <f t="shared" si="33"/>
        <v>0</v>
      </c>
      <c r="S127" s="29">
        <f t="shared" si="33"/>
        <v>0</v>
      </c>
      <c r="T127" s="29">
        <f t="shared" si="33"/>
        <v>0</v>
      </c>
      <c r="U127" s="29">
        <f t="shared" si="33"/>
        <v>0</v>
      </c>
      <c r="V127" s="29">
        <f t="shared" si="33"/>
        <v>0</v>
      </c>
      <c r="W127" s="29">
        <f t="shared" si="33"/>
        <v>0</v>
      </c>
      <c r="X127" s="29">
        <f t="shared" si="33"/>
        <v>0</v>
      </c>
      <c r="Y127" s="29">
        <f t="shared" ref="Y127" si="42">Y90-Y89</f>
        <v>0</v>
      </c>
      <c r="Z127" s="7"/>
      <c r="AA127" s="7"/>
      <c r="AB127" s="7"/>
      <c r="AC127" s="7"/>
    </row>
    <row r="128" spans="1:29" customFormat="1">
      <c r="A128" s="7"/>
      <c r="B128" s="7"/>
      <c r="C128" s="7"/>
      <c r="D128" s="7" t="s">
        <v>128</v>
      </c>
      <c r="E128" s="29">
        <f t="shared" si="35"/>
        <v>0</v>
      </c>
      <c r="F128" s="29">
        <f t="shared" si="33"/>
        <v>0</v>
      </c>
      <c r="G128" s="29">
        <f t="shared" si="33"/>
        <v>0</v>
      </c>
      <c r="H128" s="29">
        <f t="shared" si="33"/>
        <v>0</v>
      </c>
      <c r="I128" s="29">
        <f t="shared" si="33"/>
        <v>0</v>
      </c>
      <c r="J128" s="29">
        <f t="shared" si="33"/>
        <v>0</v>
      </c>
      <c r="K128" s="29">
        <f t="shared" si="33"/>
        <v>0</v>
      </c>
      <c r="L128" s="29">
        <f t="shared" si="33"/>
        <v>0</v>
      </c>
      <c r="M128" s="29">
        <f t="shared" si="33"/>
        <v>0</v>
      </c>
      <c r="N128" s="29">
        <f t="shared" si="33"/>
        <v>0</v>
      </c>
      <c r="O128" s="29">
        <f t="shared" si="33"/>
        <v>0</v>
      </c>
      <c r="P128" s="29">
        <f t="shared" si="33"/>
        <v>0</v>
      </c>
      <c r="Q128" s="29">
        <f t="shared" si="33"/>
        <v>0</v>
      </c>
      <c r="R128" s="29">
        <f t="shared" si="33"/>
        <v>0</v>
      </c>
      <c r="S128" s="29">
        <f t="shared" si="33"/>
        <v>0</v>
      </c>
      <c r="T128" s="29">
        <f t="shared" si="33"/>
        <v>0</v>
      </c>
      <c r="U128" s="29">
        <f t="shared" si="33"/>
        <v>0</v>
      </c>
      <c r="V128" s="29">
        <f t="shared" si="33"/>
        <v>0</v>
      </c>
      <c r="W128" s="29">
        <f t="shared" si="33"/>
        <v>0</v>
      </c>
      <c r="X128" s="29">
        <f t="shared" si="33"/>
        <v>0</v>
      </c>
      <c r="Y128" s="29">
        <f t="shared" ref="Y128" si="43">Y91-Y90</f>
        <v>0</v>
      </c>
      <c r="Z128" s="7"/>
      <c r="AA128" s="7"/>
      <c r="AB128" s="7"/>
      <c r="AC128" s="7"/>
    </row>
    <row r="129" spans="1:29" customFormat="1">
      <c r="A129" s="7"/>
      <c r="B129" s="7"/>
      <c r="C129" s="7"/>
      <c r="D129" s="7" t="s">
        <v>372</v>
      </c>
      <c r="E129" s="29">
        <f t="shared" si="35"/>
        <v>0</v>
      </c>
      <c r="F129" s="29">
        <f t="shared" si="33"/>
        <v>0</v>
      </c>
      <c r="G129" s="29">
        <f t="shared" si="33"/>
        <v>0</v>
      </c>
      <c r="H129" s="29">
        <f t="shared" si="33"/>
        <v>0</v>
      </c>
      <c r="I129" s="29">
        <f t="shared" si="33"/>
        <v>0</v>
      </c>
      <c r="J129" s="29">
        <f t="shared" si="33"/>
        <v>0</v>
      </c>
      <c r="K129" s="29">
        <f t="shared" si="33"/>
        <v>0</v>
      </c>
      <c r="L129" s="29">
        <f t="shared" si="33"/>
        <v>0</v>
      </c>
      <c r="M129" s="29">
        <f t="shared" si="33"/>
        <v>0</v>
      </c>
      <c r="N129" s="29">
        <f t="shared" si="33"/>
        <v>0</v>
      </c>
      <c r="O129" s="29">
        <f t="shared" si="33"/>
        <v>0</v>
      </c>
      <c r="P129" s="29">
        <f t="shared" si="33"/>
        <v>0</v>
      </c>
      <c r="Q129" s="29">
        <f t="shared" si="33"/>
        <v>0</v>
      </c>
      <c r="R129" s="29">
        <f t="shared" si="33"/>
        <v>0</v>
      </c>
      <c r="S129" s="29">
        <f t="shared" si="33"/>
        <v>0</v>
      </c>
      <c r="T129" s="29">
        <f t="shared" si="33"/>
        <v>0</v>
      </c>
      <c r="U129" s="29">
        <f t="shared" si="33"/>
        <v>0</v>
      </c>
      <c r="V129" s="29">
        <f t="shared" si="33"/>
        <v>0</v>
      </c>
      <c r="W129" s="29">
        <f t="shared" si="33"/>
        <v>0</v>
      </c>
      <c r="X129" s="29">
        <f t="shared" si="33"/>
        <v>0</v>
      </c>
      <c r="Y129" s="29">
        <f t="shared" ref="Y129" si="44">Y92-Y91</f>
        <v>0</v>
      </c>
      <c r="Z129" s="7"/>
      <c r="AA129" s="7"/>
      <c r="AB129" s="7"/>
      <c r="AC129" s="7"/>
    </row>
    <row r="130" spans="1:29" customFormat="1">
      <c r="A130" s="7"/>
      <c r="B130" s="7"/>
      <c r="C130" s="7"/>
      <c r="D130" s="7" t="s">
        <v>373</v>
      </c>
      <c r="E130" s="29">
        <f t="shared" si="35"/>
        <v>0</v>
      </c>
      <c r="F130" s="29">
        <f t="shared" si="33"/>
        <v>0</v>
      </c>
      <c r="G130" s="29">
        <f t="shared" si="33"/>
        <v>0</v>
      </c>
      <c r="H130" s="29">
        <f t="shared" si="33"/>
        <v>0</v>
      </c>
      <c r="I130" s="29">
        <f t="shared" si="33"/>
        <v>0</v>
      </c>
      <c r="J130" s="29">
        <f t="shared" si="33"/>
        <v>0</v>
      </c>
      <c r="K130" s="29">
        <f t="shared" si="33"/>
        <v>0</v>
      </c>
      <c r="L130" s="29">
        <f t="shared" si="33"/>
        <v>0</v>
      </c>
      <c r="M130" s="29">
        <f t="shared" si="33"/>
        <v>0</v>
      </c>
      <c r="N130" s="29">
        <f t="shared" si="33"/>
        <v>0</v>
      </c>
      <c r="O130" s="29">
        <f t="shared" si="33"/>
        <v>0</v>
      </c>
      <c r="P130" s="29">
        <f t="shared" si="33"/>
        <v>0</v>
      </c>
      <c r="Q130" s="29">
        <f t="shared" si="33"/>
        <v>0</v>
      </c>
      <c r="R130" s="29">
        <f t="shared" si="33"/>
        <v>0</v>
      </c>
      <c r="S130" s="29">
        <f t="shared" si="33"/>
        <v>0</v>
      </c>
      <c r="T130" s="29">
        <f t="shared" si="33"/>
        <v>0</v>
      </c>
      <c r="U130" s="29">
        <f t="shared" si="33"/>
        <v>0</v>
      </c>
      <c r="V130" s="29">
        <f t="shared" si="33"/>
        <v>0</v>
      </c>
      <c r="W130" s="29">
        <f t="shared" si="33"/>
        <v>0</v>
      </c>
      <c r="X130" s="29">
        <f t="shared" si="33"/>
        <v>0</v>
      </c>
      <c r="Y130" s="29">
        <f t="shared" ref="Y130" si="45">Y93-Y92</f>
        <v>0</v>
      </c>
      <c r="Z130" s="7"/>
      <c r="AA130" s="7"/>
      <c r="AB130" s="7"/>
      <c r="AC130" s="7"/>
    </row>
    <row r="131" spans="1:29" customFormat="1">
      <c r="A131" s="7"/>
      <c r="B131" s="7"/>
      <c r="C131" s="7"/>
      <c r="D131" s="7" t="s">
        <v>374</v>
      </c>
      <c r="E131" s="29">
        <f t="shared" si="35"/>
        <v>0</v>
      </c>
      <c r="F131" s="29">
        <f t="shared" si="33"/>
        <v>0</v>
      </c>
      <c r="G131" s="29">
        <f t="shared" si="33"/>
        <v>0</v>
      </c>
      <c r="H131" s="29">
        <f t="shared" si="33"/>
        <v>0</v>
      </c>
      <c r="I131" s="29">
        <f t="shared" si="33"/>
        <v>0</v>
      </c>
      <c r="J131" s="29">
        <f t="shared" si="33"/>
        <v>0</v>
      </c>
      <c r="K131" s="29">
        <f t="shared" si="33"/>
        <v>0</v>
      </c>
      <c r="L131" s="29">
        <f t="shared" si="33"/>
        <v>0</v>
      </c>
      <c r="M131" s="29">
        <f t="shared" si="33"/>
        <v>0</v>
      </c>
      <c r="N131" s="29">
        <f t="shared" si="33"/>
        <v>0</v>
      </c>
      <c r="O131" s="29">
        <f t="shared" si="33"/>
        <v>0</v>
      </c>
      <c r="P131" s="29">
        <f t="shared" si="33"/>
        <v>0</v>
      </c>
      <c r="Q131" s="29">
        <f t="shared" si="33"/>
        <v>0</v>
      </c>
      <c r="R131" s="29">
        <f t="shared" si="33"/>
        <v>0</v>
      </c>
      <c r="S131" s="29">
        <f t="shared" si="33"/>
        <v>0</v>
      </c>
      <c r="T131" s="29">
        <f t="shared" si="33"/>
        <v>0</v>
      </c>
      <c r="U131" s="29">
        <f t="shared" si="33"/>
        <v>0</v>
      </c>
      <c r="V131" s="29">
        <f t="shared" si="33"/>
        <v>0</v>
      </c>
      <c r="W131" s="29">
        <f t="shared" si="33"/>
        <v>0</v>
      </c>
      <c r="X131" s="29">
        <f t="shared" si="33"/>
        <v>0</v>
      </c>
      <c r="Y131" s="29">
        <f t="shared" ref="Y131" si="46">Y94-Y93</f>
        <v>0</v>
      </c>
      <c r="Z131" s="7"/>
      <c r="AA131" s="7"/>
      <c r="AB131" s="7"/>
      <c r="AC131" s="7"/>
    </row>
    <row r="132" spans="1:29" customFormat="1">
      <c r="A132" s="7"/>
      <c r="B132" s="7"/>
      <c r="C132" s="7"/>
      <c r="D132" s="7" t="s">
        <v>375</v>
      </c>
      <c r="E132" s="29">
        <f t="shared" si="35"/>
        <v>0</v>
      </c>
      <c r="F132" s="29">
        <f t="shared" si="33"/>
        <v>0</v>
      </c>
      <c r="G132" s="29">
        <f t="shared" si="33"/>
        <v>0</v>
      </c>
      <c r="H132" s="29">
        <f t="shared" si="33"/>
        <v>0</v>
      </c>
      <c r="I132" s="29">
        <f t="shared" si="33"/>
        <v>0</v>
      </c>
      <c r="J132" s="29">
        <f t="shared" si="33"/>
        <v>0</v>
      </c>
      <c r="K132" s="29">
        <f t="shared" si="33"/>
        <v>0</v>
      </c>
      <c r="L132" s="29">
        <f t="shared" si="33"/>
        <v>0</v>
      </c>
      <c r="M132" s="29">
        <f t="shared" si="33"/>
        <v>0</v>
      </c>
      <c r="N132" s="29">
        <f t="shared" si="33"/>
        <v>0</v>
      </c>
      <c r="O132" s="29">
        <f t="shared" si="33"/>
        <v>0</v>
      </c>
      <c r="P132" s="29">
        <f t="shared" si="33"/>
        <v>0</v>
      </c>
      <c r="Q132" s="29">
        <f t="shared" si="33"/>
        <v>0</v>
      </c>
      <c r="R132" s="29">
        <f t="shared" si="33"/>
        <v>0</v>
      </c>
      <c r="S132" s="29">
        <f t="shared" si="33"/>
        <v>0</v>
      </c>
      <c r="T132" s="29">
        <f t="shared" si="33"/>
        <v>0</v>
      </c>
      <c r="U132" s="29">
        <f t="shared" si="33"/>
        <v>0</v>
      </c>
      <c r="V132" s="29">
        <f t="shared" si="33"/>
        <v>0</v>
      </c>
      <c r="W132" s="29">
        <f t="shared" si="33"/>
        <v>0</v>
      </c>
      <c r="X132" s="29">
        <f t="shared" si="33"/>
        <v>0</v>
      </c>
      <c r="Y132" s="29">
        <f t="shared" ref="Y132" si="47">Y95-Y94</f>
        <v>0</v>
      </c>
      <c r="Z132" s="7"/>
      <c r="AA132" s="7"/>
      <c r="AB132" s="7"/>
      <c r="AC132" s="7"/>
    </row>
    <row r="133" spans="1:29" customFormat="1">
      <c r="A133" s="7"/>
      <c r="B133" s="7"/>
      <c r="C133" s="7"/>
      <c r="D133" s="7" t="s">
        <v>376</v>
      </c>
      <c r="E133" s="29">
        <f t="shared" si="35"/>
        <v>0</v>
      </c>
      <c r="F133" s="29">
        <f t="shared" si="33"/>
        <v>0</v>
      </c>
      <c r="G133" s="29">
        <f t="shared" si="33"/>
        <v>0</v>
      </c>
      <c r="H133" s="29">
        <f t="shared" si="33"/>
        <v>0</v>
      </c>
      <c r="I133" s="29">
        <f t="shared" si="33"/>
        <v>0</v>
      </c>
      <c r="J133" s="29">
        <f t="shared" si="33"/>
        <v>0</v>
      </c>
      <c r="K133" s="29">
        <f t="shared" si="33"/>
        <v>0</v>
      </c>
      <c r="L133" s="29">
        <f t="shared" si="33"/>
        <v>0</v>
      </c>
      <c r="M133" s="29">
        <f t="shared" si="33"/>
        <v>0</v>
      </c>
      <c r="N133" s="29">
        <f t="shared" si="33"/>
        <v>0</v>
      </c>
      <c r="O133" s="29">
        <f t="shared" si="33"/>
        <v>0</v>
      </c>
      <c r="P133" s="29">
        <f t="shared" ref="F133:X139" si="48">P96-P95</f>
        <v>0</v>
      </c>
      <c r="Q133" s="29">
        <f t="shared" si="48"/>
        <v>0</v>
      </c>
      <c r="R133" s="29">
        <f t="shared" si="48"/>
        <v>0</v>
      </c>
      <c r="S133" s="29">
        <f t="shared" si="48"/>
        <v>0</v>
      </c>
      <c r="T133" s="29">
        <f t="shared" si="48"/>
        <v>0</v>
      </c>
      <c r="U133" s="29">
        <f t="shared" si="48"/>
        <v>0</v>
      </c>
      <c r="V133" s="29">
        <f t="shared" si="48"/>
        <v>0</v>
      </c>
      <c r="W133" s="29">
        <f t="shared" si="48"/>
        <v>0</v>
      </c>
      <c r="X133" s="29">
        <f t="shared" si="48"/>
        <v>0</v>
      </c>
      <c r="Y133" s="29">
        <f t="shared" ref="Y133" si="49">Y96-Y95</f>
        <v>0</v>
      </c>
      <c r="Z133" s="7"/>
      <c r="AA133" s="7"/>
      <c r="AB133" s="7"/>
      <c r="AC133" s="7"/>
    </row>
    <row r="134" spans="1:29" customFormat="1">
      <c r="A134" s="7"/>
      <c r="B134" s="7"/>
      <c r="C134" s="7"/>
      <c r="D134" s="7" t="s">
        <v>377</v>
      </c>
      <c r="E134" s="29">
        <f t="shared" si="35"/>
        <v>0</v>
      </c>
      <c r="F134" s="29">
        <f t="shared" si="48"/>
        <v>0</v>
      </c>
      <c r="G134" s="29">
        <f t="shared" si="48"/>
        <v>0</v>
      </c>
      <c r="H134" s="29">
        <f t="shared" si="48"/>
        <v>0</v>
      </c>
      <c r="I134" s="29">
        <f t="shared" si="48"/>
        <v>0</v>
      </c>
      <c r="J134" s="29">
        <f t="shared" si="48"/>
        <v>0</v>
      </c>
      <c r="K134" s="29">
        <f t="shared" si="48"/>
        <v>0</v>
      </c>
      <c r="L134" s="29">
        <f t="shared" si="48"/>
        <v>0</v>
      </c>
      <c r="M134" s="29">
        <f t="shared" si="48"/>
        <v>0</v>
      </c>
      <c r="N134" s="29">
        <f t="shared" si="48"/>
        <v>0</v>
      </c>
      <c r="O134" s="29">
        <f t="shared" si="48"/>
        <v>0</v>
      </c>
      <c r="P134" s="29">
        <f t="shared" si="48"/>
        <v>0</v>
      </c>
      <c r="Q134" s="29">
        <f t="shared" si="48"/>
        <v>0</v>
      </c>
      <c r="R134" s="29">
        <f t="shared" si="48"/>
        <v>0</v>
      </c>
      <c r="S134" s="29">
        <f t="shared" si="48"/>
        <v>0</v>
      </c>
      <c r="T134" s="29">
        <f t="shared" si="48"/>
        <v>0</v>
      </c>
      <c r="U134" s="29">
        <f t="shared" si="48"/>
        <v>0</v>
      </c>
      <c r="V134" s="29">
        <f t="shared" si="48"/>
        <v>0</v>
      </c>
      <c r="W134" s="29">
        <f t="shared" si="48"/>
        <v>0</v>
      </c>
      <c r="X134" s="29">
        <f t="shared" si="48"/>
        <v>0</v>
      </c>
      <c r="Y134" s="29">
        <f t="shared" ref="Y134" si="50">Y97-Y96</f>
        <v>0</v>
      </c>
      <c r="Z134" s="7"/>
      <c r="AA134" s="7"/>
      <c r="AB134" s="7"/>
      <c r="AC134" s="7"/>
    </row>
    <row r="135" spans="1:29" customFormat="1">
      <c r="A135" s="7"/>
      <c r="B135" s="7"/>
      <c r="C135" s="7"/>
      <c r="D135" s="7" t="s">
        <v>378</v>
      </c>
      <c r="E135" s="29">
        <f t="shared" si="35"/>
        <v>0</v>
      </c>
      <c r="F135" s="29">
        <f t="shared" si="48"/>
        <v>0</v>
      </c>
      <c r="G135" s="29">
        <f t="shared" si="48"/>
        <v>0</v>
      </c>
      <c r="H135" s="29">
        <f t="shared" si="48"/>
        <v>0</v>
      </c>
      <c r="I135" s="29">
        <f t="shared" si="48"/>
        <v>0</v>
      </c>
      <c r="J135" s="29">
        <f t="shared" si="48"/>
        <v>0</v>
      </c>
      <c r="K135" s="29">
        <f t="shared" si="48"/>
        <v>0</v>
      </c>
      <c r="L135" s="29">
        <f t="shared" si="48"/>
        <v>0</v>
      </c>
      <c r="M135" s="29">
        <f t="shared" si="48"/>
        <v>0</v>
      </c>
      <c r="N135" s="29">
        <f t="shared" si="48"/>
        <v>0</v>
      </c>
      <c r="O135" s="29">
        <f t="shared" si="48"/>
        <v>0</v>
      </c>
      <c r="P135" s="29">
        <f t="shared" si="48"/>
        <v>0</v>
      </c>
      <c r="Q135" s="29">
        <f t="shared" si="48"/>
        <v>0</v>
      </c>
      <c r="R135" s="29">
        <f t="shared" si="48"/>
        <v>0</v>
      </c>
      <c r="S135" s="29">
        <f t="shared" si="48"/>
        <v>0</v>
      </c>
      <c r="T135" s="29">
        <f t="shared" si="48"/>
        <v>0</v>
      </c>
      <c r="U135" s="29">
        <f t="shared" si="48"/>
        <v>0</v>
      </c>
      <c r="V135" s="29">
        <f t="shared" si="48"/>
        <v>0</v>
      </c>
      <c r="W135" s="29">
        <f t="shared" si="48"/>
        <v>0</v>
      </c>
      <c r="X135" s="29">
        <f t="shared" si="48"/>
        <v>0</v>
      </c>
      <c r="Y135" s="29">
        <f t="shared" ref="Y135" si="51">Y98-Y97</f>
        <v>0</v>
      </c>
      <c r="Z135" s="7"/>
      <c r="AA135" s="7"/>
      <c r="AB135" s="7"/>
      <c r="AC135" s="7"/>
    </row>
    <row r="136" spans="1:29" customFormat="1">
      <c r="A136" s="7"/>
      <c r="B136" s="7"/>
      <c r="C136" s="7"/>
      <c r="D136" s="7" t="s">
        <v>379</v>
      </c>
      <c r="E136" s="29">
        <f t="shared" si="35"/>
        <v>0</v>
      </c>
      <c r="F136" s="29">
        <f t="shared" si="48"/>
        <v>0</v>
      </c>
      <c r="G136" s="29">
        <f t="shared" si="48"/>
        <v>0</v>
      </c>
      <c r="H136" s="29">
        <f t="shared" si="48"/>
        <v>0</v>
      </c>
      <c r="I136" s="29">
        <f t="shared" si="48"/>
        <v>0</v>
      </c>
      <c r="J136" s="29">
        <f t="shared" si="48"/>
        <v>0</v>
      </c>
      <c r="K136" s="29">
        <f t="shared" si="48"/>
        <v>0</v>
      </c>
      <c r="L136" s="29">
        <f t="shared" si="48"/>
        <v>0</v>
      </c>
      <c r="M136" s="29">
        <f t="shared" si="48"/>
        <v>0</v>
      </c>
      <c r="N136" s="29">
        <f t="shared" si="48"/>
        <v>0</v>
      </c>
      <c r="O136" s="29">
        <f t="shared" si="48"/>
        <v>0</v>
      </c>
      <c r="P136" s="29">
        <f t="shared" si="48"/>
        <v>0</v>
      </c>
      <c r="Q136" s="29">
        <f t="shared" si="48"/>
        <v>0</v>
      </c>
      <c r="R136" s="29">
        <f t="shared" si="48"/>
        <v>0</v>
      </c>
      <c r="S136" s="29">
        <f t="shared" si="48"/>
        <v>0</v>
      </c>
      <c r="T136" s="29">
        <f t="shared" si="48"/>
        <v>0</v>
      </c>
      <c r="U136" s="29">
        <f t="shared" si="48"/>
        <v>0</v>
      </c>
      <c r="V136" s="29">
        <f t="shared" si="48"/>
        <v>0</v>
      </c>
      <c r="W136" s="29">
        <f t="shared" si="48"/>
        <v>0</v>
      </c>
      <c r="X136" s="29">
        <f t="shared" si="48"/>
        <v>0</v>
      </c>
      <c r="Y136" s="29">
        <f t="shared" ref="Y136" si="52">Y99-Y98</f>
        <v>0</v>
      </c>
      <c r="Z136" s="7"/>
      <c r="AA136" s="7"/>
      <c r="AB136" s="7"/>
      <c r="AC136" s="7"/>
    </row>
    <row r="137" spans="1:29" customFormat="1">
      <c r="A137" s="7"/>
      <c r="B137" s="7"/>
      <c r="C137" s="7"/>
      <c r="D137" s="7" t="s">
        <v>380</v>
      </c>
      <c r="E137" s="29">
        <f t="shared" si="35"/>
        <v>0</v>
      </c>
      <c r="F137" s="29">
        <f t="shared" si="48"/>
        <v>0</v>
      </c>
      <c r="G137" s="29">
        <f t="shared" si="48"/>
        <v>0</v>
      </c>
      <c r="H137" s="29">
        <f t="shared" si="48"/>
        <v>0</v>
      </c>
      <c r="I137" s="29">
        <f t="shared" si="48"/>
        <v>0</v>
      </c>
      <c r="J137" s="29">
        <f t="shared" si="48"/>
        <v>0</v>
      </c>
      <c r="K137" s="29">
        <f t="shared" si="48"/>
        <v>0</v>
      </c>
      <c r="L137" s="29">
        <f t="shared" si="48"/>
        <v>0</v>
      </c>
      <c r="M137" s="29">
        <f t="shared" si="48"/>
        <v>0</v>
      </c>
      <c r="N137" s="29">
        <f t="shared" si="48"/>
        <v>0</v>
      </c>
      <c r="O137" s="29">
        <f t="shared" si="48"/>
        <v>0</v>
      </c>
      <c r="P137" s="29">
        <f t="shared" si="48"/>
        <v>0</v>
      </c>
      <c r="Q137" s="29">
        <f t="shared" si="48"/>
        <v>0</v>
      </c>
      <c r="R137" s="29">
        <f t="shared" si="48"/>
        <v>0</v>
      </c>
      <c r="S137" s="29">
        <f t="shared" si="48"/>
        <v>0</v>
      </c>
      <c r="T137" s="29">
        <f t="shared" si="48"/>
        <v>0</v>
      </c>
      <c r="U137" s="29">
        <f t="shared" si="48"/>
        <v>0</v>
      </c>
      <c r="V137" s="29">
        <f t="shared" si="48"/>
        <v>0</v>
      </c>
      <c r="W137" s="29">
        <f t="shared" si="48"/>
        <v>0</v>
      </c>
      <c r="X137" s="29">
        <f t="shared" si="48"/>
        <v>0</v>
      </c>
      <c r="Y137" s="29">
        <f t="shared" ref="Y137" si="53">Y100-Y99</f>
        <v>0</v>
      </c>
      <c r="Z137" s="7"/>
      <c r="AA137" s="7"/>
      <c r="AB137" s="7"/>
      <c r="AC137" s="7"/>
    </row>
    <row r="138" spans="1:29" customFormat="1">
      <c r="A138" s="7"/>
      <c r="B138" s="7"/>
      <c r="C138" s="7"/>
      <c r="D138" s="7" t="s">
        <v>381</v>
      </c>
      <c r="E138" s="29">
        <f t="shared" si="35"/>
        <v>0</v>
      </c>
      <c r="F138" s="29">
        <f t="shared" si="48"/>
        <v>0</v>
      </c>
      <c r="G138" s="29">
        <f t="shared" si="48"/>
        <v>0</v>
      </c>
      <c r="H138" s="29">
        <f t="shared" si="48"/>
        <v>0</v>
      </c>
      <c r="I138" s="29">
        <f t="shared" si="48"/>
        <v>0</v>
      </c>
      <c r="J138" s="29">
        <f t="shared" si="48"/>
        <v>0</v>
      </c>
      <c r="K138" s="29">
        <f t="shared" si="48"/>
        <v>0</v>
      </c>
      <c r="L138" s="29">
        <f t="shared" si="48"/>
        <v>0</v>
      </c>
      <c r="M138" s="29">
        <f t="shared" si="48"/>
        <v>0</v>
      </c>
      <c r="N138" s="29">
        <f t="shared" si="48"/>
        <v>0</v>
      </c>
      <c r="O138" s="29">
        <f t="shared" si="48"/>
        <v>0</v>
      </c>
      <c r="P138" s="29">
        <f t="shared" si="48"/>
        <v>0</v>
      </c>
      <c r="Q138" s="29">
        <f t="shared" si="48"/>
        <v>0</v>
      </c>
      <c r="R138" s="29">
        <f t="shared" si="48"/>
        <v>0</v>
      </c>
      <c r="S138" s="29">
        <f t="shared" si="48"/>
        <v>0</v>
      </c>
      <c r="T138" s="29">
        <f t="shared" si="48"/>
        <v>0</v>
      </c>
      <c r="U138" s="29">
        <f t="shared" si="48"/>
        <v>0</v>
      </c>
      <c r="V138" s="29">
        <f t="shared" si="48"/>
        <v>0</v>
      </c>
      <c r="W138" s="29">
        <f t="shared" si="48"/>
        <v>0</v>
      </c>
      <c r="X138" s="29">
        <f t="shared" si="48"/>
        <v>0</v>
      </c>
      <c r="Y138" s="29">
        <f t="shared" ref="Y138" si="54">Y101-Y100</f>
        <v>0</v>
      </c>
      <c r="Z138" s="7"/>
      <c r="AA138" s="7"/>
      <c r="AB138" s="7"/>
      <c r="AC138" s="7"/>
    </row>
    <row r="139" spans="1:29" customFormat="1">
      <c r="A139" s="7"/>
      <c r="B139" s="7"/>
      <c r="C139" s="7"/>
      <c r="D139" s="7" t="s">
        <v>382</v>
      </c>
      <c r="E139" s="29">
        <f t="shared" si="35"/>
        <v>0</v>
      </c>
      <c r="F139" s="29">
        <f t="shared" si="48"/>
        <v>0</v>
      </c>
      <c r="G139" s="29">
        <f t="shared" si="48"/>
        <v>0</v>
      </c>
      <c r="H139" s="29">
        <f t="shared" si="48"/>
        <v>0</v>
      </c>
      <c r="I139" s="29">
        <f t="shared" si="48"/>
        <v>0</v>
      </c>
      <c r="J139" s="29">
        <f t="shared" si="48"/>
        <v>0</v>
      </c>
      <c r="K139" s="29">
        <f t="shared" si="48"/>
        <v>0</v>
      </c>
      <c r="L139" s="29">
        <f t="shared" si="48"/>
        <v>0</v>
      </c>
      <c r="M139" s="29">
        <f t="shared" si="48"/>
        <v>0</v>
      </c>
      <c r="N139" s="29">
        <f t="shared" si="48"/>
        <v>0</v>
      </c>
      <c r="O139" s="29">
        <f t="shared" si="48"/>
        <v>0</v>
      </c>
      <c r="P139" s="29">
        <f t="shared" si="48"/>
        <v>0</v>
      </c>
      <c r="Q139" s="29">
        <f t="shared" si="48"/>
        <v>0</v>
      </c>
      <c r="R139" s="29">
        <f t="shared" si="48"/>
        <v>0</v>
      </c>
      <c r="S139" s="29">
        <f t="shared" si="48"/>
        <v>0</v>
      </c>
      <c r="T139" s="29">
        <f t="shared" si="48"/>
        <v>0</v>
      </c>
      <c r="U139" s="29">
        <f t="shared" si="48"/>
        <v>0</v>
      </c>
      <c r="V139" s="29">
        <f t="shared" si="48"/>
        <v>0</v>
      </c>
      <c r="W139" s="29">
        <f t="shared" si="48"/>
        <v>0</v>
      </c>
      <c r="X139" s="29">
        <f t="shared" si="48"/>
        <v>0</v>
      </c>
      <c r="Y139" s="29">
        <f t="shared" ref="Y139" si="55">Y102-Y101</f>
        <v>0</v>
      </c>
      <c r="Z139" s="7"/>
      <c r="AA139" s="7"/>
      <c r="AB139" s="7"/>
      <c r="AC139" s="7"/>
    </row>
    <row r="140" spans="1:29" customForma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row>
    <row r="141" spans="1:29" customFormat="1" ht="15">
      <c r="A141" s="7"/>
      <c r="B141" s="7"/>
      <c r="C141" s="7"/>
      <c r="D141" s="65" t="s">
        <v>135</v>
      </c>
      <c r="E141" s="66">
        <f t="shared" ref="E141:W141" si="56">SUM(E108:E139)</f>
        <v>0.15533805758191471</v>
      </c>
      <c r="F141" s="66">
        <f t="shared" si="56"/>
        <v>0.34528257299678017</v>
      </c>
      <c r="G141" s="66">
        <f t="shared" si="56"/>
        <v>0.57683786920181246</v>
      </c>
      <c r="H141" s="66">
        <f t="shared" si="56"/>
        <v>0.84462493109654357</v>
      </c>
      <c r="I141" s="66">
        <f t="shared" si="56"/>
        <v>1.1489491113387609</v>
      </c>
      <c r="J141" s="66">
        <f t="shared" si="56"/>
        <v>1.503560953936546</v>
      </c>
      <c r="K141" s="66">
        <f t="shared" si="56"/>
        <v>1.8911336544011383</v>
      </c>
      <c r="L141" s="66">
        <f t="shared" si="56"/>
        <v>2.2853531024832492</v>
      </c>
      <c r="M141" s="66">
        <f t="shared" si="56"/>
        <v>2.6548621998055846</v>
      </c>
      <c r="N141" s="66">
        <f t="shared" si="56"/>
        <v>2.9701874176357439</v>
      </c>
      <c r="O141" s="66">
        <f t="shared" si="56"/>
        <v>3.2115552408720096</v>
      </c>
      <c r="P141" s="66">
        <f t="shared" si="56"/>
        <v>3.3741500117527403</v>
      </c>
      <c r="Q141" s="66">
        <f t="shared" si="56"/>
        <v>3.4679191848207895</v>
      </c>
      <c r="R141" s="66">
        <f t="shared" si="56"/>
        <v>3.5118612025294462</v>
      </c>
      <c r="S141" s="66">
        <f t="shared" si="56"/>
        <v>3.526067268886953</v>
      </c>
      <c r="T141" s="66">
        <f t="shared" si="56"/>
        <v>4.3155800236992823</v>
      </c>
      <c r="U141" s="66">
        <f t="shared" si="56"/>
        <v>4.2449826606632488</v>
      </c>
      <c r="V141" s="66">
        <f t="shared" si="56"/>
        <v>4.1638744244910599</v>
      </c>
      <c r="W141" s="66">
        <f t="shared" si="56"/>
        <v>4.0945209700100955</v>
      </c>
      <c r="X141" s="66">
        <f>SUM(X108:X139)</f>
        <v>4.0260103868967665</v>
      </c>
      <c r="Y141" s="66"/>
      <c r="AA141" s="7"/>
      <c r="AB141" s="7"/>
      <c r="AC141" s="7"/>
    </row>
    <row r="142" spans="1:29" ht="15">
      <c r="D142" s="65" t="s">
        <v>136</v>
      </c>
      <c r="E142" s="66">
        <f>E141</f>
        <v>0.15533805758191471</v>
      </c>
      <c r="F142" s="66">
        <f t="shared" ref="F142:X142" si="57">E142+F141</f>
        <v>0.50062063057869488</v>
      </c>
      <c r="G142" s="66">
        <f t="shared" si="57"/>
        <v>1.0774584997805072</v>
      </c>
      <c r="H142" s="66">
        <f t="shared" si="57"/>
        <v>1.9220834308770507</v>
      </c>
      <c r="I142" s="66">
        <f t="shared" si="57"/>
        <v>3.0710325422158116</v>
      </c>
      <c r="J142" s="66">
        <f t="shared" si="57"/>
        <v>4.5745934961523576</v>
      </c>
      <c r="K142" s="66">
        <f t="shared" si="57"/>
        <v>6.4657271505534961</v>
      </c>
      <c r="L142" s="66">
        <f t="shared" si="57"/>
        <v>8.7510802530367453</v>
      </c>
      <c r="M142" s="66">
        <f t="shared" si="57"/>
        <v>11.40594245284233</v>
      </c>
      <c r="N142" s="66">
        <f t="shared" si="57"/>
        <v>14.376129870478074</v>
      </c>
      <c r="O142" s="66">
        <f t="shared" si="57"/>
        <v>17.587685111350083</v>
      </c>
      <c r="P142" s="66">
        <f t="shared" si="57"/>
        <v>20.961835123102823</v>
      </c>
      <c r="Q142" s="66">
        <f t="shared" si="57"/>
        <v>24.429754307923613</v>
      </c>
      <c r="R142" s="66">
        <f t="shared" si="57"/>
        <v>27.941615510453058</v>
      </c>
      <c r="S142" s="66">
        <f t="shared" si="57"/>
        <v>31.467682779340009</v>
      </c>
      <c r="T142" s="66">
        <f t="shared" si="57"/>
        <v>35.783262803039293</v>
      </c>
      <c r="U142" s="66">
        <f t="shared" si="57"/>
        <v>40.02824546370254</v>
      </c>
      <c r="V142" s="66">
        <f t="shared" si="57"/>
        <v>44.192119888193602</v>
      </c>
      <c r="W142" s="66">
        <f t="shared" si="57"/>
        <v>48.286640858203697</v>
      </c>
      <c r="X142" s="66">
        <f t="shared" si="57"/>
        <v>52.312651245100461</v>
      </c>
      <c r="Y142" s="66">
        <f>SUM(Y108:Y139)</f>
        <v>55.148489038284595</v>
      </c>
      <c r="Z142"/>
    </row>
    <row r="143" spans="1:29">
      <c r="E143" s="53"/>
      <c r="F143" s="131"/>
      <c r="G143" s="131"/>
      <c r="H143" s="131"/>
      <c r="I143" s="131"/>
      <c r="J143" s="131"/>
      <c r="K143" s="131"/>
      <c r="L143" s="131"/>
      <c r="M143" s="131"/>
      <c r="N143" s="131"/>
      <c r="O143" s="131"/>
      <c r="P143" s="131"/>
      <c r="Q143" s="131"/>
      <c r="R143" s="131"/>
      <c r="S143" s="131"/>
      <c r="T143" s="131"/>
      <c r="U143" s="131"/>
      <c r="V143" s="131"/>
      <c r="W143" s="131"/>
      <c r="X143" s="131"/>
      <c r="Y143" s="131"/>
      <c r="Z143" s="131"/>
    </row>
    <row r="144" spans="1:29">
      <c r="E144" s="53"/>
      <c r="F144" s="131"/>
      <c r="G144" s="131"/>
      <c r="H144" s="131"/>
      <c r="I144" s="131"/>
      <c r="J144" s="131"/>
      <c r="K144" s="131"/>
      <c r="L144" s="131"/>
      <c r="M144" s="131"/>
      <c r="N144" s="131"/>
      <c r="O144" s="131"/>
      <c r="P144" s="131"/>
      <c r="Q144" s="131"/>
      <c r="R144" s="131"/>
      <c r="S144" s="131"/>
      <c r="T144" s="131"/>
      <c r="U144" s="131"/>
      <c r="V144" s="131"/>
      <c r="W144" s="131"/>
      <c r="X144" s="131"/>
      <c r="Y144" s="131"/>
      <c r="Z144" s="131"/>
    </row>
    <row r="145" spans="1:25" ht="15">
      <c r="A145" s="55" t="str">
        <f>CONCATENATE("ACHIEVABLE SAVINGS - CUMULATIVE BY MILL BIN - FOR MEASURE - ",D146)</f>
        <v>ACHIEVABLE SAVINGS - CUMULATIVE BY MILL BIN - FOR MEASURE - ASHP</v>
      </c>
      <c r="D145" s="7" t="s">
        <v>157</v>
      </c>
      <c r="E145" s="58">
        <f>E106</f>
        <v>2016</v>
      </c>
      <c r="F145" s="59">
        <f t="shared" ref="F145:X145" si="58">F106</f>
        <v>2017</v>
      </c>
      <c r="G145" s="59">
        <f t="shared" si="58"/>
        <v>2018</v>
      </c>
      <c r="H145" s="59">
        <f t="shared" si="58"/>
        <v>2019</v>
      </c>
      <c r="I145" s="59">
        <f t="shared" si="58"/>
        <v>2020</v>
      </c>
      <c r="J145" s="59">
        <f t="shared" si="58"/>
        <v>2021</v>
      </c>
      <c r="K145" s="59">
        <f t="shared" si="58"/>
        <v>2022</v>
      </c>
      <c r="L145" s="59">
        <f t="shared" si="58"/>
        <v>2023</v>
      </c>
      <c r="M145" s="59">
        <f t="shared" si="58"/>
        <v>2024</v>
      </c>
      <c r="N145" s="59">
        <f t="shared" si="58"/>
        <v>2025</v>
      </c>
      <c r="O145" s="59">
        <f t="shared" si="58"/>
        <v>2026</v>
      </c>
      <c r="P145" s="59">
        <f t="shared" si="58"/>
        <v>2027</v>
      </c>
      <c r="Q145" s="59">
        <f t="shared" si="58"/>
        <v>2028</v>
      </c>
      <c r="R145" s="59">
        <f t="shared" si="58"/>
        <v>2029</v>
      </c>
      <c r="S145" s="59">
        <f t="shared" si="58"/>
        <v>2030</v>
      </c>
      <c r="T145" s="59">
        <f t="shared" si="58"/>
        <v>2031</v>
      </c>
      <c r="U145" s="59">
        <f t="shared" si="58"/>
        <v>2032</v>
      </c>
      <c r="V145" s="59">
        <f t="shared" si="58"/>
        <v>2033</v>
      </c>
      <c r="W145" s="59">
        <f t="shared" si="58"/>
        <v>2034</v>
      </c>
      <c r="X145" s="59">
        <f t="shared" si="58"/>
        <v>2035</v>
      </c>
      <c r="Y145" s="60"/>
    </row>
    <row r="146" spans="1:25" ht="15">
      <c r="D146" s="129" t="str">
        <f>$C$8</f>
        <v>ASHP</v>
      </c>
      <c r="E146" s="61" t="str">
        <f>CONCATENATE("aMW_",E$11)</f>
        <v>aMW_2016</v>
      </c>
      <c r="F146" s="62" t="str">
        <f t="shared" ref="F146:X146" si="59">CONCATENATE("aMW_",F$11)</f>
        <v>aMW_2017</v>
      </c>
      <c r="G146" s="62" t="str">
        <f t="shared" si="59"/>
        <v>aMW_2018</v>
      </c>
      <c r="H146" s="62" t="str">
        <f t="shared" si="59"/>
        <v>aMW_2019</v>
      </c>
      <c r="I146" s="62" t="str">
        <f t="shared" si="59"/>
        <v>aMW_2020</v>
      </c>
      <c r="J146" s="62" t="str">
        <f t="shared" si="59"/>
        <v>aMW_2021</v>
      </c>
      <c r="K146" s="62" t="str">
        <f t="shared" si="59"/>
        <v>aMW_2022</v>
      </c>
      <c r="L146" s="62" t="str">
        <f t="shared" si="59"/>
        <v>aMW_2023</v>
      </c>
      <c r="M146" s="62" t="str">
        <f t="shared" si="59"/>
        <v>aMW_2024</v>
      </c>
      <c r="N146" s="62" t="str">
        <f t="shared" si="59"/>
        <v>aMW_2025</v>
      </c>
      <c r="O146" s="62" t="str">
        <f t="shared" si="59"/>
        <v>aMW_2026</v>
      </c>
      <c r="P146" s="62" t="str">
        <f t="shared" si="59"/>
        <v>aMW_2027</v>
      </c>
      <c r="Q146" s="62" t="str">
        <f t="shared" si="59"/>
        <v>aMW_2028</v>
      </c>
      <c r="R146" s="62" t="str">
        <f t="shared" si="59"/>
        <v>aMW_2029</v>
      </c>
      <c r="S146" s="62" t="str">
        <f t="shared" si="59"/>
        <v>aMW_2030</v>
      </c>
      <c r="T146" s="62" t="str">
        <f t="shared" si="59"/>
        <v>aMW_2031</v>
      </c>
      <c r="U146" s="62" t="str">
        <f t="shared" si="59"/>
        <v>aMW_2032</v>
      </c>
      <c r="V146" s="62" t="str">
        <f t="shared" si="59"/>
        <v>aMW_2033</v>
      </c>
      <c r="W146" s="62" t="str">
        <f t="shared" si="59"/>
        <v>aMW_2034</v>
      </c>
      <c r="X146" s="62" t="str">
        <f t="shared" si="59"/>
        <v>aMW_2035</v>
      </c>
      <c r="Y146" s="63"/>
    </row>
    <row r="147" spans="1:25">
      <c r="D147" s="7" t="s">
        <v>68</v>
      </c>
      <c r="E147" s="132">
        <f t="shared" ref="E147:E177" si="60">E108</f>
        <v>0</v>
      </c>
      <c r="F147" s="133">
        <f t="shared" ref="F147:X147" si="61">E147+F108</f>
        <v>0</v>
      </c>
      <c r="G147" s="133">
        <f t="shared" si="61"/>
        <v>0</v>
      </c>
      <c r="H147" s="133">
        <f t="shared" si="61"/>
        <v>0</v>
      </c>
      <c r="I147" s="133">
        <f t="shared" si="61"/>
        <v>0</v>
      </c>
      <c r="J147" s="133">
        <f t="shared" si="61"/>
        <v>0</v>
      </c>
      <c r="K147" s="133">
        <f t="shared" si="61"/>
        <v>0</v>
      </c>
      <c r="L147" s="133">
        <f t="shared" si="61"/>
        <v>0</v>
      </c>
      <c r="M147" s="133">
        <f t="shared" si="61"/>
        <v>0</v>
      </c>
      <c r="N147" s="133">
        <f t="shared" si="61"/>
        <v>0</v>
      </c>
      <c r="O147" s="133">
        <f t="shared" si="61"/>
        <v>0</v>
      </c>
      <c r="P147" s="133">
        <f t="shared" si="61"/>
        <v>0</v>
      </c>
      <c r="Q147" s="133">
        <f t="shared" si="61"/>
        <v>0</v>
      </c>
      <c r="R147" s="133">
        <f t="shared" si="61"/>
        <v>0</v>
      </c>
      <c r="S147" s="133">
        <f t="shared" si="61"/>
        <v>0</v>
      </c>
      <c r="T147" s="133">
        <f t="shared" si="61"/>
        <v>0</v>
      </c>
      <c r="U147" s="133">
        <f t="shared" si="61"/>
        <v>0</v>
      </c>
      <c r="V147" s="133">
        <f t="shared" si="61"/>
        <v>0</v>
      </c>
      <c r="W147" s="133">
        <f t="shared" si="61"/>
        <v>0</v>
      </c>
      <c r="X147" s="133">
        <f t="shared" si="61"/>
        <v>0</v>
      </c>
      <c r="Y147" s="133"/>
    </row>
    <row r="148" spans="1:25">
      <c r="D148" s="7" t="s">
        <v>544</v>
      </c>
      <c r="E148" s="132">
        <f t="shared" si="60"/>
        <v>0</v>
      </c>
      <c r="F148" s="133">
        <f t="shared" ref="F148:X148" si="62">E148+F109</f>
        <v>0</v>
      </c>
      <c r="G148" s="133">
        <f t="shared" si="62"/>
        <v>0</v>
      </c>
      <c r="H148" s="133">
        <f t="shared" si="62"/>
        <v>0</v>
      </c>
      <c r="I148" s="133">
        <f t="shared" si="62"/>
        <v>0</v>
      </c>
      <c r="J148" s="133">
        <f t="shared" si="62"/>
        <v>0</v>
      </c>
      <c r="K148" s="133">
        <f t="shared" si="62"/>
        <v>0</v>
      </c>
      <c r="L148" s="133">
        <f t="shared" si="62"/>
        <v>0</v>
      </c>
      <c r="M148" s="133">
        <f t="shared" si="62"/>
        <v>0</v>
      </c>
      <c r="N148" s="133">
        <f t="shared" si="62"/>
        <v>0</v>
      </c>
      <c r="O148" s="133">
        <f t="shared" si="62"/>
        <v>0</v>
      </c>
      <c r="P148" s="133">
        <f t="shared" si="62"/>
        <v>0</v>
      </c>
      <c r="Q148" s="133">
        <f t="shared" si="62"/>
        <v>0</v>
      </c>
      <c r="R148" s="133">
        <f t="shared" si="62"/>
        <v>0</v>
      </c>
      <c r="S148" s="133">
        <f t="shared" si="62"/>
        <v>0</v>
      </c>
      <c r="T148" s="133">
        <f t="shared" si="62"/>
        <v>0</v>
      </c>
      <c r="U148" s="133">
        <f t="shared" si="62"/>
        <v>0</v>
      </c>
      <c r="V148" s="133">
        <f t="shared" si="62"/>
        <v>0</v>
      </c>
      <c r="W148" s="133">
        <f t="shared" si="62"/>
        <v>0</v>
      </c>
      <c r="X148" s="133">
        <f t="shared" si="62"/>
        <v>0</v>
      </c>
      <c r="Y148" s="133"/>
    </row>
    <row r="149" spans="1:25">
      <c r="D149" s="7" t="s">
        <v>74</v>
      </c>
      <c r="E149" s="132">
        <f t="shared" si="60"/>
        <v>0</v>
      </c>
      <c r="F149" s="133">
        <f t="shared" ref="F149:X149" si="63">E149+F110</f>
        <v>0</v>
      </c>
      <c r="G149" s="133">
        <f t="shared" si="63"/>
        <v>0</v>
      </c>
      <c r="H149" s="133">
        <f t="shared" si="63"/>
        <v>0</v>
      </c>
      <c r="I149" s="133">
        <f t="shared" si="63"/>
        <v>0</v>
      </c>
      <c r="J149" s="133">
        <f t="shared" si="63"/>
        <v>0</v>
      </c>
      <c r="K149" s="133">
        <f t="shared" si="63"/>
        <v>0</v>
      </c>
      <c r="L149" s="133">
        <f t="shared" si="63"/>
        <v>0</v>
      </c>
      <c r="M149" s="133">
        <f t="shared" si="63"/>
        <v>0</v>
      </c>
      <c r="N149" s="133">
        <f t="shared" si="63"/>
        <v>0</v>
      </c>
      <c r="O149" s="133">
        <f t="shared" si="63"/>
        <v>0</v>
      </c>
      <c r="P149" s="133">
        <f t="shared" si="63"/>
        <v>0</v>
      </c>
      <c r="Q149" s="133">
        <f t="shared" si="63"/>
        <v>0</v>
      </c>
      <c r="R149" s="133">
        <f t="shared" si="63"/>
        <v>0</v>
      </c>
      <c r="S149" s="133">
        <f t="shared" si="63"/>
        <v>0</v>
      </c>
      <c r="T149" s="133">
        <f t="shared" si="63"/>
        <v>0</v>
      </c>
      <c r="U149" s="133">
        <f t="shared" si="63"/>
        <v>0</v>
      </c>
      <c r="V149" s="133">
        <f t="shared" si="63"/>
        <v>0</v>
      </c>
      <c r="W149" s="133">
        <f t="shared" si="63"/>
        <v>0</v>
      </c>
      <c r="X149" s="133">
        <f t="shared" si="63"/>
        <v>0</v>
      </c>
      <c r="Y149" s="133"/>
    </row>
    <row r="150" spans="1:25">
      <c r="D150" s="7" t="s">
        <v>77</v>
      </c>
      <c r="E150" s="132">
        <f t="shared" si="60"/>
        <v>0</v>
      </c>
      <c r="F150" s="133">
        <f t="shared" ref="F150:X150" si="64">E150+F111</f>
        <v>0</v>
      </c>
      <c r="G150" s="133">
        <f t="shared" si="64"/>
        <v>0</v>
      </c>
      <c r="H150" s="133">
        <f t="shared" si="64"/>
        <v>0</v>
      </c>
      <c r="I150" s="133">
        <f t="shared" si="64"/>
        <v>0</v>
      </c>
      <c r="J150" s="133">
        <f t="shared" si="64"/>
        <v>0</v>
      </c>
      <c r="K150" s="133">
        <f t="shared" si="64"/>
        <v>0</v>
      </c>
      <c r="L150" s="133">
        <f t="shared" si="64"/>
        <v>0</v>
      </c>
      <c r="M150" s="133">
        <f t="shared" si="64"/>
        <v>0</v>
      </c>
      <c r="N150" s="133">
        <f t="shared" si="64"/>
        <v>0</v>
      </c>
      <c r="O150" s="133">
        <f t="shared" si="64"/>
        <v>0</v>
      </c>
      <c r="P150" s="133">
        <f t="shared" si="64"/>
        <v>0</v>
      </c>
      <c r="Q150" s="133">
        <f t="shared" si="64"/>
        <v>0</v>
      </c>
      <c r="R150" s="133">
        <f t="shared" si="64"/>
        <v>0</v>
      </c>
      <c r="S150" s="133">
        <f t="shared" si="64"/>
        <v>0</v>
      </c>
      <c r="T150" s="133">
        <f t="shared" si="64"/>
        <v>0</v>
      </c>
      <c r="U150" s="133">
        <f t="shared" si="64"/>
        <v>0</v>
      </c>
      <c r="V150" s="133">
        <f t="shared" si="64"/>
        <v>0</v>
      </c>
      <c r="W150" s="133">
        <f t="shared" si="64"/>
        <v>0</v>
      </c>
      <c r="X150" s="133">
        <f t="shared" si="64"/>
        <v>0</v>
      </c>
      <c r="Y150" s="133"/>
    </row>
    <row r="151" spans="1:25">
      <c r="D151" s="7" t="s">
        <v>80</v>
      </c>
      <c r="E151" s="132">
        <f t="shared" si="60"/>
        <v>0</v>
      </c>
      <c r="F151" s="133">
        <f t="shared" ref="F151:X151" si="65">E151+F112</f>
        <v>0</v>
      </c>
      <c r="G151" s="133">
        <f t="shared" si="65"/>
        <v>0</v>
      </c>
      <c r="H151" s="133">
        <f t="shared" si="65"/>
        <v>0</v>
      </c>
      <c r="I151" s="133">
        <f t="shared" si="65"/>
        <v>0</v>
      </c>
      <c r="J151" s="133">
        <f t="shared" si="65"/>
        <v>0</v>
      </c>
      <c r="K151" s="133">
        <f t="shared" si="65"/>
        <v>0</v>
      </c>
      <c r="L151" s="133">
        <f t="shared" si="65"/>
        <v>0</v>
      </c>
      <c r="M151" s="133">
        <f t="shared" si="65"/>
        <v>0</v>
      </c>
      <c r="N151" s="133">
        <f t="shared" si="65"/>
        <v>0</v>
      </c>
      <c r="O151" s="133">
        <f t="shared" si="65"/>
        <v>0</v>
      </c>
      <c r="P151" s="133">
        <f t="shared" si="65"/>
        <v>0</v>
      </c>
      <c r="Q151" s="133">
        <f t="shared" si="65"/>
        <v>0</v>
      </c>
      <c r="R151" s="133">
        <f t="shared" si="65"/>
        <v>0</v>
      </c>
      <c r="S151" s="133">
        <f t="shared" si="65"/>
        <v>0</v>
      </c>
      <c r="T151" s="133">
        <f t="shared" si="65"/>
        <v>0</v>
      </c>
      <c r="U151" s="133">
        <f t="shared" si="65"/>
        <v>0</v>
      </c>
      <c r="V151" s="133">
        <f t="shared" si="65"/>
        <v>0</v>
      </c>
      <c r="W151" s="133">
        <f t="shared" si="65"/>
        <v>0</v>
      </c>
      <c r="X151" s="133">
        <f t="shared" si="65"/>
        <v>0</v>
      </c>
      <c r="Y151" s="133"/>
    </row>
    <row r="152" spans="1:25">
      <c r="D152" s="7" t="s">
        <v>83</v>
      </c>
      <c r="E152" s="132">
        <f t="shared" si="60"/>
        <v>0</v>
      </c>
      <c r="F152" s="133">
        <f t="shared" ref="F152:X152" si="66">E152+F113</f>
        <v>0</v>
      </c>
      <c r="G152" s="133">
        <f t="shared" si="66"/>
        <v>0</v>
      </c>
      <c r="H152" s="133">
        <f t="shared" si="66"/>
        <v>0</v>
      </c>
      <c r="I152" s="133">
        <f t="shared" si="66"/>
        <v>0</v>
      </c>
      <c r="J152" s="133">
        <f t="shared" si="66"/>
        <v>0</v>
      </c>
      <c r="K152" s="133">
        <f t="shared" si="66"/>
        <v>0</v>
      </c>
      <c r="L152" s="133">
        <f t="shared" si="66"/>
        <v>0</v>
      </c>
      <c r="M152" s="133">
        <f t="shared" si="66"/>
        <v>0</v>
      </c>
      <c r="N152" s="133">
        <f t="shared" si="66"/>
        <v>0</v>
      </c>
      <c r="O152" s="133">
        <f t="shared" si="66"/>
        <v>0</v>
      </c>
      <c r="P152" s="133">
        <f t="shared" si="66"/>
        <v>0</v>
      </c>
      <c r="Q152" s="133">
        <f t="shared" si="66"/>
        <v>0</v>
      </c>
      <c r="R152" s="133">
        <f t="shared" si="66"/>
        <v>0</v>
      </c>
      <c r="S152" s="133">
        <f t="shared" si="66"/>
        <v>0</v>
      </c>
      <c r="T152" s="133">
        <f t="shared" si="66"/>
        <v>0</v>
      </c>
      <c r="U152" s="133">
        <f t="shared" si="66"/>
        <v>0</v>
      </c>
      <c r="V152" s="133">
        <f t="shared" si="66"/>
        <v>0</v>
      </c>
      <c r="W152" s="133">
        <f t="shared" si="66"/>
        <v>0</v>
      </c>
      <c r="X152" s="133">
        <f t="shared" si="66"/>
        <v>0</v>
      </c>
      <c r="Y152" s="133"/>
    </row>
    <row r="153" spans="1:25">
      <c r="D153" s="7" t="s">
        <v>86</v>
      </c>
      <c r="E153" s="132">
        <f t="shared" si="60"/>
        <v>0</v>
      </c>
      <c r="F153" s="133">
        <f t="shared" ref="F153:X153" si="67">E153+F114</f>
        <v>0</v>
      </c>
      <c r="G153" s="133">
        <f t="shared" si="67"/>
        <v>0</v>
      </c>
      <c r="H153" s="133">
        <f t="shared" si="67"/>
        <v>0</v>
      </c>
      <c r="I153" s="133">
        <f t="shared" si="67"/>
        <v>0</v>
      </c>
      <c r="J153" s="133">
        <f t="shared" si="67"/>
        <v>0</v>
      </c>
      <c r="K153" s="133">
        <f t="shared" si="67"/>
        <v>0</v>
      </c>
      <c r="L153" s="133">
        <f t="shared" si="67"/>
        <v>0</v>
      </c>
      <c r="M153" s="133">
        <f t="shared" si="67"/>
        <v>0</v>
      </c>
      <c r="N153" s="133">
        <f t="shared" si="67"/>
        <v>0</v>
      </c>
      <c r="O153" s="133">
        <f t="shared" si="67"/>
        <v>0</v>
      </c>
      <c r="P153" s="133">
        <f t="shared" si="67"/>
        <v>0</v>
      </c>
      <c r="Q153" s="133">
        <f t="shared" si="67"/>
        <v>0</v>
      </c>
      <c r="R153" s="133">
        <f t="shared" si="67"/>
        <v>0</v>
      </c>
      <c r="S153" s="133">
        <f t="shared" si="67"/>
        <v>0</v>
      </c>
      <c r="T153" s="133">
        <f t="shared" si="67"/>
        <v>0</v>
      </c>
      <c r="U153" s="133">
        <f t="shared" si="67"/>
        <v>0</v>
      </c>
      <c r="V153" s="133">
        <f t="shared" si="67"/>
        <v>0</v>
      </c>
      <c r="W153" s="133">
        <f t="shared" si="67"/>
        <v>0</v>
      </c>
      <c r="X153" s="133">
        <f t="shared" si="67"/>
        <v>0</v>
      </c>
      <c r="Y153" s="133"/>
    </row>
    <row r="154" spans="1:25">
      <c r="D154" s="7" t="s">
        <v>89</v>
      </c>
      <c r="E154" s="132">
        <f t="shared" si="60"/>
        <v>0</v>
      </c>
      <c r="F154" s="133">
        <f t="shared" ref="F154:X154" si="68">E154+F115</f>
        <v>0</v>
      </c>
      <c r="G154" s="133">
        <f t="shared" si="68"/>
        <v>0</v>
      </c>
      <c r="H154" s="133">
        <f t="shared" si="68"/>
        <v>0</v>
      </c>
      <c r="I154" s="133">
        <f t="shared" si="68"/>
        <v>0</v>
      </c>
      <c r="J154" s="133">
        <f t="shared" si="68"/>
        <v>0</v>
      </c>
      <c r="K154" s="133">
        <f t="shared" si="68"/>
        <v>0</v>
      </c>
      <c r="L154" s="133">
        <f t="shared" si="68"/>
        <v>0</v>
      </c>
      <c r="M154" s="133">
        <f t="shared" si="68"/>
        <v>0</v>
      </c>
      <c r="N154" s="133">
        <f t="shared" si="68"/>
        <v>0</v>
      </c>
      <c r="O154" s="133">
        <f t="shared" si="68"/>
        <v>0</v>
      </c>
      <c r="P154" s="133">
        <f t="shared" si="68"/>
        <v>0</v>
      </c>
      <c r="Q154" s="133">
        <f t="shared" si="68"/>
        <v>0</v>
      </c>
      <c r="R154" s="133">
        <f t="shared" si="68"/>
        <v>0</v>
      </c>
      <c r="S154" s="133">
        <f t="shared" si="68"/>
        <v>0</v>
      </c>
      <c r="T154" s="133">
        <f t="shared" si="68"/>
        <v>0</v>
      </c>
      <c r="U154" s="133">
        <f t="shared" si="68"/>
        <v>0</v>
      </c>
      <c r="V154" s="133">
        <f t="shared" si="68"/>
        <v>0</v>
      </c>
      <c r="W154" s="133">
        <f t="shared" si="68"/>
        <v>0</v>
      </c>
      <c r="X154" s="133">
        <f t="shared" si="68"/>
        <v>0</v>
      </c>
      <c r="Y154" s="133"/>
    </row>
    <row r="155" spans="1:25">
      <c r="D155" s="7" t="s">
        <v>92</v>
      </c>
      <c r="E155" s="132">
        <f t="shared" si="60"/>
        <v>1.7277601163127911E-2</v>
      </c>
      <c r="F155" s="133">
        <f t="shared" ref="F155:X155" si="69">E155+F116</f>
        <v>5.5681934767409569E-2</v>
      </c>
      <c r="G155" s="133">
        <f t="shared" si="69"/>
        <v>0.11984119358009217</v>
      </c>
      <c r="H155" s="133">
        <f t="shared" si="69"/>
        <v>0.21378528506086192</v>
      </c>
      <c r="I155" s="133">
        <f t="shared" si="69"/>
        <v>0.34157807976587645</v>
      </c>
      <c r="J155" s="133">
        <f t="shared" si="69"/>
        <v>0.50881286363633127</v>
      </c>
      <c r="K155" s="133">
        <f t="shared" si="69"/>
        <v>0.71915573476230288</v>
      </c>
      <c r="L155" s="133">
        <f t="shared" si="69"/>
        <v>0.9733459830264839</v>
      </c>
      <c r="M155" s="133">
        <f t="shared" si="69"/>
        <v>1.2686351796685673</v>
      </c>
      <c r="N155" s="133">
        <f t="shared" si="69"/>
        <v>1.598996678843293</v>
      </c>
      <c r="O155" s="133">
        <f t="shared" si="69"/>
        <v>1.9562045094863354</v>
      </c>
      <c r="P155" s="133">
        <f t="shared" si="69"/>
        <v>2.3314970751017206</v>
      </c>
      <c r="Q155" s="133">
        <f t="shared" si="69"/>
        <v>2.7172191928750609</v>
      </c>
      <c r="R155" s="133">
        <f t="shared" si="69"/>
        <v>3.1078287971284801</v>
      </c>
      <c r="S155" s="133">
        <f t="shared" si="69"/>
        <v>3.5000184826088869</v>
      </c>
      <c r="T155" s="133">
        <f t="shared" si="69"/>
        <v>3.9800223631628775</v>
      </c>
      <c r="U155" s="133">
        <f t="shared" si="69"/>
        <v>4.4521739948816981</v>
      </c>
      <c r="V155" s="133">
        <f t="shared" si="69"/>
        <v>4.9153042973947709</v>
      </c>
      <c r="W155" s="133">
        <f t="shared" si="69"/>
        <v>5.3707207058083544</v>
      </c>
      <c r="X155" s="133">
        <f t="shared" si="69"/>
        <v>5.8185169691724141</v>
      </c>
      <c r="Y155" s="133"/>
    </row>
    <row r="156" spans="1:25">
      <c r="D156" s="7" t="s">
        <v>95</v>
      </c>
      <c r="E156" s="132">
        <f t="shared" si="60"/>
        <v>3.8438762427152245E-2</v>
      </c>
      <c r="F156" s="133">
        <f t="shared" ref="F156:X156" si="70">E156+F117</f>
        <v>0.12387973549107906</v>
      </c>
      <c r="G156" s="133">
        <f t="shared" si="70"/>
        <v>0.26661960335340695</v>
      </c>
      <c r="H156" s="133">
        <f t="shared" si="70"/>
        <v>0.4756240004204253</v>
      </c>
      <c r="I156" s="133">
        <f t="shared" si="70"/>
        <v>0.75993412132141014</v>
      </c>
      <c r="J156" s="133">
        <f t="shared" si="70"/>
        <v>1.1319937646746312</v>
      </c>
      <c r="K156" s="133">
        <f t="shared" si="70"/>
        <v>1.5999591711635359</v>
      </c>
      <c r="L156" s="133">
        <f t="shared" si="70"/>
        <v>2.1654750938934493</v>
      </c>
      <c r="M156" s="133">
        <f t="shared" si="70"/>
        <v>2.8224268992894941</v>
      </c>
      <c r="N156" s="133">
        <f t="shared" si="70"/>
        <v>3.5574066607713934</v>
      </c>
      <c r="O156" s="133">
        <f t="shared" si="70"/>
        <v>4.352113449611319</v>
      </c>
      <c r="P156" s="133">
        <f t="shared" si="70"/>
        <v>5.1870546914054785</v>
      </c>
      <c r="Q156" s="133">
        <f t="shared" si="70"/>
        <v>6.0451993324352218</v>
      </c>
      <c r="R156" s="133">
        <f t="shared" si="70"/>
        <v>6.9142175276059525</v>
      </c>
      <c r="S156" s="133">
        <f t="shared" si="70"/>
        <v>7.7867510468269572</v>
      </c>
      <c r="T156" s="133">
        <f t="shared" si="70"/>
        <v>8.854651327341692</v>
      </c>
      <c r="U156" s="133">
        <f t="shared" si="70"/>
        <v>9.905082126726251</v>
      </c>
      <c r="V156" s="133">
        <f t="shared" si="70"/>
        <v>10.935442505058557</v>
      </c>
      <c r="W156" s="133">
        <f t="shared" si="70"/>
        <v>11.948641210316058</v>
      </c>
      <c r="X156" s="133">
        <f t="shared" si="70"/>
        <v>12.944886812972477</v>
      </c>
      <c r="Y156" s="133"/>
    </row>
    <row r="157" spans="1:25">
      <c r="D157" s="7" t="s">
        <v>98</v>
      </c>
      <c r="E157" s="132">
        <f t="shared" si="60"/>
        <v>0</v>
      </c>
      <c r="F157" s="133">
        <f t="shared" ref="F157:X157" si="71">E157+F118</f>
        <v>0</v>
      </c>
      <c r="G157" s="133">
        <f t="shared" si="71"/>
        <v>0</v>
      </c>
      <c r="H157" s="133">
        <f t="shared" si="71"/>
        <v>0</v>
      </c>
      <c r="I157" s="133">
        <f t="shared" si="71"/>
        <v>0</v>
      </c>
      <c r="J157" s="133">
        <f t="shared" si="71"/>
        <v>0</v>
      </c>
      <c r="K157" s="133">
        <f t="shared" si="71"/>
        <v>0</v>
      </c>
      <c r="L157" s="133">
        <f t="shared" si="71"/>
        <v>0</v>
      </c>
      <c r="M157" s="133">
        <f t="shared" si="71"/>
        <v>0</v>
      </c>
      <c r="N157" s="133">
        <f t="shared" si="71"/>
        <v>0</v>
      </c>
      <c r="O157" s="133">
        <f t="shared" si="71"/>
        <v>0</v>
      </c>
      <c r="P157" s="133">
        <f t="shared" si="71"/>
        <v>0</v>
      </c>
      <c r="Q157" s="133">
        <f t="shared" si="71"/>
        <v>0</v>
      </c>
      <c r="R157" s="133">
        <f t="shared" si="71"/>
        <v>0</v>
      </c>
      <c r="S157" s="133">
        <f t="shared" si="71"/>
        <v>0</v>
      </c>
      <c r="T157" s="133">
        <f t="shared" si="71"/>
        <v>0</v>
      </c>
      <c r="U157" s="133">
        <f t="shared" si="71"/>
        <v>0</v>
      </c>
      <c r="V157" s="133">
        <f t="shared" si="71"/>
        <v>0</v>
      </c>
      <c r="W157" s="133">
        <f t="shared" si="71"/>
        <v>0</v>
      </c>
      <c r="X157" s="133">
        <f t="shared" si="71"/>
        <v>0</v>
      </c>
      <c r="Y157" s="133"/>
    </row>
    <row r="158" spans="1:25">
      <c r="D158" s="7" t="s">
        <v>101</v>
      </c>
      <c r="E158" s="132">
        <f t="shared" si="60"/>
        <v>1.7658379625596819E-2</v>
      </c>
      <c r="F158" s="133">
        <f t="shared" ref="F158:X158" si="72">E158+F119</f>
        <v>5.6909100582145287E-2</v>
      </c>
      <c r="G158" s="133">
        <f t="shared" si="72"/>
        <v>0.12248235568361684</v>
      </c>
      <c r="H158" s="133">
        <f t="shared" si="72"/>
        <v>0.21849686691619949</v>
      </c>
      <c r="I158" s="133">
        <f t="shared" si="72"/>
        <v>0.34910606787014564</v>
      </c>
      <c r="J158" s="133">
        <f t="shared" si="72"/>
        <v>0.52002651407718747</v>
      </c>
      <c r="K158" s="133">
        <f t="shared" si="72"/>
        <v>0.73500510021373422</v>
      </c>
      <c r="L158" s="133">
        <f t="shared" si="72"/>
        <v>0.99479740926139859</v>
      </c>
      <c r="M158" s="133">
        <f t="shared" si="72"/>
        <v>1.2965944402503593</v>
      </c>
      <c r="N158" s="133">
        <f t="shared" si="72"/>
        <v>1.6342367269908458</v>
      </c>
      <c r="O158" s="133">
        <f t="shared" si="72"/>
        <v>1.9993170074751536</v>
      </c>
      <c r="P158" s="133">
        <f t="shared" si="72"/>
        <v>2.3828805896953211</v>
      </c>
      <c r="Q158" s="133">
        <f t="shared" si="72"/>
        <v>2.777103579410273</v>
      </c>
      <c r="R158" s="133">
        <f t="shared" si="72"/>
        <v>3.1763217701873021</v>
      </c>
      <c r="S158" s="133">
        <f t="shared" si="72"/>
        <v>3.5771548653646579</v>
      </c>
      <c r="T158" s="133">
        <f t="shared" si="72"/>
        <v>4.0677374794992405</v>
      </c>
      <c r="U158" s="133">
        <f t="shared" si="72"/>
        <v>4.5502947902634698</v>
      </c>
      <c r="V158" s="133">
        <f t="shared" si="72"/>
        <v>5.0236319520997013</v>
      </c>
      <c r="W158" s="133">
        <f t="shared" si="72"/>
        <v>5.4890852144805429</v>
      </c>
      <c r="X158" s="133">
        <f t="shared" si="72"/>
        <v>5.9467503925772212</v>
      </c>
      <c r="Y158" s="133"/>
    </row>
    <row r="159" spans="1:25">
      <c r="D159" s="7" t="s">
        <v>104</v>
      </c>
      <c r="E159" s="132">
        <f t="shared" si="60"/>
        <v>0</v>
      </c>
      <c r="F159" s="133">
        <f t="shared" ref="F159:X159" si="73">E159+F120</f>
        <v>0</v>
      </c>
      <c r="G159" s="133">
        <f t="shared" si="73"/>
        <v>0</v>
      </c>
      <c r="H159" s="133">
        <f t="shared" si="73"/>
        <v>0</v>
      </c>
      <c r="I159" s="133">
        <f t="shared" si="73"/>
        <v>0</v>
      </c>
      <c r="J159" s="133">
        <f t="shared" si="73"/>
        <v>0</v>
      </c>
      <c r="K159" s="133">
        <f t="shared" si="73"/>
        <v>0</v>
      </c>
      <c r="L159" s="133">
        <f t="shared" si="73"/>
        <v>0</v>
      </c>
      <c r="M159" s="133">
        <f t="shared" si="73"/>
        <v>0</v>
      </c>
      <c r="N159" s="133">
        <f t="shared" si="73"/>
        <v>0</v>
      </c>
      <c r="O159" s="133">
        <f t="shared" si="73"/>
        <v>0</v>
      </c>
      <c r="P159" s="133">
        <f t="shared" si="73"/>
        <v>0</v>
      </c>
      <c r="Q159" s="133">
        <f t="shared" si="73"/>
        <v>0</v>
      </c>
      <c r="R159" s="133">
        <f t="shared" si="73"/>
        <v>0</v>
      </c>
      <c r="S159" s="133">
        <f t="shared" si="73"/>
        <v>0</v>
      </c>
      <c r="T159" s="133">
        <f t="shared" si="73"/>
        <v>0</v>
      </c>
      <c r="U159" s="133">
        <f t="shared" si="73"/>
        <v>0</v>
      </c>
      <c r="V159" s="133">
        <f t="shared" si="73"/>
        <v>0</v>
      </c>
      <c r="W159" s="133">
        <f t="shared" si="73"/>
        <v>0</v>
      </c>
      <c r="X159" s="133">
        <f t="shared" si="73"/>
        <v>0</v>
      </c>
      <c r="Y159" s="133"/>
    </row>
    <row r="160" spans="1:25">
      <c r="D160" s="7" t="s">
        <v>107</v>
      </c>
      <c r="E160" s="132">
        <f t="shared" si="60"/>
        <v>0</v>
      </c>
      <c r="F160" s="133">
        <f t="shared" ref="F160:X160" si="74">E160+F121</f>
        <v>0</v>
      </c>
      <c r="G160" s="133">
        <f t="shared" si="74"/>
        <v>0</v>
      </c>
      <c r="H160" s="133">
        <f t="shared" si="74"/>
        <v>0</v>
      </c>
      <c r="I160" s="133">
        <f t="shared" si="74"/>
        <v>0</v>
      </c>
      <c r="J160" s="133">
        <f t="shared" si="74"/>
        <v>0</v>
      </c>
      <c r="K160" s="133">
        <f t="shared" si="74"/>
        <v>0</v>
      </c>
      <c r="L160" s="133">
        <f t="shared" si="74"/>
        <v>0</v>
      </c>
      <c r="M160" s="133">
        <f t="shared" si="74"/>
        <v>0</v>
      </c>
      <c r="N160" s="133">
        <f t="shared" si="74"/>
        <v>0</v>
      </c>
      <c r="O160" s="133">
        <f t="shared" si="74"/>
        <v>0</v>
      </c>
      <c r="P160" s="133">
        <f t="shared" si="74"/>
        <v>0</v>
      </c>
      <c r="Q160" s="133">
        <f t="shared" si="74"/>
        <v>0</v>
      </c>
      <c r="R160" s="133">
        <f t="shared" si="74"/>
        <v>0</v>
      </c>
      <c r="S160" s="133">
        <f t="shared" si="74"/>
        <v>0</v>
      </c>
      <c r="T160" s="133">
        <f t="shared" si="74"/>
        <v>0</v>
      </c>
      <c r="U160" s="133">
        <f t="shared" si="74"/>
        <v>0</v>
      </c>
      <c r="V160" s="133">
        <f t="shared" si="74"/>
        <v>0</v>
      </c>
      <c r="W160" s="133">
        <f t="shared" si="74"/>
        <v>0</v>
      </c>
      <c r="X160" s="133">
        <f t="shared" si="74"/>
        <v>0</v>
      </c>
      <c r="Y160" s="133"/>
    </row>
    <row r="161" spans="4:25">
      <c r="D161" s="7" t="s">
        <v>110</v>
      </c>
      <c r="E161" s="132">
        <f t="shared" si="60"/>
        <v>7.2305505048060742E-2</v>
      </c>
      <c r="F161" s="133">
        <f t="shared" ref="F161:X161" si="75">E161+F122</f>
        <v>0.23302484976923962</v>
      </c>
      <c r="G161" s="133">
        <f t="shared" si="75"/>
        <v>0.50152668449502802</v>
      </c>
      <c r="H161" s="133">
        <f t="shared" si="75"/>
        <v>0.8946758790310444</v>
      </c>
      <c r="I161" s="133">
        <f t="shared" si="75"/>
        <v>1.4294794362730383</v>
      </c>
      <c r="J161" s="133">
        <f t="shared" si="75"/>
        <v>2.1293448513378346</v>
      </c>
      <c r="K161" s="133">
        <f t="shared" si="75"/>
        <v>3.0096144782626597</v>
      </c>
      <c r="L161" s="133">
        <f t="shared" si="75"/>
        <v>4.0733821914714188</v>
      </c>
      <c r="M161" s="133">
        <f t="shared" si="75"/>
        <v>5.3091460163713222</v>
      </c>
      <c r="N161" s="133">
        <f t="shared" si="75"/>
        <v>6.6916848781457299</v>
      </c>
      <c r="O161" s="133">
        <f t="shared" si="75"/>
        <v>8.1865736857938085</v>
      </c>
      <c r="P161" s="133">
        <f t="shared" si="75"/>
        <v>9.7571457948151217</v>
      </c>
      <c r="Q161" s="133">
        <f t="shared" si="75"/>
        <v>11.371364821547177</v>
      </c>
      <c r="R161" s="133">
        <f t="shared" si="75"/>
        <v>13.006037623952201</v>
      </c>
      <c r="S161" s="133">
        <f t="shared" si="75"/>
        <v>14.647322951444222</v>
      </c>
      <c r="T161" s="133">
        <f t="shared" si="75"/>
        <v>16.65610430255871</v>
      </c>
      <c r="U161" s="133">
        <f t="shared" si="75"/>
        <v>18.63202456303744</v>
      </c>
      <c r="V161" s="133">
        <f t="shared" si="75"/>
        <v>20.570191216503961</v>
      </c>
      <c r="W161" s="133">
        <f t="shared" si="75"/>
        <v>22.476075783847257</v>
      </c>
      <c r="X161" s="133">
        <f t="shared" si="75"/>
        <v>24.350070598027301</v>
      </c>
      <c r="Y161" s="133"/>
    </row>
    <row r="162" spans="4:25">
      <c r="D162" s="7" t="s">
        <v>113</v>
      </c>
      <c r="E162" s="132">
        <f t="shared" si="60"/>
        <v>0</v>
      </c>
      <c r="F162" s="133">
        <f t="shared" ref="F162:X162" si="76">E162+F123</f>
        <v>0</v>
      </c>
      <c r="G162" s="133">
        <f t="shared" si="76"/>
        <v>0</v>
      </c>
      <c r="H162" s="133">
        <f t="shared" si="76"/>
        <v>0</v>
      </c>
      <c r="I162" s="133">
        <f t="shared" si="76"/>
        <v>0</v>
      </c>
      <c r="J162" s="133">
        <f t="shared" si="76"/>
        <v>0</v>
      </c>
      <c r="K162" s="133">
        <f t="shared" si="76"/>
        <v>0</v>
      </c>
      <c r="L162" s="133">
        <f t="shared" si="76"/>
        <v>0</v>
      </c>
      <c r="M162" s="133">
        <f t="shared" si="76"/>
        <v>0</v>
      </c>
      <c r="N162" s="133">
        <f t="shared" si="76"/>
        <v>0</v>
      </c>
      <c r="O162" s="133">
        <f t="shared" si="76"/>
        <v>0</v>
      </c>
      <c r="P162" s="133">
        <f t="shared" si="76"/>
        <v>0</v>
      </c>
      <c r="Q162" s="133">
        <f t="shared" si="76"/>
        <v>0</v>
      </c>
      <c r="R162" s="133">
        <f t="shared" si="76"/>
        <v>0</v>
      </c>
      <c r="S162" s="133">
        <f t="shared" si="76"/>
        <v>0</v>
      </c>
      <c r="T162" s="133">
        <f t="shared" si="76"/>
        <v>0</v>
      </c>
      <c r="U162" s="133">
        <f t="shared" si="76"/>
        <v>0</v>
      </c>
      <c r="V162" s="133">
        <f t="shared" si="76"/>
        <v>0</v>
      </c>
      <c r="W162" s="133">
        <f t="shared" si="76"/>
        <v>0</v>
      </c>
      <c r="X162" s="133">
        <f t="shared" si="76"/>
        <v>0</v>
      </c>
      <c r="Y162" s="133"/>
    </row>
    <row r="163" spans="4:25">
      <c r="D163" s="7" t="s">
        <v>116</v>
      </c>
      <c r="E163" s="132">
        <f t="shared" si="60"/>
        <v>9.6578093179769953E-3</v>
      </c>
      <c r="F163" s="133">
        <f t="shared" ref="F163:X163" si="77">E163+F124</f>
        <v>3.1125009968821338E-2</v>
      </c>
      <c r="G163" s="133">
        <f t="shared" si="77"/>
        <v>6.6988662668363397E-2</v>
      </c>
      <c r="H163" s="133">
        <f t="shared" si="77"/>
        <v>0.11950139944851984</v>
      </c>
      <c r="I163" s="133">
        <f t="shared" si="77"/>
        <v>0.19093483698534114</v>
      </c>
      <c r="J163" s="133">
        <f t="shared" si="77"/>
        <v>0.2844155024263732</v>
      </c>
      <c r="K163" s="133">
        <f t="shared" si="77"/>
        <v>0.40199266615126333</v>
      </c>
      <c r="L163" s="133">
        <f t="shared" si="77"/>
        <v>0.5440795753839951</v>
      </c>
      <c r="M163" s="133">
        <f t="shared" si="77"/>
        <v>0.70913991726258718</v>
      </c>
      <c r="N163" s="133">
        <f t="shared" si="77"/>
        <v>0.89380492572681192</v>
      </c>
      <c r="O163" s="133">
        <f t="shared" si="77"/>
        <v>1.0934764589834671</v>
      </c>
      <c r="P163" s="133">
        <f t="shared" si="77"/>
        <v>1.3032569720851819</v>
      </c>
      <c r="Q163" s="133">
        <f t="shared" si="77"/>
        <v>1.5188673816558804</v>
      </c>
      <c r="R163" s="133">
        <f t="shared" si="77"/>
        <v>1.7372097915791236</v>
      </c>
      <c r="S163" s="133">
        <f t="shared" si="77"/>
        <v>1.9564354330952876</v>
      </c>
      <c r="T163" s="133">
        <f t="shared" si="77"/>
        <v>2.2247473304767746</v>
      </c>
      <c r="U163" s="133">
        <f t="shared" si="77"/>
        <v>2.4886699887936854</v>
      </c>
      <c r="V163" s="133">
        <f t="shared" si="77"/>
        <v>2.747549917136614</v>
      </c>
      <c r="W163" s="133">
        <f t="shared" si="77"/>
        <v>3.0021179437514878</v>
      </c>
      <c r="X163" s="133">
        <f t="shared" si="77"/>
        <v>3.2524264723510541</v>
      </c>
      <c r="Y163" s="133"/>
    </row>
    <row r="164" spans="4:25">
      <c r="D164" s="7" t="s">
        <v>119</v>
      </c>
      <c r="E164" s="132">
        <f t="shared" si="60"/>
        <v>0</v>
      </c>
      <c r="F164" s="133">
        <f t="shared" ref="F164:X164" si="78">E164+F125</f>
        <v>0</v>
      </c>
      <c r="G164" s="133">
        <f t="shared" si="78"/>
        <v>0</v>
      </c>
      <c r="H164" s="133">
        <f t="shared" si="78"/>
        <v>0</v>
      </c>
      <c r="I164" s="133">
        <f t="shared" si="78"/>
        <v>0</v>
      </c>
      <c r="J164" s="133">
        <f t="shared" si="78"/>
        <v>0</v>
      </c>
      <c r="K164" s="133">
        <f t="shared" si="78"/>
        <v>0</v>
      </c>
      <c r="L164" s="133">
        <f t="shared" si="78"/>
        <v>0</v>
      </c>
      <c r="M164" s="133">
        <f t="shared" si="78"/>
        <v>0</v>
      </c>
      <c r="N164" s="133">
        <f t="shared" si="78"/>
        <v>0</v>
      </c>
      <c r="O164" s="133">
        <f t="shared" si="78"/>
        <v>0</v>
      </c>
      <c r="P164" s="133">
        <f t="shared" si="78"/>
        <v>0</v>
      </c>
      <c r="Q164" s="133">
        <f t="shared" si="78"/>
        <v>0</v>
      </c>
      <c r="R164" s="133">
        <f t="shared" si="78"/>
        <v>0</v>
      </c>
      <c r="S164" s="133">
        <f t="shared" si="78"/>
        <v>0</v>
      </c>
      <c r="T164" s="133">
        <f t="shared" si="78"/>
        <v>0</v>
      </c>
      <c r="U164" s="133">
        <f t="shared" si="78"/>
        <v>0</v>
      </c>
      <c r="V164" s="133">
        <f t="shared" si="78"/>
        <v>0</v>
      </c>
      <c r="W164" s="133">
        <f t="shared" si="78"/>
        <v>0</v>
      </c>
      <c r="X164" s="133">
        <f t="shared" si="78"/>
        <v>0</v>
      </c>
      <c r="Y164" s="133"/>
    </row>
    <row r="165" spans="4:25">
      <c r="D165" s="7" t="s">
        <v>122</v>
      </c>
      <c r="E165" s="132">
        <f t="shared" si="60"/>
        <v>0</v>
      </c>
      <c r="F165" s="133">
        <f t="shared" ref="F165:X165" si="79">E165+F126</f>
        <v>0</v>
      </c>
      <c r="G165" s="133">
        <f t="shared" si="79"/>
        <v>0</v>
      </c>
      <c r="H165" s="133">
        <f t="shared" si="79"/>
        <v>0</v>
      </c>
      <c r="I165" s="133">
        <f t="shared" si="79"/>
        <v>0</v>
      </c>
      <c r="J165" s="133">
        <f t="shared" si="79"/>
        <v>0</v>
      </c>
      <c r="K165" s="133">
        <f t="shared" si="79"/>
        <v>0</v>
      </c>
      <c r="L165" s="133">
        <f t="shared" si="79"/>
        <v>0</v>
      </c>
      <c r="M165" s="133">
        <f t="shared" si="79"/>
        <v>0</v>
      </c>
      <c r="N165" s="133">
        <f t="shared" si="79"/>
        <v>0</v>
      </c>
      <c r="O165" s="133">
        <f t="shared" si="79"/>
        <v>0</v>
      </c>
      <c r="P165" s="133">
        <f t="shared" si="79"/>
        <v>0</v>
      </c>
      <c r="Q165" s="133">
        <f t="shared" si="79"/>
        <v>0</v>
      </c>
      <c r="R165" s="133">
        <f t="shared" si="79"/>
        <v>0</v>
      </c>
      <c r="S165" s="133">
        <f t="shared" si="79"/>
        <v>0</v>
      </c>
      <c r="T165" s="133">
        <f t="shared" si="79"/>
        <v>0</v>
      </c>
      <c r="U165" s="133">
        <f t="shared" si="79"/>
        <v>0</v>
      </c>
      <c r="V165" s="133">
        <f t="shared" si="79"/>
        <v>0</v>
      </c>
      <c r="W165" s="133">
        <f t="shared" si="79"/>
        <v>0</v>
      </c>
      <c r="X165" s="133">
        <f t="shared" si="79"/>
        <v>0</v>
      </c>
      <c r="Y165" s="133"/>
    </row>
    <row r="166" spans="4:25">
      <c r="D166" s="7" t="s">
        <v>125</v>
      </c>
      <c r="E166" s="132">
        <f t="shared" si="60"/>
        <v>0</v>
      </c>
      <c r="F166" s="133">
        <f t="shared" ref="F166:X166" si="80">E166+F127</f>
        <v>0</v>
      </c>
      <c r="G166" s="133">
        <f t="shared" si="80"/>
        <v>0</v>
      </c>
      <c r="H166" s="133">
        <f t="shared" si="80"/>
        <v>0</v>
      </c>
      <c r="I166" s="133">
        <f t="shared" si="80"/>
        <v>0</v>
      </c>
      <c r="J166" s="133">
        <f t="shared" si="80"/>
        <v>0</v>
      </c>
      <c r="K166" s="133">
        <f t="shared" si="80"/>
        <v>0</v>
      </c>
      <c r="L166" s="133">
        <f t="shared" si="80"/>
        <v>0</v>
      </c>
      <c r="M166" s="133">
        <f t="shared" si="80"/>
        <v>0</v>
      </c>
      <c r="N166" s="133">
        <f t="shared" si="80"/>
        <v>0</v>
      </c>
      <c r="O166" s="133">
        <f t="shared" si="80"/>
        <v>0</v>
      </c>
      <c r="P166" s="133">
        <f t="shared" si="80"/>
        <v>0</v>
      </c>
      <c r="Q166" s="133">
        <f t="shared" si="80"/>
        <v>0</v>
      </c>
      <c r="R166" s="133">
        <f t="shared" si="80"/>
        <v>0</v>
      </c>
      <c r="S166" s="133">
        <f t="shared" si="80"/>
        <v>0</v>
      </c>
      <c r="T166" s="133">
        <f t="shared" si="80"/>
        <v>0</v>
      </c>
      <c r="U166" s="133">
        <f t="shared" si="80"/>
        <v>0</v>
      </c>
      <c r="V166" s="133">
        <f t="shared" si="80"/>
        <v>0</v>
      </c>
      <c r="W166" s="133">
        <f t="shared" si="80"/>
        <v>0</v>
      </c>
      <c r="X166" s="133">
        <f t="shared" si="80"/>
        <v>0</v>
      </c>
      <c r="Y166" s="133"/>
    </row>
    <row r="167" spans="4:25">
      <c r="D167" s="7" t="s">
        <v>128</v>
      </c>
      <c r="E167" s="132">
        <f t="shared" si="60"/>
        <v>0</v>
      </c>
      <c r="F167" s="133">
        <f t="shared" ref="F167:X167" si="81">E167+F128</f>
        <v>0</v>
      </c>
      <c r="G167" s="133">
        <f t="shared" si="81"/>
        <v>0</v>
      </c>
      <c r="H167" s="133">
        <f t="shared" si="81"/>
        <v>0</v>
      </c>
      <c r="I167" s="133">
        <f t="shared" si="81"/>
        <v>0</v>
      </c>
      <c r="J167" s="133">
        <f t="shared" si="81"/>
        <v>0</v>
      </c>
      <c r="K167" s="133">
        <f t="shared" si="81"/>
        <v>0</v>
      </c>
      <c r="L167" s="133">
        <f t="shared" si="81"/>
        <v>0</v>
      </c>
      <c r="M167" s="133">
        <f t="shared" si="81"/>
        <v>0</v>
      </c>
      <c r="N167" s="133">
        <f t="shared" si="81"/>
        <v>0</v>
      </c>
      <c r="O167" s="133">
        <f t="shared" si="81"/>
        <v>0</v>
      </c>
      <c r="P167" s="133">
        <f t="shared" si="81"/>
        <v>0</v>
      </c>
      <c r="Q167" s="133">
        <f t="shared" si="81"/>
        <v>0</v>
      </c>
      <c r="R167" s="133">
        <f t="shared" si="81"/>
        <v>0</v>
      </c>
      <c r="S167" s="133">
        <f t="shared" si="81"/>
        <v>0</v>
      </c>
      <c r="T167" s="133">
        <f t="shared" si="81"/>
        <v>0</v>
      </c>
      <c r="U167" s="133">
        <f t="shared" si="81"/>
        <v>0</v>
      </c>
      <c r="V167" s="133">
        <f t="shared" si="81"/>
        <v>0</v>
      </c>
      <c r="W167" s="133">
        <f t="shared" si="81"/>
        <v>0</v>
      </c>
      <c r="X167" s="133">
        <f t="shared" si="81"/>
        <v>0</v>
      </c>
      <c r="Y167" s="133"/>
    </row>
    <row r="168" spans="4:25">
      <c r="D168" s="7" t="s">
        <v>372</v>
      </c>
      <c r="E168" s="132">
        <f t="shared" si="60"/>
        <v>0</v>
      </c>
      <c r="F168" s="133">
        <f t="shared" ref="F168:X168" si="82">E168+F129</f>
        <v>0</v>
      </c>
      <c r="G168" s="133">
        <f t="shared" si="82"/>
        <v>0</v>
      </c>
      <c r="H168" s="133">
        <f t="shared" si="82"/>
        <v>0</v>
      </c>
      <c r="I168" s="133">
        <f t="shared" si="82"/>
        <v>0</v>
      </c>
      <c r="J168" s="133">
        <f t="shared" si="82"/>
        <v>0</v>
      </c>
      <c r="K168" s="133">
        <f t="shared" si="82"/>
        <v>0</v>
      </c>
      <c r="L168" s="133">
        <f t="shared" si="82"/>
        <v>0</v>
      </c>
      <c r="M168" s="133">
        <f t="shared" si="82"/>
        <v>0</v>
      </c>
      <c r="N168" s="133">
        <f t="shared" si="82"/>
        <v>0</v>
      </c>
      <c r="O168" s="133">
        <f t="shared" si="82"/>
        <v>0</v>
      </c>
      <c r="P168" s="133">
        <f t="shared" si="82"/>
        <v>0</v>
      </c>
      <c r="Q168" s="133">
        <f t="shared" si="82"/>
        <v>0</v>
      </c>
      <c r="R168" s="133">
        <f t="shared" si="82"/>
        <v>0</v>
      </c>
      <c r="S168" s="133">
        <f t="shared" si="82"/>
        <v>0</v>
      </c>
      <c r="T168" s="133">
        <f t="shared" si="82"/>
        <v>0</v>
      </c>
      <c r="U168" s="133">
        <f t="shared" si="82"/>
        <v>0</v>
      </c>
      <c r="V168" s="133">
        <f t="shared" si="82"/>
        <v>0</v>
      </c>
      <c r="W168" s="133">
        <f t="shared" si="82"/>
        <v>0</v>
      </c>
      <c r="X168" s="133">
        <f t="shared" si="82"/>
        <v>0</v>
      </c>
      <c r="Y168" s="133"/>
    </row>
    <row r="169" spans="4:25">
      <c r="D169" s="7" t="s">
        <v>373</v>
      </c>
      <c r="E169" s="132">
        <f t="shared" si="60"/>
        <v>0</v>
      </c>
      <c r="F169" s="133">
        <f t="shared" ref="F169:X169" si="83">E169+F130</f>
        <v>0</v>
      </c>
      <c r="G169" s="133">
        <f t="shared" si="83"/>
        <v>0</v>
      </c>
      <c r="H169" s="133">
        <f t="shared" si="83"/>
        <v>0</v>
      </c>
      <c r="I169" s="133">
        <f t="shared" si="83"/>
        <v>0</v>
      </c>
      <c r="J169" s="133">
        <f t="shared" si="83"/>
        <v>0</v>
      </c>
      <c r="K169" s="133">
        <f t="shared" si="83"/>
        <v>0</v>
      </c>
      <c r="L169" s="133">
        <f t="shared" si="83"/>
        <v>0</v>
      </c>
      <c r="M169" s="133">
        <f t="shared" si="83"/>
        <v>0</v>
      </c>
      <c r="N169" s="133">
        <f t="shared" si="83"/>
        <v>0</v>
      </c>
      <c r="O169" s="133">
        <f t="shared" si="83"/>
        <v>0</v>
      </c>
      <c r="P169" s="133">
        <f t="shared" si="83"/>
        <v>0</v>
      </c>
      <c r="Q169" s="133">
        <f t="shared" si="83"/>
        <v>0</v>
      </c>
      <c r="R169" s="133">
        <f t="shared" si="83"/>
        <v>0</v>
      </c>
      <c r="S169" s="133">
        <f t="shared" si="83"/>
        <v>0</v>
      </c>
      <c r="T169" s="133">
        <f t="shared" si="83"/>
        <v>0</v>
      </c>
      <c r="U169" s="133">
        <f t="shared" si="83"/>
        <v>0</v>
      </c>
      <c r="V169" s="133">
        <f t="shared" si="83"/>
        <v>0</v>
      </c>
      <c r="W169" s="133">
        <f t="shared" si="83"/>
        <v>0</v>
      </c>
      <c r="X169" s="133">
        <f t="shared" si="83"/>
        <v>0</v>
      </c>
      <c r="Y169" s="133"/>
    </row>
    <row r="170" spans="4:25">
      <c r="D170" s="7" t="s">
        <v>374</v>
      </c>
      <c r="E170" s="132">
        <f t="shared" si="60"/>
        <v>0</v>
      </c>
      <c r="F170" s="133">
        <f t="shared" ref="F170:X170" si="84">E170+F131</f>
        <v>0</v>
      </c>
      <c r="G170" s="133">
        <f t="shared" si="84"/>
        <v>0</v>
      </c>
      <c r="H170" s="133">
        <f t="shared" si="84"/>
        <v>0</v>
      </c>
      <c r="I170" s="133">
        <f t="shared" si="84"/>
        <v>0</v>
      </c>
      <c r="J170" s="133">
        <f t="shared" si="84"/>
        <v>0</v>
      </c>
      <c r="K170" s="133">
        <f t="shared" si="84"/>
        <v>0</v>
      </c>
      <c r="L170" s="133">
        <f t="shared" si="84"/>
        <v>0</v>
      </c>
      <c r="M170" s="133">
        <f t="shared" si="84"/>
        <v>0</v>
      </c>
      <c r="N170" s="133">
        <f t="shared" si="84"/>
        <v>0</v>
      </c>
      <c r="O170" s="133">
        <f t="shared" si="84"/>
        <v>0</v>
      </c>
      <c r="P170" s="133">
        <f t="shared" si="84"/>
        <v>0</v>
      </c>
      <c r="Q170" s="133">
        <f t="shared" si="84"/>
        <v>0</v>
      </c>
      <c r="R170" s="133">
        <f t="shared" si="84"/>
        <v>0</v>
      </c>
      <c r="S170" s="133">
        <f t="shared" si="84"/>
        <v>0</v>
      </c>
      <c r="T170" s="133">
        <f t="shared" si="84"/>
        <v>0</v>
      </c>
      <c r="U170" s="133">
        <f t="shared" si="84"/>
        <v>0</v>
      </c>
      <c r="V170" s="133">
        <f t="shared" si="84"/>
        <v>0</v>
      </c>
      <c r="W170" s="133">
        <f t="shared" si="84"/>
        <v>0</v>
      </c>
      <c r="X170" s="133">
        <f t="shared" si="84"/>
        <v>0</v>
      </c>
      <c r="Y170" s="133"/>
    </row>
    <row r="171" spans="4:25">
      <c r="D171" s="7" t="s">
        <v>375</v>
      </c>
      <c r="E171" s="132">
        <f t="shared" si="60"/>
        <v>0</v>
      </c>
      <c r="F171" s="133">
        <f t="shared" ref="F171:X171" si="85">E171+F132</f>
        <v>0</v>
      </c>
      <c r="G171" s="133">
        <f t="shared" si="85"/>
        <v>0</v>
      </c>
      <c r="H171" s="133">
        <f t="shared" si="85"/>
        <v>0</v>
      </c>
      <c r="I171" s="133">
        <f t="shared" si="85"/>
        <v>0</v>
      </c>
      <c r="J171" s="133">
        <f t="shared" si="85"/>
        <v>0</v>
      </c>
      <c r="K171" s="133">
        <f t="shared" si="85"/>
        <v>0</v>
      </c>
      <c r="L171" s="133">
        <f t="shared" si="85"/>
        <v>0</v>
      </c>
      <c r="M171" s="133">
        <f t="shared" si="85"/>
        <v>0</v>
      </c>
      <c r="N171" s="133">
        <f t="shared" si="85"/>
        <v>0</v>
      </c>
      <c r="O171" s="133">
        <f t="shared" si="85"/>
        <v>0</v>
      </c>
      <c r="P171" s="133">
        <f t="shared" si="85"/>
        <v>0</v>
      </c>
      <c r="Q171" s="133">
        <f t="shared" si="85"/>
        <v>0</v>
      </c>
      <c r="R171" s="133">
        <f t="shared" si="85"/>
        <v>0</v>
      </c>
      <c r="S171" s="133">
        <f t="shared" si="85"/>
        <v>0</v>
      </c>
      <c r="T171" s="133">
        <f t="shared" si="85"/>
        <v>0</v>
      </c>
      <c r="U171" s="133">
        <f t="shared" si="85"/>
        <v>0</v>
      </c>
      <c r="V171" s="133">
        <f t="shared" si="85"/>
        <v>0</v>
      </c>
      <c r="W171" s="133">
        <f t="shared" si="85"/>
        <v>0</v>
      </c>
      <c r="X171" s="133">
        <f t="shared" si="85"/>
        <v>0</v>
      </c>
      <c r="Y171" s="133"/>
    </row>
    <row r="172" spans="4:25">
      <c r="D172" s="7" t="s">
        <v>376</v>
      </c>
      <c r="E172" s="132">
        <f t="shared" si="60"/>
        <v>0</v>
      </c>
      <c r="F172" s="133">
        <f t="shared" ref="F172:X172" si="86">E172+F133</f>
        <v>0</v>
      </c>
      <c r="G172" s="133">
        <f t="shared" si="86"/>
        <v>0</v>
      </c>
      <c r="H172" s="133">
        <f t="shared" si="86"/>
        <v>0</v>
      </c>
      <c r="I172" s="133">
        <f t="shared" si="86"/>
        <v>0</v>
      </c>
      <c r="J172" s="133">
        <f t="shared" si="86"/>
        <v>0</v>
      </c>
      <c r="K172" s="133">
        <f t="shared" si="86"/>
        <v>0</v>
      </c>
      <c r="L172" s="133">
        <f t="shared" si="86"/>
        <v>0</v>
      </c>
      <c r="M172" s="133">
        <f t="shared" si="86"/>
        <v>0</v>
      </c>
      <c r="N172" s="133">
        <f t="shared" si="86"/>
        <v>0</v>
      </c>
      <c r="O172" s="133">
        <f t="shared" si="86"/>
        <v>0</v>
      </c>
      <c r="P172" s="133">
        <f t="shared" si="86"/>
        <v>0</v>
      </c>
      <c r="Q172" s="133">
        <f t="shared" si="86"/>
        <v>0</v>
      </c>
      <c r="R172" s="133">
        <f t="shared" si="86"/>
        <v>0</v>
      </c>
      <c r="S172" s="133">
        <f t="shared" si="86"/>
        <v>0</v>
      </c>
      <c r="T172" s="133">
        <f t="shared" si="86"/>
        <v>0</v>
      </c>
      <c r="U172" s="133">
        <f t="shared" si="86"/>
        <v>0</v>
      </c>
      <c r="V172" s="133">
        <f t="shared" si="86"/>
        <v>0</v>
      </c>
      <c r="W172" s="133">
        <f t="shared" si="86"/>
        <v>0</v>
      </c>
      <c r="X172" s="133">
        <f t="shared" si="86"/>
        <v>0</v>
      </c>
      <c r="Y172" s="133"/>
    </row>
    <row r="173" spans="4:25">
      <c r="D173" s="7" t="s">
        <v>377</v>
      </c>
      <c r="E173" s="132">
        <f t="shared" si="60"/>
        <v>0</v>
      </c>
      <c r="F173" s="133">
        <f t="shared" ref="F173:X173" si="87">E173+F134</f>
        <v>0</v>
      </c>
      <c r="G173" s="133">
        <f t="shared" si="87"/>
        <v>0</v>
      </c>
      <c r="H173" s="133">
        <f t="shared" si="87"/>
        <v>0</v>
      </c>
      <c r="I173" s="133">
        <f t="shared" si="87"/>
        <v>0</v>
      </c>
      <c r="J173" s="133">
        <f t="shared" si="87"/>
        <v>0</v>
      </c>
      <c r="K173" s="133">
        <f t="shared" si="87"/>
        <v>0</v>
      </c>
      <c r="L173" s="133">
        <f t="shared" si="87"/>
        <v>0</v>
      </c>
      <c r="M173" s="133">
        <f t="shared" si="87"/>
        <v>0</v>
      </c>
      <c r="N173" s="133">
        <f t="shared" si="87"/>
        <v>0</v>
      </c>
      <c r="O173" s="133">
        <f t="shared" si="87"/>
        <v>0</v>
      </c>
      <c r="P173" s="133">
        <f t="shared" si="87"/>
        <v>0</v>
      </c>
      <c r="Q173" s="133">
        <f t="shared" si="87"/>
        <v>0</v>
      </c>
      <c r="R173" s="133">
        <f t="shared" si="87"/>
        <v>0</v>
      </c>
      <c r="S173" s="133">
        <f t="shared" si="87"/>
        <v>0</v>
      </c>
      <c r="T173" s="133">
        <f t="shared" si="87"/>
        <v>0</v>
      </c>
      <c r="U173" s="133">
        <f t="shared" si="87"/>
        <v>0</v>
      </c>
      <c r="V173" s="133">
        <f t="shared" si="87"/>
        <v>0</v>
      </c>
      <c r="W173" s="133">
        <f t="shared" si="87"/>
        <v>0</v>
      </c>
      <c r="X173" s="133">
        <f t="shared" si="87"/>
        <v>0</v>
      </c>
      <c r="Y173" s="133"/>
    </row>
    <row r="174" spans="4:25">
      <c r="D174" s="7" t="s">
        <v>378</v>
      </c>
      <c r="E174" s="132">
        <f t="shared" si="60"/>
        <v>0</v>
      </c>
      <c r="F174" s="133">
        <f t="shared" ref="F174:X174" si="88">E174+F135</f>
        <v>0</v>
      </c>
      <c r="G174" s="133">
        <f t="shared" si="88"/>
        <v>0</v>
      </c>
      <c r="H174" s="133">
        <f t="shared" si="88"/>
        <v>0</v>
      </c>
      <c r="I174" s="133">
        <f t="shared" si="88"/>
        <v>0</v>
      </c>
      <c r="J174" s="133">
        <f t="shared" si="88"/>
        <v>0</v>
      </c>
      <c r="K174" s="133">
        <f t="shared" si="88"/>
        <v>0</v>
      </c>
      <c r="L174" s="133">
        <f t="shared" si="88"/>
        <v>0</v>
      </c>
      <c r="M174" s="133">
        <f t="shared" si="88"/>
        <v>0</v>
      </c>
      <c r="N174" s="133">
        <f t="shared" si="88"/>
        <v>0</v>
      </c>
      <c r="O174" s="133">
        <f t="shared" si="88"/>
        <v>0</v>
      </c>
      <c r="P174" s="133">
        <f t="shared" si="88"/>
        <v>0</v>
      </c>
      <c r="Q174" s="133">
        <f t="shared" si="88"/>
        <v>0</v>
      </c>
      <c r="R174" s="133">
        <f t="shared" si="88"/>
        <v>0</v>
      </c>
      <c r="S174" s="133">
        <f t="shared" si="88"/>
        <v>0</v>
      </c>
      <c r="T174" s="133">
        <f t="shared" si="88"/>
        <v>0</v>
      </c>
      <c r="U174" s="133">
        <f t="shared" si="88"/>
        <v>0</v>
      </c>
      <c r="V174" s="133">
        <f t="shared" si="88"/>
        <v>0</v>
      </c>
      <c r="W174" s="133">
        <f t="shared" si="88"/>
        <v>0</v>
      </c>
      <c r="X174" s="133">
        <f t="shared" si="88"/>
        <v>0</v>
      </c>
      <c r="Y174" s="133"/>
    </row>
    <row r="175" spans="4:25">
      <c r="D175" s="7" t="s">
        <v>379</v>
      </c>
      <c r="E175" s="132">
        <f t="shared" si="60"/>
        <v>0</v>
      </c>
      <c r="F175" s="133">
        <f t="shared" ref="F175:X175" si="89">E175+F136</f>
        <v>0</v>
      </c>
      <c r="G175" s="133">
        <f t="shared" si="89"/>
        <v>0</v>
      </c>
      <c r="H175" s="133">
        <f t="shared" si="89"/>
        <v>0</v>
      </c>
      <c r="I175" s="133">
        <f t="shared" si="89"/>
        <v>0</v>
      </c>
      <c r="J175" s="133">
        <f t="shared" si="89"/>
        <v>0</v>
      </c>
      <c r="K175" s="133">
        <f t="shared" si="89"/>
        <v>0</v>
      </c>
      <c r="L175" s="133">
        <f t="shared" si="89"/>
        <v>0</v>
      </c>
      <c r="M175" s="133">
        <f t="shared" si="89"/>
        <v>0</v>
      </c>
      <c r="N175" s="133">
        <f t="shared" si="89"/>
        <v>0</v>
      </c>
      <c r="O175" s="133">
        <f t="shared" si="89"/>
        <v>0</v>
      </c>
      <c r="P175" s="133">
        <f t="shared" si="89"/>
        <v>0</v>
      </c>
      <c r="Q175" s="133">
        <f t="shared" si="89"/>
        <v>0</v>
      </c>
      <c r="R175" s="133">
        <f t="shared" si="89"/>
        <v>0</v>
      </c>
      <c r="S175" s="133">
        <f t="shared" si="89"/>
        <v>0</v>
      </c>
      <c r="T175" s="133">
        <f t="shared" si="89"/>
        <v>0</v>
      </c>
      <c r="U175" s="133">
        <f t="shared" si="89"/>
        <v>0</v>
      </c>
      <c r="V175" s="133">
        <f t="shared" si="89"/>
        <v>0</v>
      </c>
      <c r="W175" s="133">
        <f t="shared" si="89"/>
        <v>0</v>
      </c>
      <c r="X175" s="133">
        <f t="shared" si="89"/>
        <v>0</v>
      </c>
      <c r="Y175" s="133"/>
    </row>
    <row r="176" spans="4:25">
      <c r="D176" s="7" t="s">
        <v>380</v>
      </c>
      <c r="E176" s="132">
        <f t="shared" si="60"/>
        <v>0</v>
      </c>
      <c r="F176" s="133">
        <f t="shared" ref="F176:X176" si="90">E176+F137</f>
        <v>0</v>
      </c>
      <c r="G176" s="133">
        <f t="shared" si="90"/>
        <v>0</v>
      </c>
      <c r="H176" s="133">
        <f t="shared" si="90"/>
        <v>0</v>
      </c>
      <c r="I176" s="133">
        <f t="shared" si="90"/>
        <v>0</v>
      </c>
      <c r="J176" s="133">
        <f t="shared" si="90"/>
        <v>0</v>
      </c>
      <c r="K176" s="133">
        <f t="shared" si="90"/>
        <v>0</v>
      </c>
      <c r="L176" s="133">
        <f t="shared" si="90"/>
        <v>0</v>
      </c>
      <c r="M176" s="133">
        <f t="shared" si="90"/>
        <v>0</v>
      </c>
      <c r="N176" s="133">
        <f t="shared" si="90"/>
        <v>0</v>
      </c>
      <c r="O176" s="133">
        <f t="shared" si="90"/>
        <v>0</v>
      </c>
      <c r="P176" s="133">
        <f t="shared" si="90"/>
        <v>0</v>
      </c>
      <c r="Q176" s="133">
        <f t="shared" si="90"/>
        <v>0</v>
      </c>
      <c r="R176" s="133">
        <f t="shared" si="90"/>
        <v>0</v>
      </c>
      <c r="S176" s="133">
        <f t="shared" si="90"/>
        <v>0</v>
      </c>
      <c r="T176" s="133">
        <f t="shared" si="90"/>
        <v>0</v>
      </c>
      <c r="U176" s="133">
        <f t="shared" si="90"/>
        <v>0</v>
      </c>
      <c r="V176" s="133">
        <f t="shared" si="90"/>
        <v>0</v>
      </c>
      <c r="W176" s="133">
        <f t="shared" si="90"/>
        <v>0</v>
      </c>
      <c r="X176" s="133">
        <f t="shared" si="90"/>
        <v>0</v>
      </c>
      <c r="Y176" s="133"/>
    </row>
    <row r="177" spans="4:79">
      <c r="D177" s="7" t="s">
        <v>381</v>
      </c>
      <c r="E177" s="132">
        <f t="shared" si="60"/>
        <v>0</v>
      </c>
      <c r="F177" s="133">
        <f t="shared" ref="F177:X177" si="91">E177+F138</f>
        <v>0</v>
      </c>
      <c r="G177" s="133">
        <f t="shared" si="91"/>
        <v>0</v>
      </c>
      <c r="H177" s="133">
        <f t="shared" si="91"/>
        <v>0</v>
      </c>
      <c r="I177" s="133">
        <f t="shared" si="91"/>
        <v>0</v>
      </c>
      <c r="J177" s="133">
        <f t="shared" si="91"/>
        <v>0</v>
      </c>
      <c r="K177" s="133">
        <f t="shared" si="91"/>
        <v>0</v>
      </c>
      <c r="L177" s="133">
        <f t="shared" si="91"/>
        <v>0</v>
      </c>
      <c r="M177" s="133">
        <f t="shared" si="91"/>
        <v>0</v>
      </c>
      <c r="N177" s="133">
        <f t="shared" si="91"/>
        <v>0</v>
      </c>
      <c r="O177" s="133">
        <f t="shared" si="91"/>
        <v>0</v>
      </c>
      <c r="P177" s="133">
        <f t="shared" si="91"/>
        <v>0</v>
      </c>
      <c r="Q177" s="133">
        <f t="shared" si="91"/>
        <v>0</v>
      </c>
      <c r="R177" s="133">
        <f t="shared" si="91"/>
        <v>0</v>
      </c>
      <c r="S177" s="133">
        <f t="shared" si="91"/>
        <v>0</v>
      </c>
      <c r="T177" s="133">
        <f t="shared" si="91"/>
        <v>0</v>
      </c>
      <c r="U177" s="133">
        <f t="shared" si="91"/>
        <v>0</v>
      </c>
      <c r="V177" s="133">
        <f t="shared" si="91"/>
        <v>0</v>
      </c>
      <c r="W177" s="133">
        <f t="shared" si="91"/>
        <v>0</v>
      </c>
      <c r="X177" s="133">
        <f t="shared" si="91"/>
        <v>0</v>
      </c>
      <c r="Y177" s="133"/>
    </row>
    <row r="178" spans="4:79">
      <c r="D178" s="7" t="s">
        <v>382</v>
      </c>
      <c r="E178" s="132">
        <f t="shared" ref="E178" si="92">E139</f>
        <v>0</v>
      </c>
      <c r="F178" s="133">
        <f t="shared" ref="F178:X178" si="93">E178+F139</f>
        <v>0</v>
      </c>
      <c r="G178" s="133">
        <f t="shared" si="93"/>
        <v>0</v>
      </c>
      <c r="H178" s="133">
        <f t="shared" si="93"/>
        <v>0</v>
      </c>
      <c r="I178" s="133">
        <f t="shared" si="93"/>
        <v>0</v>
      </c>
      <c r="J178" s="133">
        <f t="shared" si="93"/>
        <v>0</v>
      </c>
      <c r="K178" s="133">
        <f t="shared" si="93"/>
        <v>0</v>
      </c>
      <c r="L178" s="133">
        <f t="shared" si="93"/>
        <v>0</v>
      </c>
      <c r="M178" s="133">
        <f t="shared" si="93"/>
        <v>0</v>
      </c>
      <c r="N178" s="133">
        <f t="shared" si="93"/>
        <v>0</v>
      </c>
      <c r="O178" s="133">
        <f t="shared" si="93"/>
        <v>0</v>
      </c>
      <c r="P178" s="133">
        <f t="shared" si="93"/>
        <v>0</v>
      </c>
      <c r="Q178" s="133">
        <f t="shared" si="93"/>
        <v>0</v>
      </c>
      <c r="R178" s="133">
        <f t="shared" si="93"/>
        <v>0</v>
      </c>
      <c r="S178" s="133">
        <f t="shared" si="93"/>
        <v>0</v>
      </c>
      <c r="T178" s="133">
        <f t="shared" si="93"/>
        <v>0</v>
      </c>
      <c r="U178" s="133">
        <f t="shared" si="93"/>
        <v>0</v>
      </c>
      <c r="V178" s="133">
        <f t="shared" si="93"/>
        <v>0</v>
      </c>
      <c r="W178" s="133">
        <f t="shared" si="93"/>
        <v>0</v>
      </c>
      <c r="X178" s="133">
        <f t="shared" si="93"/>
        <v>0</v>
      </c>
      <c r="Y178" s="133"/>
    </row>
    <row r="180" spans="4:79" ht="15">
      <c r="D180" s="66" t="s">
        <v>135</v>
      </c>
      <c r="E180" s="66">
        <f>SUM(E147:E178)</f>
        <v>0.15533805758191471</v>
      </c>
      <c r="F180" s="66">
        <f>SUM(F147:F178)</f>
        <v>0.50062063057869488</v>
      </c>
      <c r="G180" s="66">
        <f t="shared" ref="G180:X180" si="94">SUM(G147:G178)</f>
        <v>1.0774584997805075</v>
      </c>
      <c r="H180" s="66">
        <f t="shared" si="94"/>
        <v>1.9220834308770509</v>
      </c>
      <c r="I180" s="66">
        <f t="shared" si="94"/>
        <v>3.0710325422158116</v>
      </c>
      <c r="J180" s="66">
        <f t="shared" si="94"/>
        <v>4.5745934961523584</v>
      </c>
      <c r="K180" s="66">
        <f t="shared" si="94"/>
        <v>6.4657271505534952</v>
      </c>
      <c r="L180" s="66">
        <f t="shared" si="94"/>
        <v>8.7510802530367453</v>
      </c>
      <c r="M180" s="66">
        <f t="shared" si="94"/>
        <v>11.405942452842329</v>
      </c>
      <c r="N180" s="66">
        <f t="shared" si="94"/>
        <v>14.376129870478074</v>
      </c>
      <c r="O180" s="66">
        <f t="shared" si="94"/>
        <v>17.587685111350083</v>
      </c>
      <c r="P180" s="66">
        <f t="shared" si="94"/>
        <v>20.961835123102826</v>
      </c>
      <c r="Q180" s="66">
        <f t="shared" si="94"/>
        <v>24.429754307923613</v>
      </c>
      <c r="R180" s="66">
        <f t="shared" si="94"/>
        <v>27.941615510453058</v>
      </c>
      <c r="S180" s="66">
        <f t="shared" si="94"/>
        <v>31.467682779340009</v>
      </c>
      <c r="T180" s="66">
        <f t="shared" si="94"/>
        <v>35.783262803039293</v>
      </c>
      <c r="U180" s="66">
        <f t="shared" si="94"/>
        <v>40.028245463702547</v>
      </c>
      <c r="V180" s="66">
        <f t="shared" si="94"/>
        <v>44.192119888193609</v>
      </c>
      <c r="W180" s="66">
        <f t="shared" si="94"/>
        <v>48.286640858203697</v>
      </c>
      <c r="X180" s="66">
        <f t="shared" si="94"/>
        <v>52.312651245100469</v>
      </c>
      <c r="Y180" s="66"/>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row>
    <row r="181" spans="4:79">
      <c r="E181" s="29"/>
      <c r="F181" s="35"/>
      <c r="G181" s="35"/>
      <c r="H181" s="35"/>
      <c r="I181" s="35"/>
      <c r="J181" s="35"/>
      <c r="K181" s="35"/>
      <c r="L181" s="35"/>
      <c r="M181" s="35"/>
      <c r="N181" s="35"/>
      <c r="O181" s="35"/>
      <c r="P181" s="35"/>
      <c r="Q181" s="35"/>
      <c r="R181" s="35"/>
      <c r="S181" s="35"/>
      <c r="T181" s="35"/>
      <c r="U181" s="35"/>
      <c r="V181" s="35"/>
      <c r="W181" s="35"/>
      <c r="X181" s="35"/>
      <c r="Y181" s="35"/>
    </row>
    <row r="184" spans="4:79" customFormat="1"/>
    <row r="185" spans="4:79" customFormat="1"/>
    <row r="186" spans="4:79" customFormat="1"/>
    <row r="187" spans="4:79" customFormat="1"/>
    <row r="188" spans="4:79" customFormat="1"/>
    <row r="189" spans="4:79" customFormat="1"/>
    <row r="190" spans="4:79" customFormat="1"/>
    <row r="191" spans="4:79" customFormat="1"/>
    <row r="192" spans="4:79" customFormat="1"/>
    <row r="193" customFormat="1"/>
    <row r="194" customFormat="1"/>
    <row r="195" customFormat="1"/>
    <row r="196" customFormat="1"/>
    <row r="197" customFormat="1"/>
    <row r="198" customFormat="1"/>
    <row r="199" customFormat="1"/>
    <row r="200" customFormat="1"/>
    <row r="201" customFormat="1"/>
    <row r="202" customFormat="1"/>
  </sheetData>
  <mergeCells count="2">
    <mergeCell ref="B1:T6"/>
    <mergeCell ref="U1:U6"/>
  </mergeCells>
  <pageMargins left="0.75" right="0.75" top="1" bottom="1" header="0.5" footer="0.5"/>
  <headerFooter alignWithMargins="0"/>
  <legacyDrawing r:id="rId1"/>
</worksheet>
</file>

<file path=xl/worksheets/sheet7.xml><?xml version="1.0" encoding="utf-8"?>
<worksheet xmlns="http://schemas.openxmlformats.org/spreadsheetml/2006/main" xmlns:r="http://schemas.openxmlformats.org/officeDocument/2006/relationships">
  <dimension ref="A1:CB202"/>
  <sheetViews>
    <sheetView topLeftCell="B27" zoomScaleNormal="100" workbookViewId="0">
      <selection activeCell="D13" sqref="D13"/>
    </sheetView>
  </sheetViews>
  <sheetFormatPr defaultRowHeight="12.75"/>
  <cols>
    <col min="1" max="1" width="35" style="7" customWidth="1"/>
    <col min="2" max="3" width="20.7109375" style="7" customWidth="1"/>
    <col min="4" max="4" width="44.7109375" style="7" customWidth="1"/>
    <col min="5" max="5" width="19.85546875" style="7" customWidth="1"/>
    <col min="6" max="6" width="9.28515625" style="7" bestFit="1" customWidth="1"/>
    <col min="7" max="29" width="9.140625" style="7"/>
    <col min="30" max="30" width="21.7109375" style="7" customWidth="1"/>
    <col min="31" max="31" width="35.85546875" style="7" customWidth="1"/>
    <col min="32" max="32" width="35.28515625" style="7" customWidth="1"/>
    <col min="33" max="33" width="15" style="7" customWidth="1"/>
    <col min="34" max="34" width="17.7109375" style="7" customWidth="1"/>
    <col min="35" max="35" width="15.140625" style="7" customWidth="1"/>
    <col min="36" max="36" width="15.7109375" style="7" customWidth="1"/>
    <col min="37" max="37" width="21.28515625" style="7" customWidth="1"/>
    <col min="38" max="38" width="17.7109375" style="7" bestFit="1" customWidth="1"/>
    <col min="39" max="39" width="15.42578125" style="7" bestFit="1" customWidth="1"/>
    <col min="40" max="40" width="14.28515625" style="7" bestFit="1" customWidth="1"/>
    <col min="41" max="41" width="14.28515625" style="7" customWidth="1"/>
    <col min="42" max="42" width="12.5703125" style="7" customWidth="1"/>
    <col min="43" max="43" width="14" style="7" bestFit="1" customWidth="1"/>
    <col min="44" max="45" width="10.85546875" style="7" bestFit="1" customWidth="1"/>
    <col min="46" max="46" width="13.42578125" style="7" customWidth="1"/>
    <col min="47" max="47" width="11.85546875" style="7" bestFit="1" customWidth="1"/>
    <col min="48" max="48" width="11" style="7" bestFit="1" customWidth="1"/>
    <col min="49" max="49" width="14.28515625" style="7" bestFit="1" customWidth="1"/>
    <col min="50" max="50" width="10.7109375" style="7" customWidth="1"/>
    <col min="51" max="51" width="13.85546875" style="7" bestFit="1" customWidth="1"/>
    <col min="52" max="52" width="11.7109375" style="7" bestFit="1" customWidth="1"/>
    <col min="53" max="53" width="15.28515625" style="7" bestFit="1" customWidth="1"/>
    <col min="54" max="56" width="12.28515625" style="7" bestFit="1" customWidth="1"/>
    <col min="57" max="57" width="12.5703125" style="7" bestFit="1" customWidth="1"/>
    <col min="58" max="60" width="14.28515625" style="7" bestFit="1" customWidth="1"/>
    <col min="61" max="61" width="13.7109375" style="7" bestFit="1" customWidth="1"/>
    <col min="62" max="62" width="14" style="7" bestFit="1" customWidth="1"/>
    <col min="63" max="63" width="12.85546875" style="7" bestFit="1" customWidth="1"/>
    <col min="64" max="64" width="15.28515625" style="7" bestFit="1" customWidth="1"/>
    <col min="65" max="65" width="12.28515625" style="7" bestFit="1" customWidth="1"/>
    <col min="66" max="66" width="10.85546875" style="7" bestFit="1" customWidth="1"/>
    <col min="67" max="67" width="12.28515625" style="7" bestFit="1" customWidth="1"/>
    <col min="68" max="68" width="12.5703125" style="7" bestFit="1" customWidth="1"/>
    <col min="69" max="16384" width="9.140625" style="7"/>
  </cols>
  <sheetData>
    <row r="1" spans="1:68" ht="12.75" customHeight="1">
      <c r="A1" s="45" t="s">
        <v>54</v>
      </c>
      <c r="B1" s="444" t="s">
        <v>342</v>
      </c>
      <c r="C1" s="444"/>
      <c r="D1" s="444"/>
      <c r="E1" s="444"/>
      <c r="F1" s="444"/>
      <c r="G1" s="444"/>
      <c r="H1" s="444"/>
      <c r="I1" s="444"/>
      <c r="J1" s="444"/>
      <c r="K1" s="444"/>
      <c r="L1" s="444"/>
      <c r="M1" s="444"/>
      <c r="N1" s="444"/>
      <c r="O1" s="444"/>
      <c r="P1" s="444"/>
      <c r="Q1" s="444"/>
      <c r="R1" s="444"/>
      <c r="S1" s="444"/>
      <c r="T1" s="444"/>
      <c r="U1" s="444"/>
      <c r="V1" s="53"/>
      <c r="W1" s="53"/>
      <c r="X1" s="53"/>
      <c r="Y1" s="53"/>
      <c r="Z1" s="53"/>
    </row>
    <row r="2" spans="1:68" ht="12.75" customHeight="1">
      <c r="A2" s="46" t="s">
        <v>137</v>
      </c>
      <c r="B2" s="444"/>
      <c r="C2" s="444"/>
      <c r="D2" s="444"/>
      <c r="E2" s="444"/>
      <c r="F2" s="444"/>
      <c r="G2" s="444"/>
      <c r="H2" s="444"/>
      <c r="I2" s="444"/>
      <c r="J2" s="444"/>
      <c r="K2" s="444"/>
      <c r="L2" s="444"/>
      <c r="M2" s="444"/>
      <c r="N2" s="444"/>
      <c r="O2" s="444"/>
      <c r="P2" s="444"/>
      <c r="Q2" s="444"/>
      <c r="R2" s="444"/>
      <c r="S2" s="444"/>
      <c r="T2" s="444"/>
      <c r="U2" s="444"/>
      <c r="V2" s="52"/>
      <c r="W2" s="52"/>
      <c r="X2" s="52"/>
      <c r="Y2" s="52"/>
    </row>
    <row r="3" spans="1:68">
      <c r="B3" s="444"/>
      <c r="C3" s="444"/>
      <c r="D3" s="444"/>
      <c r="E3" s="444"/>
      <c r="F3" s="444"/>
      <c r="G3" s="444"/>
      <c r="H3" s="444"/>
      <c r="I3" s="444"/>
      <c r="J3" s="444"/>
      <c r="K3" s="444"/>
      <c r="L3" s="444"/>
      <c r="M3" s="444"/>
      <c r="N3" s="444"/>
      <c r="O3" s="444"/>
      <c r="P3" s="444"/>
      <c r="Q3" s="444"/>
      <c r="R3" s="444"/>
      <c r="S3" s="444"/>
      <c r="T3" s="444"/>
      <c r="U3" s="444"/>
      <c r="V3" s="52"/>
      <c r="W3" s="52"/>
      <c r="X3" s="52"/>
      <c r="Y3" s="52"/>
      <c r="Z3" s="52"/>
    </row>
    <row r="4" spans="1:68">
      <c r="B4" s="444"/>
      <c r="C4" s="444"/>
      <c r="D4" s="444"/>
      <c r="E4" s="444"/>
      <c r="F4" s="444"/>
      <c r="G4" s="444"/>
      <c r="H4" s="444"/>
      <c r="I4" s="444"/>
      <c r="J4" s="444"/>
      <c r="K4" s="444"/>
      <c r="L4" s="444"/>
      <c r="M4" s="444"/>
      <c r="N4" s="444"/>
      <c r="O4" s="444"/>
      <c r="P4" s="444"/>
      <c r="Q4" s="444"/>
      <c r="R4" s="444"/>
      <c r="S4" s="444"/>
      <c r="T4" s="444"/>
      <c r="U4" s="444"/>
      <c r="V4" s="52"/>
      <c r="W4" s="52"/>
      <c r="X4" s="52"/>
      <c r="Y4" s="52"/>
      <c r="Z4" s="52"/>
    </row>
    <row r="5" spans="1:68">
      <c r="B5" s="444"/>
      <c r="C5" s="444"/>
      <c r="D5" s="444"/>
      <c r="E5" s="444"/>
      <c r="F5" s="444"/>
      <c r="G5" s="444"/>
      <c r="H5" s="444"/>
      <c r="I5" s="444"/>
      <c r="J5" s="444"/>
      <c r="K5" s="444"/>
      <c r="L5" s="444"/>
      <c r="M5" s="444"/>
      <c r="N5" s="444"/>
      <c r="O5" s="444"/>
      <c r="P5" s="444"/>
      <c r="Q5" s="444"/>
      <c r="R5" s="444"/>
      <c r="S5" s="444"/>
      <c r="T5" s="444"/>
      <c r="U5" s="444"/>
      <c r="V5" s="52"/>
      <c r="W5" s="52"/>
      <c r="X5" s="52"/>
      <c r="Y5" s="52"/>
      <c r="Z5" s="52"/>
    </row>
    <row r="6" spans="1:68">
      <c r="B6" s="444"/>
      <c r="C6" s="444"/>
      <c r="D6" s="444"/>
      <c r="E6" s="444"/>
      <c r="F6" s="444"/>
      <c r="G6" s="444"/>
      <c r="H6" s="444"/>
      <c r="I6" s="444"/>
      <c r="J6" s="444"/>
      <c r="K6" s="444"/>
      <c r="L6" s="444"/>
      <c r="M6" s="444"/>
      <c r="N6" s="444"/>
      <c r="O6" s="444"/>
      <c r="P6" s="444"/>
      <c r="Q6" s="444"/>
      <c r="R6" s="444"/>
      <c r="S6" s="444"/>
      <c r="T6" s="444"/>
      <c r="U6" s="444"/>
      <c r="V6" s="52"/>
      <c r="W6" s="52"/>
      <c r="X6" s="52"/>
      <c r="Y6" s="52"/>
      <c r="Z6" s="52"/>
    </row>
    <row r="7" spans="1:68">
      <c r="A7" s="440"/>
      <c r="B7" s="440" t="s">
        <v>48</v>
      </c>
      <c r="C7" s="51" t="s">
        <v>343</v>
      </c>
      <c r="D7" s="51" t="s">
        <v>158</v>
      </c>
    </row>
    <row r="8" spans="1:68">
      <c r="A8" s="440" t="s">
        <v>912</v>
      </c>
      <c r="B8" s="440" t="s">
        <v>55</v>
      </c>
      <c r="C8" s="51" t="str">
        <f>[2]MLIST!$B$46</f>
        <v>ASHP</v>
      </c>
      <c r="D8" s="51" t="str">
        <f>[1]!switch_ForecastState</f>
        <v>Region</v>
      </c>
      <c r="F8"/>
    </row>
    <row r="9" spans="1:68">
      <c r="A9" s="440" t="str">
        <f>INDEX([2]ACHIEV!$A$19:$B$100,MATCH(CONCATENATE($C$8," - ",$C$7),[2]ACHIEV!$B$19:$B$100,0),1)</f>
        <v>HVAC</v>
      </c>
      <c r="B9" s="441" t="s">
        <v>56</v>
      </c>
      <c r="C9" s="51">
        <f>[2]FILES!$H$4</f>
        <v>2035</v>
      </c>
      <c r="D9" s="51" t="str">
        <f>[1]!switch_ForecastScenario</f>
        <v>Base</v>
      </c>
    </row>
    <row r="10" spans="1:68">
      <c r="A10" s="440"/>
      <c r="B10" s="440" t="s">
        <v>914</v>
      </c>
      <c r="C10" s="443">
        <f>MIN(SUM(E65:X65),Y65)</f>
        <v>47.703733151974113</v>
      </c>
      <c r="D10" s="54"/>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row>
    <row r="11" spans="1:68" ht="15">
      <c r="A11" s="55" t="s">
        <v>344</v>
      </c>
      <c r="E11" s="58">
        <v>2016</v>
      </c>
      <c r="F11" s="59">
        <v>2017</v>
      </c>
      <c r="G11" s="59">
        <v>2018</v>
      </c>
      <c r="H11" s="59">
        <v>2019</v>
      </c>
      <c r="I11" s="59">
        <v>2020</v>
      </c>
      <c r="J11" s="59">
        <v>2021</v>
      </c>
      <c r="K11" s="59">
        <v>2022</v>
      </c>
      <c r="L11" s="59">
        <v>2023</v>
      </c>
      <c r="M11" s="59">
        <v>2024</v>
      </c>
      <c r="N11" s="59">
        <v>2025</v>
      </c>
      <c r="O11" s="59">
        <v>2026</v>
      </c>
      <c r="P11" s="59">
        <v>2027</v>
      </c>
      <c r="Q11" s="59">
        <v>2028</v>
      </c>
      <c r="R11" s="59">
        <v>2029</v>
      </c>
      <c r="S11" s="59">
        <v>2030</v>
      </c>
      <c r="T11" s="59">
        <v>2031</v>
      </c>
      <c r="U11" s="59">
        <v>2032</v>
      </c>
      <c r="V11" s="59">
        <v>2033</v>
      </c>
      <c r="W11" s="59">
        <v>2034</v>
      </c>
      <c r="X11" s="59">
        <v>2035</v>
      </c>
      <c r="Y11" s="60"/>
      <c r="Z11"/>
    </row>
    <row r="12" spans="1:68" ht="15">
      <c r="E12" s="61" t="str">
        <f>CONCATENATE("HOMES_",E11)</f>
        <v>HOMES_2016</v>
      </c>
      <c r="F12" s="62" t="str">
        <f t="shared" ref="F12:X12" si="0">CONCATENATE("HOMES_",F11)</f>
        <v>HOMES_2017</v>
      </c>
      <c r="G12" s="62" t="str">
        <f t="shared" si="0"/>
        <v>HOMES_2018</v>
      </c>
      <c r="H12" s="62" t="str">
        <f t="shared" si="0"/>
        <v>HOMES_2019</v>
      </c>
      <c r="I12" s="62" t="str">
        <f t="shared" si="0"/>
        <v>HOMES_2020</v>
      </c>
      <c r="J12" s="62" t="str">
        <f t="shared" si="0"/>
        <v>HOMES_2021</v>
      </c>
      <c r="K12" s="62" t="str">
        <f t="shared" si="0"/>
        <v>HOMES_2022</v>
      </c>
      <c r="L12" s="62" t="str">
        <f t="shared" si="0"/>
        <v>HOMES_2023</v>
      </c>
      <c r="M12" s="62" t="str">
        <f t="shared" si="0"/>
        <v>HOMES_2024</v>
      </c>
      <c r="N12" s="62" t="str">
        <f t="shared" si="0"/>
        <v>HOMES_2025</v>
      </c>
      <c r="O12" s="62" t="str">
        <f t="shared" si="0"/>
        <v>HOMES_2026</v>
      </c>
      <c r="P12" s="62" t="str">
        <f t="shared" si="0"/>
        <v>HOMES_2027</v>
      </c>
      <c r="Q12" s="62" t="str">
        <f t="shared" si="0"/>
        <v>HOMES_2028</v>
      </c>
      <c r="R12" s="62" t="str">
        <f t="shared" si="0"/>
        <v>HOMES_2029</v>
      </c>
      <c r="S12" s="62" t="str">
        <f t="shared" si="0"/>
        <v>HOMES_2030</v>
      </c>
      <c r="T12" s="62" t="str">
        <f t="shared" si="0"/>
        <v>HOMES_2031</v>
      </c>
      <c r="U12" s="62" t="str">
        <f t="shared" si="0"/>
        <v>HOMES_2032</v>
      </c>
      <c r="V12" s="62" t="str">
        <f t="shared" si="0"/>
        <v>HOMES_2033</v>
      </c>
      <c r="W12" s="62" t="str">
        <f t="shared" si="0"/>
        <v>HOMES_2034</v>
      </c>
      <c r="X12" s="62" t="str">
        <f t="shared" si="0"/>
        <v>HOMES_2035</v>
      </c>
      <c r="Y12" s="63"/>
      <c r="Z12"/>
    </row>
    <row r="13" spans="1:68">
      <c r="C13" s="7" t="s">
        <v>49</v>
      </c>
      <c r="E13" s="35">
        <f>INDEX([1]!tbl_Forecast,MATCH($D$8&amp;$C13&amp;$D$7,[1]!rng_ForecastRowLookup,0),MATCH(E$11,[1]!rng_ForecastColumnLookup,0))</f>
        <v>4203528.2719999999</v>
      </c>
      <c r="F13" s="35">
        <f>INDEX([1]!tbl_Forecast,MATCH($D$8&amp;$C13&amp;$D$7,[1]!rng_ForecastRowLookup,0),MATCH(F$11,[1]!rng_ForecastColumnLookup,0))</f>
        <v>4193982.9785983553</v>
      </c>
      <c r="G13" s="35">
        <f>INDEX([1]!tbl_Forecast,MATCH($D$8&amp;$C13&amp;$D$7,[1]!rng_ForecastRowLookup,0),MATCH(G$11,[1]!rng_ForecastColumnLookup,0))</f>
        <v>4184459.3604704877</v>
      </c>
      <c r="H13" s="35">
        <f>INDEX([1]!tbl_Forecast,MATCH($D$8&amp;$C13&amp;$D$7,[1]!rng_ForecastRowLookup,0),MATCH(H$11,[1]!rng_ForecastColumnLookup,0))</f>
        <v>4174957.36839659</v>
      </c>
      <c r="I13" s="35">
        <f>INDEX([1]!tbl_Forecast,MATCH($D$8&amp;$C13&amp;$D$7,[1]!rng_ForecastRowLookup,0),MATCH(I$11,[1]!rng_ForecastColumnLookup,0))</f>
        <v>4165476.9532686244</v>
      </c>
      <c r="J13" s="35">
        <f>INDEX([1]!tbl_Forecast,MATCH($D$8&amp;$C13&amp;$D$7,[1]!rng_ForecastRowLookup,0),MATCH(J$11,[1]!rng_ForecastColumnLookup,0))</f>
        <v>4156018.0660900641</v>
      </c>
      <c r="K13" s="35">
        <f>INDEX([1]!tbl_Forecast,MATCH($D$8&amp;$C13&amp;$D$7,[1]!rng_ForecastRowLookup,0),MATCH(K$11,[1]!rng_ForecastColumnLookup,0))</f>
        <v>4146580.6579756448</v>
      </c>
      <c r="L13" s="35">
        <f>INDEX([1]!tbl_Forecast,MATCH($D$8&amp;$C13&amp;$D$7,[1]!rng_ForecastRowLookup,0),MATCH(L$11,[1]!rng_ForecastColumnLookup,0))</f>
        <v>4137164.6801511091</v>
      </c>
      <c r="M13" s="35">
        <f>INDEX([1]!tbl_Forecast,MATCH($D$8&amp;$C13&amp;$D$7,[1]!rng_ForecastRowLookup,0),MATCH(M$11,[1]!rng_ForecastColumnLookup,0))</f>
        <v>4127770.0839529554</v>
      </c>
      <c r="N13" s="35">
        <f>INDEX([1]!tbl_Forecast,MATCH($D$8&amp;$C13&amp;$D$7,[1]!rng_ForecastRowLookup,0),MATCH(N$11,[1]!rng_ForecastColumnLookup,0))</f>
        <v>4118396.8208281873</v>
      </c>
      <c r="O13" s="35">
        <f>INDEX([1]!tbl_Forecast,MATCH($D$8&amp;$C13&amp;$D$7,[1]!rng_ForecastRowLookup,0),MATCH(O$11,[1]!rng_ForecastColumnLookup,0))</f>
        <v>4109044.8423340586</v>
      </c>
      <c r="P13" s="35">
        <f>INDEX([1]!tbl_Forecast,MATCH($D$8&amp;$C13&amp;$D$7,[1]!rng_ForecastRowLookup,0),MATCH(P$11,[1]!rng_ForecastColumnLookup,0))</f>
        <v>4099714.1001378288</v>
      </c>
      <c r="Q13" s="35">
        <f>INDEX([1]!tbl_Forecast,MATCH($D$8&amp;$C13&amp;$D$7,[1]!rng_ForecastRowLookup,0),MATCH(Q$11,[1]!rng_ForecastColumnLookup,0))</f>
        <v>4090404.5460165106</v>
      </c>
      <c r="R13" s="35">
        <f>INDEX([1]!tbl_Forecast,MATCH($D$8&amp;$C13&amp;$D$7,[1]!rng_ForecastRowLookup,0),MATCH(R$11,[1]!rng_ForecastColumnLookup,0))</f>
        <v>4081116.1318566194</v>
      </c>
      <c r="S13" s="35">
        <f>INDEX([1]!tbl_Forecast,MATCH($D$8&amp;$C13&amp;$D$7,[1]!rng_ForecastRowLookup,0),MATCH(S$11,[1]!rng_ForecastColumnLookup,0))</f>
        <v>4071848.8096539262</v>
      </c>
      <c r="T13" s="35">
        <f>INDEX([1]!tbl_Forecast,MATCH($D$8&amp;$C13&amp;$D$7,[1]!rng_ForecastRowLookup,0),MATCH(T$11,[1]!rng_ForecastColumnLookup,0))</f>
        <v>4062602.5315132081</v>
      </c>
      <c r="U13" s="35">
        <f>INDEX([1]!tbl_Forecast,MATCH($D$8&amp;$C13&amp;$D$7,[1]!rng_ForecastRowLookup,0),MATCH(U$11,[1]!rng_ForecastColumnLookup,0))</f>
        <v>4053377.2496480034</v>
      </c>
      <c r="V13" s="35">
        <f>INDEX([1]!tbl_Forecast,MATCH($D$8&amp;$C13&amp;$D$7,[1]!rng_ForecastRowLookup,0),MATCH(V$11,[1]!rng_ForecastColumnLookup,0))</f>
        <v>4044172.9163803621</v>
      </c>
      <c r="W13" s="35">
        <f>INDEX([1]!tbl_Forecast,MATCH($D$8&amp;$C13&amp;$D$7,[1]!rng_ForecastRowLookup,0),MATCH(W$11,[1]!rng_ForecastColumnLookup,0))</f>
        <v>4034989.4841406001</v>
      </c>
      <c r="X13" s="35">
        <f>INDEX([1]!tbl_Forecast,MATCH($D$8&amp;$C13&amp;$D$7,[1]!rng_ForecastRowLookup,0),MATCH(X$11,[1]!rng_ForecastColumnLookup,0))</f>
        <v>4025826.9054670548</v>
      </c>
      <c r="Y13" s="35"/>
      <c r="Z13"/>
    </row>
    <row r="14" spans="1:68">
      <c r="E14" s="35"/>
      <c r="F14" s="35"/>
      <c r="G14" s="35"/>
      <c r="H14" s="35"/>
      <c r="I14" s="35"/>
      <c r="J14" s="35"/>
      <c r="K14" s="35"/>
      <c r="L14" s="35"/>
      <c r="M14" s="35"/>
      <c r="N14" s="35"/>
      <c r="O14" s="35"/>
      <c r="P14" s="35"/>
      <c r="Q14" s="35"/>
      <c r="R14" s="35"/>
      <c r="S14" s="35"/>
      <c r="T14" s="35"/>
      <c r="U14" s="35"/>
      <c r="V14" s="35"/>
      <c r="W14" s="35"/>
      <c r="X14" s="35"/>
      <c r="Y14" s="35"/>
      <c r="Z14" s="35"/>
    </row>
    <row r="15" spans="1:68">
      <c r="E15" s="35"/>
      <c r="F15" s="35"/>
      <c r="G15" s="35"/>
      <c r="H15" s="35"/>
      <c r="I15" s="35"/>
      <c r="J15" s="35"/>
      <c r="K15" s="35"/>
      <c r="L15" s="35"/>
      <c r="M15" s="35"/>
      <c r="N15" s="35"/>
      <c r="O15" s="35"/>
      <c r="P15" s="35"/>
      <c r="Q15" s="35"/>
      <c r="R15" s="35"/>
      <c r="S15" s="35"/>
      <c r="T15" s="35"/>
      <c r="U15" s="35"/>
      <c r="V15" s="35"/>
      <c r="W15" s="35"/>
      <c r="X15" s="35"/>
      <c r="Y15" s="35"/>
    </row>
    <row r="16" spans="1:68">
      <c r="B16" s="7" t="s">
        <v>57</v>
      </c>
      <c r="C16" s="7" t="s">
        <v>58</v>
      </c>
      <c r="E16" s="35">
        <f t="shared" ref="E16:X16" si="1">SUM(E13:E14)</f>
        <v>4203528.2719999999</v>
      </c>
      <c r="F16" s="35">
        <f t="shared" si="1"/>
        <v>4193982.9785983553</v>
      </c>
      <c r="G16" s="35">
        <f t="shared" si="1"/>
        <v>4184459.3604704877</v>
      </c>
      <c r="H16" s="35">
        <f t="shared" si="1"/>
        <v>4174957.36839659</v>
      </c>
      <c r="I16" s="35">
        <f t="shared" si="1"/>
        <v>4165476.9532686244</v>
      </c>
      <c r="J16" s="35">
        <f t="shared" si="1"/>
        <v>4156018.0660900641</v>
      </c>
      <c r="K16" s="35">
        <f t="shared" si="1"/>
        <v>4146580.6579756448</v>
      </c>
      <c r="L16" s="35">
        <f t="shared" si="1"/>
        <v>4137164.6801511091</v>
      </c>
      <c r="M16" s="35">
        <f t="shared" si="1"/>
        <v>4127770.0839529554</v>
      </c>
      <c r="N16" s="35">
        <f t="shared" si="1"/>
        <v>4118396.8208281873</v>
      </c>
      <c r="O16" s="35">
        <f t="shared" si="1"/>
        <v>4109044.8423340586</v>
      </c>
      <c r="P16" s="35">
        <f t="shared" si="1"/>
        <v>4099714.1001378288</v>
      </c>
      <c r="Q16" s="35">
        <f t="shared" si="1"/>
        <v>4090404.5460165106</v>
      </c>
      <c r="R16" s="35">
        <f t="shared" si="1"/>
        <v>4081116.1318566194</v>
      </c>
      <c r="S16" s="35">
        <f t="shared" si="1"/>
        <v>4071848.8096539262</v>
      </c>
      <c r="T16" s="35">
        <f t="shared" si="1"/>
        <v>4062602.5315132081</v>
      </c>
      <c r="U16" s="35">
        <f t="shared" si="1"/>
        <v>4053377.2496480034</v>
      </c>
      <c r="V16" s="35">
        <f t="shared" si="1"/>
        <v>4044172.9163803621</v>
      </c>
      <c r="W16" s="35">
        <f t="shared" si="1"/>
        <v>4034989.4841406001</v>
      </c>
      <c r="X16" s="35">
        <f t="shared" si="1"/>
        <v>4025826.9054670548</v>
      </c>
      <c r="Y16" s="35"/>
      <c r="Z16" s="35"/>
    </row>
    <row r="17" spans="1:32">
      <c r="E17" s="35"/>
      <c r="F17" s="35"/>
      <c r="G17" s="35"/>
      <c r="H17" s="35"/>
      <c r="I17" s="35"/>
      <c r="J17" s="35"/>
      <c r="K17" s="35"/>
      <c r="L17" s="35"/>
      <c r="M17" s="35"/>
      <c r="N17" s="35"/>
      <c r="O17" s="35"/>
      <c r="P17" s="35"/>
      <c r="Q17" s="35"/>
      <c r="R17" s="35"/>
      <c r="S17" s="35"/>
      <c r="T17" s="35"/>
      <c r="U17" s="35"/>
      <c r="V17" s="35"/>
      <c r="W17" s="35"/>
      <c r="X17" s="35"/>
      <c r="Y17" s="35"/>
    </row>
    <row r="18" spans="1:32">
      <c r="E18" s="35"/>
      <c r="F18" s="35"/>
      <c r="G18" s="35"/>
      <c r="H18" s="35"/>
      <c r="I18" s="35"/>
      <c r="J18" s="35"/>
      <c r="K18" s="35"/>
      <c r="L18" s="35"/>
      <c r="M18" s="35"/>
      <c r="N18" s="35"/>
      <c r="O18" s="35"/>
      <c r="P18" s="35"/>
      <c r="Q18" s="35"/>
      <c r="R18" s="35"/>
      <c r="S18" s="35"/>
      <c r="T18" s="35"/>
      <c r="U18" s="35"/>
      <c r="V18" s="35"/>
      <c r="W18" s="35"/>
      <c r="X18" s="35"/>
      <c r="Y18" s="35"/>
    </row>
    <row r="19" spans="1:32" ht="15">
      <c r="A19" s="55" t="s">
        <v>345</v>
      </c>
      <c r="E19" s="35"/>
      <c r="F19" s="35"/>
      <c r="G19" s="35"/>
      <c r="H19" s="35"/>
      <c r="I19" s="35"/>
      <c r="J19" s="35"/>
      <c r="K19" s="35"/>
      <c r="L19" s="35"/>
      <c r="M19" s="35"/>
      <c r="N19" s="35"/>
      <c r="O19" s="35"/>
      <c r="P19" s="35"/>
      <c r="Q19" s="35"/>
      <c r="R19" s="35"/>
      <c r="S19" s="35"/>
      <c r="T19" s="35"/>
      <c r="U19" s="35"/>
      <c r="V19" s="35"/>
      <c r="W19" s="35"/>
      <c r="X19" s="35"/>
      <c r="Y19" s="35"/>
    </row>
    <row r="20" spans="1:32" ht="15">
      <c r="A20" s="7" t="s">
        <v>346</v>
      </c>
      <c r="E20" s="64">
        <v>1</v>
      </c>
      <c r="F20" s="64">
        <v>2</v>
      </c>
      <c r="G20" s="64">
        <v>3</v>
      </c>
      <c r="H20" s="64">
        <v>4</v>
      </c>
      <c r="I20" s="64">
        <v>5</v>
      </c>
      <c r="J20" s="64">
        <v>6</v>
      </c>
      <c r="K20" s="64">
        <v>7</v>
      </c>
      <c r="L20" s="64">
        <v>8</v>
      </c>
      <c r="M20" s="64">
        <v>9</v>
      </c>
      <c r="N20" s="64">
        <v>10</v>
      </c>
      <c r="O20" s="64">
        <v>11</v>
      </c>
      <c r="P20" s="64">
        <v>12</v>
      </c>
      <c r="Q20" s="64">
        <v>13</v>
      </c>
      <c r="R20" s="64">
        <v>14</v>
      </c>
      <c r="S20" s="64">
        <v>15</v>
      </c>
      <c r="T20" s="64">
        <v>16</v>
      </c>
      <c r="U20" s="64">
        <v>17</v>
      </c>
      <c r="V20" s="64">
        <v>18</v>
      </c>
      <c r="W20" s="64">
        <v>19</v>
      </c>
      <c r="X20" s="64">
        <v>20</v>
      </c>
      <c r="Y20" s="64"/>
    </row>
    <row r="21" spans="1:32">
      <c r="C21" s="7" t="str">
        <f>C13</f>
        <v>Single Family</v>
      </c>
      <c r="E21" s="35">
        <f>IF(E$41&lt;=1/$C$37,0,INDEX('SC-New (2)'!$E132:$Y132,1,E$41-ROUND(1/$C$37,0)))</f>
        <v>0</v>
      </c>
      <c r="F21" s="35">
        <f>IF(F$41&lt;=1/$C$37,0,INDEX('SC-New (2)'!$E132:$Y132,1,F$41-ROUND(1/$C$37,0)))</f>
        <v>0</v>
      </c>
      <c r="G21" s="35">
        <f>IF(G$41&lt;=1/$C$37,0,INDEX('SC-New (2)'!$E132:$Y132,1,G$41-ROUND(1/$C$37,0)))</f>
        <v>0</v>
      </c>
      <c r="H21" s="35">
        <f>IF(H$41&lt;=1/$C$37,0,INDEX('SC-New (2)'!$E132:$Y132,1,H$41-ROUND(1/$C$37,0)))</f>
        <v>0</v>
      </c>
      <c r="I21" s="35">
        <f>IF(I$41&lt;=1/$C$37,0,INDEX('SC-New (2)'!$E132:$Y132,1,I$41-ROUND(1/$C$37,0)))</f>
        <v>0</v>
      </c>
      <c r="J21" s="35">
        <f>IF(J$41&lt;=1/$C$37,0,INDEX('SC-New (2)'!$E132:$Y132,1,J$41-ROUND(1/$C$37,0)))</f>
        <v>0</v>
      </c>
      <c r="K21" s="35">
        <f>IF(K$41&lt;=1/$C$37,0,INDEX('SC-New (2)'!$E132:$Y132,1,K$41-ROUND(1/$C$37,0)))</f>
        <v>0</v>
      </c>
      <c r="L21" s="35">
        <f>IF(L$41&lt;=1/$C$37,0,INDEX('SC-New (2)'!$E132:$Y132,1,L$41-ROUND(1/$C$37,0)))</f>
        <v>0</v>
      </c>
      <c r="M21" s="35">
        <f>IF(M$41&lt;=1/$C$37,0,INDEX('SC-New (2)'!$E132:$Y132,1,M$41-ROUND(1/$C$37,0)))</f>
        <v>0</v>
      </c>
      <c r="N21" s="35">
        <f>IF(N$41&lt;=1/$C$37,0,INDEX('SC-New (2)'!$E132:$Y132,1,N$41-ROUND(1/$C$37,0)))</f>
        <v>0</v>
      </c>
      <c r="O21" s="35">
        <f>IF(O$41&lt;=1/$C$37,0,INDEX('SC-New (2)'!$E132:$Y132,1,O$41-ROUND(1/$C$37,0)))</f>
        <v>0</v>
      </c>
      <c r="P21" s="35">
        <f>IF(P$41&lt;=1/$C$37,0,INDEX('SC-New (2)'!$E132:$Y132,1,P$41-ROUND(1/$C$37,0)))</f>
        <v>0</v>
      </c>
      <c r="Q21" s="35">
        <f>IF(Q$41&lt;=1/$C$37,0,INDEX('SC-New (2)'!$E132:$Y132,1,Q$41-ROUND(1/$C$37,0)))</f>
        <v>0</v>
      </c>
      <c r="R21" s="35">
        <f>IF(R$41&lt;=1/$C$37,0,INDEX('SC-New (2)'!$E132:$Y132,1,R$41-ROUND(1/$C$37,0)))</f>
        <v>0</v>
      </c>
      <c r="S21" s="35">
        <f>IF(S$41&lt;=1/$C$37,0,INDEX('SC-New (2)'!$E132:$Y132,1,S$41-ROUND(1/$C$37,0)))</f>
        <v>0</v>
      </c>
      <c r="T21" s="35">
        <f>IF(T$41&lt;=1/$C$37,0,INDEX('SC-New (2)'!$E132:$Y132,1,T$41-ROUND(1/$C$37,0)))</f>
        <v>60664.951918541097</v>
      </c>
      <c r="U21" s="35">
        <f>IF(U$41&lt;=1/$C$37,0,INDEX('SC-New (2)'!$E132:$Y132,1,U$41-ROUND(1/$C$37,0)))</f>
        <v>55655.378800802835</v>
      </c>
      <c r="V21" s="35">
        <f>IF(V$41&lt;=1/$C$37,0,INDEX('SC-New (2)'!$E132:$Y132,1,V$41-ROUND(1/$C$37,0)))</f>
        <v>49999.385389778399</v>
      </c>
      <c r="W21" s="35">
        <f>IF(W$41&lt;=1/$C$37,0,INDEX('SC-New (2)'!$E132:$Y132,1,W$41-ROUND(1/$C$37,0)))</f>
        <v>45281.217886956503</v>
      </c>
      <c r="X21" s="35">
        <f>IF(X$41&lt;=1/$C$37,0,INDEX('SC-New (2)'!$E132:$Y132,1,X$41-ROUND(1/$C$37,0)))</f>
        <v>40632.612209263665</v>
      </c>
      <c r="Y21" s="35"/>
      <c r="Z21" s="35"/>
      <c r="AB21" s="35"/>
      <c r="AC21" s="35"/>
      <c r="AD21" s="35"/>
      <c r="AE21" s="35"/>
      <c r="AF21" s="35"/>
    </row>
    <row r="22" spans="1:32">
      <c r="E22" s="35"/>
      <c r="F22" s="35"/>
      <c r="G22" s="35"/>
      <c r="H22" s="35"/>
      <c r="I22" s="35"/>
      <c r="J22" s="35"/>
      <c r="K22" s="35"/>
      <c r="L22" s="35"/>
      <c r="M22" s="35"/>
      <c r="N22" s="35"/>
      <c r="O22" s="35"/>
      <c r="P22" s="35"/>
      <c r="Q22" s="35"/>
      <c r="R22" s="35"/>
      <c r="S22" s="35"/>
      <c r="T22" s="35"/>
      <c r="U22" s="35"/>
      <c r="V22" s="35"/>
      <c r="W22" s="35"/>
      <c r="X22" s="35"/>
      <c r="Y22" s="35"/>
      <c r="Z22" s="35"/>
      <c r="AB22" s="35"/>
      <c r="AC22" s="35"/>
      <c r="AD22" s="35"/>
      <c r="AE22" s="35"/>
      <c r="AF22" s="35"/>
    </row>
    <row r="23" spans="1:32">
      <c r="E23" s="35"/>
      <c r="F23" s="35"/>
      <c r="G23" s="35"/>
      <c r="H23" s="35"/>
      <c r="I23" s="35"/>
      <c r="J23" s="35"/>
      <c r="K23" s="35"/>
      <c r="L23" s="35"/>
      <c r="M23" s="35"/>
      <c r="N23" s="35"/>
      <c r="O23" s="35"/>
      <c r="P23" s="35"/>
      <c r="Q23" s="35"/>
      <c r="R23" s="35"/>
      <c r="S23" s="35"/>
      <c r="T23" s="35"/>
      <c r="U23" s="35"/>
      <c r="V23" s="35"/>
      <c r="W23" s="35"/>
      <c r="X23" s="35"/>
      <c r="Y23" s="35"/>
      <c r="Z23" s="35"/>
      <c r="AB23" s="35"/>
      <c r="AC23" s="35"/>
      <c r="AD23" s="35"/>
      <c r="AE23" s="35"/>
      <c r="AF23" s="35"/>
    </row>
    <row r="24" spans="1:32">
      <c r="C24" s="7" t="s">
        <v>347</v>
      </c>
      <c r="E24" s="35">
        <f t="shared" ref="E24:X24" si="2">SUM(E21:E22)</f>
        <v>0</v>
      </c>
      <c r="F24" s="35">
        <f t="shared" si="2"/>
        <v>0</v>
      </c>
      <c r="G24" s="35">
        <f t="shared" si="2"/>
        <v>0</v>
      </c>
      <c r="H24" s="35">
        <f t="shared" si="2"/>
        <v>0</v>
      </c>
      <c r="I24" s="35">
        <f t="shared" si="2"/>
        <v>0</v>
      </c>
      <c r="J24" s="35">
        <f t="shared" si="2"/>
        <v>0</v>
      </c>
      <c r="K24" s="35">
        <f t="shared" si="2"/>
        <v>0</v>
      </c>
      <c r="L24" s="35">
        <f t="shared" si="2"/>
        <v>0</v>
      </c>
      <c r="M24" s="35">
        <f t="shared" si="2"/>
        <v>0</v>
      </c>
      <c r="N24" s="35">
        <f t="shared" si="2"/>
        <v>0</v>
      </c>
      <c r="O24" s="35">
        <f t="shared" si="2"/>
        <v>0</v>
      </c>
      <c r="P24" s="35">
        <f t="shared" si="2"/>
        <v>0</v>
      </c>
      <c r="Q24" s="35">
        <f t="shared" si="2"/>
        <v>0</v>
      </c>
      <c r="R24" s="35">
        <f t="shared" si="2"/>
        <v>0</v>
      </c>
      <c r="S24" s="35">
        <f t="shared" si="2"/>
        <v>0</v>
      </c>
      <c r="T24" s="35">
        <f t="shared" si="2"/>
        <v>60664.951918541097</v>
      </c>
      <c r="U24" s="35">
        <f t="shared" si="2"/>
        <v>55655.378800802835</v>
      </c>
      <c r="V24" s="35">
        <f t="shared" si="2"/>
        <v>49999.385389778399</v>
      </c>
      <c r="W24" s="35">
        <f t="shared" si="2"/>
        <v>45281.217886956503</v>
      </c>
      <c r="X24" s="35">
        <f t="shared" si="2"/>
        <v>40632.612209263665</v>
      </c>
      <c r="Y24" s="35"/>
      <c r="Z24" s="35"/>
      <c r="AB24" s="35"/>
      <c r="AC24" s="35"/>
      <c r="AD24" s="35"/>
      <c r="AE24" s="35"/>
      <c r="AF24" s="35"/>
    </row>
    <row r="25" spans="1:32">
      <c r="E25" s="35"/>
      <c r="F25" s="35"/>
      <c r="G25" s="35"/>
      <c r="H25" s="35"/>
      <c r="I25" s="35"/>
      <c r="J25" s="35"/>
      <c r="K25" s="35"/>
      <c r="L25" s="35"/>
      <c r="M25" s="35"/>
      <c r="N25" s="35"/>
      <c r="O25" s="35"/>
      <c r="P25" s="35"/>
      <c r="Q25" s="35"/>
      <c r="R25" s="35"/>
      <c r="S25" s="35"/>
      <c r="T25" s="35"/>
      <c r="U25" s="35"/>
      <c r="V25" s="35"/>
      <c r="W25" s="35"/>
      <c r="X25" s="35"/>
      <c r="Y25" s="35"/>
    </row>
    <row r="26" spans="1:32">
      <c r="E26" s="35"/>
      <c r="F26" s="35"/>
      <c r="G26" s="35"/>
      <c r="H26" s="35"/>
      <c r="I26" s="35"/>
      <c r="J26" s="35"/>
      <c r="K26" s="35"/>
      <c r="L26" s="35"/>
      <c r="M26" s="35"/>
      <c r="N26" s="35"/>
      <c r="O26" s="35"/>
      <c r="P26" s="35"/>
      <c r="Q26" s="35"/>
      <c r="R26" s="35"/>
      <c r="S26" s="35"/>
      <c r="T26" s="35"/>
      <c r="U26" s="35"/>
      <c r="V26" s="35"/>
      <c r="W26" s="35"/>
      <c r="X26" s="35"/>
      <c r="Y26" s="35"/>
    </row>
    <row r="27" spans="1:32" ht="15">
      <c r="A27" s="55" t="s">
        <v>348</v>
      </c>
      <c r="E27" s="35"/>
      <c r="F27" s="35"/>
      <c r="G27" s="35"/>
      <c r="H27" s="35"/>
      <c r="I27" s="35"/>
      <c r="J27" s="35"/>
      <c r="K27" s="35"/>
      <c r="L27" s="35"/>
      <c r="M27" s="35"/>
      <c r="N27" s="35"/>
      <c r="O27" s="35"/>
      <c r="P27" s="35"/>
      <c r="Q27" s="35"/>
      <c r="R27" s="35"/>
      <c r="S27" s="35"/>
      <c r="T27" s="35"/>
      <c r="U27" s="35"/>
      <c r="V27" s="35"/>
      <c r="W27" s="35"/>
      <c r="X27" s="35"/>
      <c r="Y27" s="35"/>
      <c r="Z27" s="122">
        <v>0.85</v>
      </c>
    </row>
    <row r="28" spans="1:32">
      <c r="E28" s="35">
        <v>2</v>
      </c>
      <c r="F28" s="35">
        <v>3</v>
      </c>
      <c r="G28" s="35">
        <v>4</v>
      </c>
      <c r="H28" s="35">
        <v>5</v>
      </c>
      <c r="I28" s="35">
        <v>6</v>
      </c>
      <c r="J28" s="35">
        <v>7</v>
      </c>
      <c r="K28" s="35">
        <v>8</v>
      </c>
      <c r="L28" s="35">
        <v>9</v>
      </c>
      <c r="M28" s="35">
        <v>10</v>
      </c>
      <c r="N28" s="35">
        <v>11</v>
      </c>
      <c r="O28" s="35">
        <v>12</v>
      </c>
      <c r="P28" s="35">
        <v>13</v>
      </c>
      <c r="Q28" s="35">
        <v>14</v>
      </c>
      <c r="R28" s="35">
        <v>15</v>
      </c>
      <c r="S28" s="35">
        <v>16</v>
      </c>
      <c r="T28" s="35">
        <v>17</v>
      </c>
      <c r="U28" s="35">
        <v>18</v>
      </c>
      <c r="V28" s="35">
        <v>19</v>
      </c>
      <c r="W28" s="35">
        <v>20</v>
      </c>
      <c r="X28" s="35">
        <v>21</v>
      </c>
      <c r="Y28" s="35"/>
      <c r="Z28" s="123" t="s">
        <v>60</v>
      </c>
    </row>
    <row r="29" spans="1:32">
      <c r="C29" s="7" t="str">
        <f>C13</f>
        <v>Single Family</v>
      </c>
      <c r="E29" s="35">
        <f t="shared" ref="E29:X29" si="3">SUM(E13,E21)</f>
        <v>4203528.2719999999</v>
      </c>
      <c r="F29" s="35">
        <f t="shared" si="3"/>
        <v>4193982.9785983553</v>
      </c>
      <c r="G29" s="35">
        <f t="shared" si="3"/>
        <v>4184459.3604704877</v>
      </c>
      <c r="H29" s="35">
        <f t="shared" si="3"/>
        <v>4174957.36839659</v>
      </c>
      <c r="I29" s="35">
        <f t="shared" si="3"/>
        <v>4165476.9532686244</v>
      </c>
      <c r="J29" s="35">
        <f t="shared" si="3"/>
        <v>4156018.0660900641</v>
      </c>
      <c r="K29" s="35">
        <f t="shared" si="3"/>
        <v>4146580.6579756448</v>
      </c>
      <c r="L29" s="35">
        <f t="shared" si="3"/>
        <v>4137164.6801511091</v>
      </c>
      <c r="M29" s="35">
        <f t="shared" si="3"/>
        <v>4127770.0839529554</v>
      </c>
      <c r="N29" s="35">
        <f t="shared" si="3"/>
        <v>4118396.8208281873</v>
      </c>
      <c r="O29" s="35">
        <f t="shared" si="3"/>
        <v>4109044.8423340586</v>
      </c>
      <c r="P29" s="35">
        <f t="shared" si="3"/>
        <v>4099714.1001378288</v>
      </c>
      <c r="Q29" s="35">
        <f t="shared" si="3"/>
        <v>4090404.5460165106</v>
      </c>
      <c r="R29" s="35">
        <f t="shared" si="3"/>
        <v>4081116.1318566194</v>
      </c>
      <c r="S29" s="35">
        <f t="shared" si="3"/>
        <v>4071848.8096539262</v>
      </c>
      <c r="T29" s="35">
        <f t="shared" si="3"/>
        <v>4123267.483431749</v>
      </c>
      <c r="U29" s="35">
        <f t="shared" si="3"/>
        <v>4109032.6284488062</v>
      </c>
      <c r="V29" s="35">
        <f t="shared" si="3"/>
        <v>4094172.3017701404</v>
      </c>
      <c r="W29" s="35">
        <f t="shared" si="3"/>
        <v>4080270.7020275565</v>
      </c>
      <c r="X29" s="35">
        <f t="shared" si="3"/>
        <v>4066459.5176763185</v>
      </c>
      <c r="Y29" s="35"/>
      <c r="Z29" s="124">
        <f>INDEX(E29:Y29,1,MATCH($C$9,$E$11:$Y$11,0))*$Z$27*A37*B37</f>
        <v>2540520.5836682799</v>
      </c>
    </row>
    <row r="30" spans="1:32">
      <c r="E30" s="35"/>
      <c r="F30" s="35"/>
      <c r="G30" s="35"/>
      <c r="H30" s="35"/>
      <c r="I30" s="35"/>
      <c r="J30" s="35"/>
      <c r="K30" s="35"/>
      <c r="L30" s="35"/>
      <c r="M30" s="35"/>
      <c r="N30" s="35"/>
      <c r="O30" s="35"/>
      <c r="P30" s="35"/>
      <c r="Q30" s="35"/>
      <c r="R30" s="35"/>
      <c r="S30" s="35"/>
      <c r="T30" s="35"/>
      <c r="U30" s="35"/>
      <c r="V30" s="35"/>
      <c r="W30" s="35"/>
      <c r="X30" s="35"/>
      <c r="Y30" s="35"/>
      <c r="Z30" s="124"/>
    </row>
    <row r="31" spans="1:32">
      <c r="E31" s="35"/>
      <c r="F31" s="35"/>
      <c r="G31" s="35"/>
      <c r="H31" s="35"/>
      <c r="I31" s="35"/>
      <c r="J31" s="35"/>
      <c r="K31" s="35"/>
      <c r="L31" s="35"/>
      <c r="M31" s="35"/>
      <c r="N31" s="35"/>
      <c r="O31" s="35"/>
      <c r="P31" s="35"/>
      <c r="Q31" s="35"/>
      <c r="R31" s="35"/>
      <c r="S31" s="35"/>
      <c r="T31" s="35"/>
      <c r="U31" s="35"/>
      <c r="V31" s="35"/>
      <c r="W31" s="35"/>
      <c r="X31" s="35"/>
      <c r="Y31" s="35"/>
    </row>
    <row r="32" spans="1:32">
      <c r="E32" s="35">
        <f t="shared" ref="E32:X32" si="4">SUM(E29:E30)</f>
        <v>4203528.2719999999</v>
      </c>
      <c r="F32" s="35">
        <f t="shared" si="4"/>
        <v>4193982.9785983553</v>
      </c>
      <c r="G32" s="35">
        <f t="shared" si="4"/>
        <v>4184459.3604704877</v>
      </c>
      <c r="H32" s="35">
        <f t="shared" si="4"/>
        <v>4174957.36839659</v>
      </c>
      <c r="I32" s="35">
        <f t="shared" si="4"/>
        <v>4165476.9532686244</v>
      </c>
      <c r="J32" s="35">
        <f t="shared" si="4"/>
        <v>4156018.0660900641</v>
      </c>
      <c r="K32" s="35">
        <f t="shared" si="4"/>
        <v>4146580.6579756448</v>
      </c>
      <c r="L32" s="35">
        <f t="shared" si="4"/>
        <v>4137164.6801511091</v>
      </c>
      <c r="M32" s="35">
        <f t="shared" si="4"/>
        <v>4127770.0839529554</v>
      </c>
      <c r="N32" s="35">
        <f t="shared" si="4"/>
        <v>4118396.8208281873</v>
      </c>
      <c r="O32" s="35">
        <f t="shared" si="4"/>
        <v>4109044.8423340586</v>
      </c>
      <c r="P32" s="35">
        <f t="shared" si="4"/>
        <v>4099714.1001378288</v>
      </c>
      <c r="Q32" s="35">
        <f t="shared" si="4"/>
        <v>4090404.5460165106</v>
      </c>
      <c r="R32" s="35">
        <f t="shared" si="4"/>
        <v>4081116.1318566194</v>
      </c>
      <c r="S32" s="35">
        <f t="shared" si="4"/>
        <v>4071848.8096539262</v>
      </c>
      <c r="T32" s="35">
        <f t="shared" si="4"/>
        <v>4123267.483431749</v>
      </c>
      <c r="U32" s="35">
        <f t="shared" si="4"/>
        <v>4109032.6284488062</v>
      </c>
      <c r="V32" s="35">
        <f t="shared" si="4"/>
        <v>4094172.3017701404</v>
      </c>
      <c r="W32" s="35">
        <f t="shared" si="4"/>
        <v>4080270.7020275565</v>
      </c>
      <c r="X32" s="35">
        <f t="shared" si="4"/>
        <v>4066459.5176763185</v>
      </c>
      <c r="Y32" s="35"/>
      <c r="Z32" s="35">
        <f>SUM(Z29:Z30)</f>
        <v>2540520.5836682799</v>
      </c>
    </row>
    <row r="33" spans="1:30">
      <c r="E33" s="35"/>
      <c r="F33" s="35"/>
      <c r="G33" s="35"/>
      <c r="H33" s="35"/>
      <c r="I33" s="35"/>
      <c r="J33" s="35"/>
      <c r="K33" s="35"/>
      <c r="L33" s="35"/>
      <c r="M33" s="35"/>
      <c r="N33" s="35"/>
      <c r="O33" s="35"/>
      <c r="P33" s="35"/>
      <c r="Q33" s="35"/>
      <c r="R33" s="35"/>
      <c r="S33" s="35"/>
      <c r="T33" s="35"/>
      <c r="U33" s="35"/>
      <c r="V33" s="35"/>
      <c r="W33" s="35"/>
      <c r="X33" s="35"/>
      <c r="Y33" s="35"/>
    </row>
    <row r="34" spans="1:30">
      <c r="E34" s="35"/>
      <c r="F34" s="35"/>
      <c r="G34" s="35"/>
      <c r="H34" s="35"/>
      <c r="I34" s="35"/>
      <c r="J34" s="35"/>
      <c r="K34" s="35"/>
      <c r="L34" s="35"/>
      <c r="M34" s="35"/>
      <c r="N34" s="35"/>
      <c r="O34" s="35"/>
      <c r="P34" s="35"/>
      <c r="Q34" s="35"/>
      <c r="R34" s="35"/>
      <c r="S34" s="35"/>
      <c r="T34" s="35"/>
      <c r="U34" s="35"/>
      <c r="V34" s="35"/>
      <c r="W34" s="35"/>
      <c r="X34" s="35"/>
      <c r="Y34" s="35"/>
    </row>
    <row r="35" spans="1:30" ht="15">
      <c r="A35" s="125" t="s">
        <v>349</v>
      </c>
      <c r="B35" s="125"/>
      <c r="E35" s="53"/>
      <c r="F35" s="53"/>
      <c r="G35" s="35"/>
      <c r="H35" s="35"/>
      <c r="I35" s="35"/>
      <c r="J35" s="35"/>
      <c r="K35" s="35"/>
      <c r="L35" s="35"/>
      <c r="M35" s="35"/>
      <c r="N35" s="35"/>
      <c r="O35" s="35"/>
      <c r="P35" s="35"/>
      <c r="Q35" s="35"/>
      <c r="R35" s="35"/>
      <c r="S35" s="35"/>
      <c r="T35" s="35"/>
      <c r="U35" s="35"/>
      <c r="V35" s="35"/>
      <c r="W35" s="35"/>
      <c r="X35" s="35"/>
      <c r="Y35" s="35"/>
    </row>
    <row r="36" spans="1:30" ht="15">
      <c r="A36" s="64" t="s">
        <v>59</v>
      </c>
      <c r="B36" s="64" t="s">
        <v>139</v>
      </c>
      <c r="C36" s="64" t="s">
        <v>350</v>
      </c>
      <c r="D36" s="64" t="str">
        <f>CONCATENATE(C8," - ",C7)</f>
        <v>ASHP - NR</v>
      </c>
      <c r="E36" s="126">
        <v>2016</v>
      </c>
      <c r="F36" s="127">
        <v>2017</v>
      </c>
      <c r="G36" s="127">
        <v>2018</v>
      </c>
      <c r="H36" s="127">
        <v>2019</v>
      </c>
      <c r="I36" s="127">
        <v>2020</v>
      </c>
      <c r="J36" s="127">
        <v>2021</v>
      </c>
      <c r="K36" s="127">
        <v>2022</v>
      </c>
      <c r="L36" s="127">
        <v>2023</v>
      </c>
      <c r="M36" s="127">
        <v>2024</v>
      </c>
      <c r="N36" s="127">
        <v>2025</v>
      </c>
      <c r="O36" s="127">
        <v>2026</v>
      </c>
      <c r="P36" s="127">
        <v>2027</v>
      </c>
      <c r="Q36" s="127">
        <v>2028</v>
      </c>
      <c r="R36" s="127">
        <v>2029</v>
      </c>
      <c r="S36" s="127">
        <v>2030</v>
      </c>
      <c r="T36" s="127">
        <v>2031</v>
      </c>
      <c r="U36" s="127">
        <v>2032</v>
      </c>
      <c r="V36" s="127">
        <v>2033</v>
      </c>
      <c r="W36" s="127">
        <v>2034</v>
      </c>
      <c r="X36" s="127">
        <v>2035</v>
      </c>
      <c r="Y36" s="128"/>
    </row>
    <row r="37" spans="1:30">
      <c r="A37" s="56">
        <f>INDEX([2]!ResApplic,MATCH($D$36,[2]APPLIC!$B$9:$B$120,0)+1,MATCH($D37,[2]APPLIC!$C$8:$F$8,0)+1)</f>
        <v>0.73499999999999999</v>
      </c>
      <c r="B37" s="56">
        <v>1</v>
      </c>
      <c r="C37" s="56">
        <f>VLOOKUP($D$36,[2]TURN!$B$10:$F$78,MATCH(D37,$D$37:$D$37,0)+1,FALSE)</f>
        <v>6.6666666666666666E-2</v>
      </c>
      <c r="D37" s="7" t="str">
        <f>C13</f>
        <v>Single Family</v>
      </c>
      <c r="E37" s="35">
        <f t="shared" ref="E37:X37" si="5">E13*$C37*$A37*$B37</f>
        <v>205972.88532799997</v>
      </c>
      <c r="F37" s="35">
        <f t="shared" si="5"/>
        <v>205505.16595131942</v>
      </c>
      <c r="G37" s="35">
        <f t="shared" si="5"/>
        <v>205038.50866305389</v>
      </c>
      <c r="H37" s="35">
        <f t="shared" si="5"/>
        <v>204572.91105143289</v>
      </c>
      <c r="I37" s="35">
        <f>I13*$C37*$A37*$B37</f>
        <v>204108.37071016259</v>
      </c>
      <c r="J37" s="35">
        <f t="shared" si="5"/>
        <v>203644.88523841312</v>
      </c>
      <c r="K37" s="35">
        <f t="shared" si="5"/>
        <v>203182.4522408066</v>
      </c>
      <c r="L37" s="35">
        <f t="shared" si="5"/>
        <v>202721.06932740434</v>
      </c>
      <c r="M37" s="35">
        <f t="shared" si="5"/>
        <v>202260.73411369481</v>
      </c>
      <c r="N37" s="35">
        <f t="shared" si="5"/>
        <v>201801.44422058115</v>
      </c>
      <c r="O37" s="35">
        <f t="shared" si="5"/>
        <v>201343.19727436887</v>
      </c>
      <c r="P37" s="35">
        <f t="shared" si="5"/>
        <v>200885.99090675361</v>
      </c>
      <c r="Q37" s="35">
        <f t="shared" si="5"/>
        <v>200429.82275480902</v>
      </c>
      <c r="R37" s="35">
        <f t="shared" si="5"/>
        <v>199974.69046097435</v>
      </c>
      <c r="S37" s="35">
        <f t="shared" si="5"/>
        <v>199520.59167304236</v>
      </c>
      <c r="T37" s="35">
        <f>T13*$C37*$A37*$B37</f>
        <v>199067.52404414717</v>
      </c>
      <c r="U37" s="35">
        <f t="shared" si="5"/>
        <v>198615.48523275217</v>
      </c>
      <c r="V37" s="35">
        <f t="shared" si="5"/>
        <v>198164.47290263776</v>
      </c>
      <c r="W37" s="35">
        <f t="shared" si="5"/>
        <v>197714.48472288941</v>
      </c>
      <c r="X37" s="35">
        <f t="shared" si="5"/>
        <v>197265.51836788567</v>
      </c>
      <c r="Y37" s="35"/>
      <c r="Z37" s="35">
        <f>X13*$Z$27*A37*B37</f>
        <v>2515135.3591905427</v>
      </c>
      <c r="AD37" s="35"/>
    </row>
    <row r="38" spans="1:30">
      <c r="E38" s="35"/>
      <c r="F38" s="35"/>
      <c r="G38" s="35"/>
      <c r="H38" s="35"/>
      <c r="I38" s="35"/>
      <c r="J38" s="35"/>
      <c r="K38" s="35"/>
      <c r="L38" s="35"/>
      <c r="M38" s="35"/>
      <c r="N38" s="35"/>
      <c r="O38" s="35"/>
      <c r="P38" s="35"/>
      <c r="Q38" s="35"/>
      <c r="R38" s="35"/>
      <c r="S38" s="35"/>
      <c r="T38" s="35"/>
      <c r="U38" s="35"/>
      <c r="V38" s="35"/>
      <c r="W38" s="35"/>
      <c r="X38" s="35"/>
      <c r="Y38" s="35"/>
    </row>
    <row r="39" spans="1:30">
      <c r="E39" s="35">
        <f t="shared" ref="E39:X39" si="6">SUM(E37:E37)</f>
        <v>205972.88532799997</v>
      </c>
      <c r="F39" s="35">
        <f t="shared" si="6"/>
        <v>205505.16595131942</v>
      </c>
      <c r="G39" s="35">
        <f t="shared" si="6"/>
        <v>205038.50866305389</v>
      </c>
      <c r="H39" s="35">
        <f t="shared" si="6"/>
        <v>204572.91105143289</v>
      </c>
      <c r="I39" s="35">
        <f t="shared" si="6"/>
        <v>204108.37071016259</v>
      </c>
      <c r="J39" s="35">
        <f t="shared" si="6"/>
        <v>203644.88523841312</v>
      </c>
      <c r="K39" s="35">
        <f t="shared" si="6"/>
        <v>203182.4522408066</v>
      </c>
      <c r="L39" s="35">
        <f t="shared" si="6"/>
        <v>202721.06932740434</v>
      </c>
      <c r="M39" s="35">
        <f t="shared" si="6"/>
        <v>202260.73411369481</v>
      </c>
      <c r="N39" s="35">
        <f t="shared" si="6"/>
        <v>201801.44422058115</v>
      </c>
      <c r="O39" s="35">
        <f t="shared" si="6"/>
        <v>201343.19727436887</v>
      </c>
      <c r="P39" s="35">
        <f t="shared" si="6"/>
        <v>200885.99090675361</v>
      </c>
      <c r="Q39" s="35">
        <f t="shared" si="6"/>
        <v>200429.82275480902</v>
      </c>
      <c r="R39" s="35">
        <f t="shared" si="6"/>
        <v>199974.69046097435</v>
      </c>
      <c r="S39" s="35">
        <f t="shared" si="6"/>
        <v>199520.59167304236</v>
      </c>
      <c r="T39" s="35">
        <f t="shared" si="6"/>
        <v>199067.52404414717</v>
      </c>
      <c r="U39" s="35">
        <f t="shared" si="6"/>
        <v>198615.48523275217</v>
      </c>
      <c r="V39" s="35">
        <f t="shared" si="6"/>
        <v>198164.47290263776</v>
      </c>
      <c r="W39" s="35">
        <f t="shared" si="6"/>
        <v>197714.48472288941</v>
      </c>
      <c r="X39" s="35">
        <f t="shared" si="6"/>
        <v>197265.51836788567</v>
      </c>
      <c r="Y39" s="35"/>
      <c r="Z39" s="35">
        <f>SUM(E39:X39)</f>
        <v>4031790.2051851293</v>
      </c>
      <c r="AD39" s="35"/>
    </row>
    <row r="40" spans="1:30">
      <c r="E40" s="35"/>
      <c r="F40" s="35"/>
      <c r="G40" s="35"/>
      <c r="H40" s="35"/>
      <c r="I40" s="35"/>
      <c r="J40" s="35"/>
      <c r="K40" s="35"/>
      <c r="L40" s="35"/>
      <c r="M40" s="35"/>
      <c r="N40" s="35"/>
      <c r="O40" s="35"/>
      <c r="P40" s="35"/>
      <c r="Q40" s="35"/>
      <c r="R40" s="35"/>
      <c r="S40" s="35"/>
      <c r="T40" s="35"/>
      <c r="U40" s="35"/>
      <c r="V40" s="35"/>
      <c r="W40" s="35"/>
      <c r="X40" s="35"/>
      <c r="Y40" s="35"/>
      <c r="Z40" s="35"/>
      <c r="AD40" s="35"/>
    </row>
    <row r="41" spans="1:30" ht="15">
      <c r="A41" s="64" t="s">
        <v>59</v>
      </c>
      <c r="B41" s="64" t="s">
        <v>139</v>
      </c>
      <c r="C41" s="64" t="s">
        <v>350</v>
      </c>
      <c r="D41" s="64" t="str">
        <f>CONCATENATE(C8," - ","New")</f>
        <v>ASHP - New</v>
      </c>
      <c r="E41" s="126">
        <v>1</v>
      </c>
      <c r="F41" s="127">
        <v>2</v>
      </c>
      <c r="G41" s="127">
        <v>3</v>
      </c>
      <c r="H41" s="127">
        <v>4</v>
      </c>
      <c r="I41" s="127">
        <v>5</v>
      </c>
      <c r="J41" s="127">
        <v>6</v>
      </c>
      <c r="K41" s="127">
        <v>7</v>
      </c>
      <c r="L41" s="127">
        <v>8</v>
      </c>
      <c r="M41" s="127">
        <v>9</v>
      </c>
      <c r="N41" s="127">
        <v>10</v>
      </c>
      <c r="O41" s="127">
        <v>11</v>
      </c>
      <c r="P41" s="127">
        <v>12</v>
      </c>
      <c r="Q41" s="127">
        <v>13</v>
      </c>
      <c r="R41" s="127">
        <v>14</v>
      </c>
      <c r="S41" s="127">
        <v>15</v>
      </c>
      <c r="T41" s="127">
        <v>16</v>
      </c>
      <c r="U41" s="127">
        <v>17</v>
      </c>
      <c r="V41" s="127">
        <v>18</v>
      </c>
      <c r="W41" s="127">
        <v>19</v>
      </c>
      <c r="X41" s="127">
        <v>20</v>
      </c>
      <c r="Y41" s="128"/>
    </row>
    <row r="42" spans="1:30">
      <c r="A42" s="56">
        <f>INDEX([2]!ResApplic,MATCH($D$36,[2]APPLIC!$B$9:$B$120,0)+1,MATCH($D42,[2]APPLIC!$C$8:$F$8,0)+1)</f>
        <v>0.73499999999999999</v>
      </c>
      <c r="B42" s="56">
        <v>1</v>
      </c>
      <c r="C42" s="56">
        <f>VLOOKUP($D$41,[2]TURN!$B$10:$F$78,MATCH(D42,$D$42,0)+1,FALSE)</f>
        <v>1</v>
      </c>
      <c r="D42" s="7" t="str">
        <f>D37</f>
        <v>Single Family</v>
      </c>
      <c r="E42" s="35">
        <f>E21*$C42*$A42*$B42</f>
        <v>0</v>
      </c>
      <c r="F42" s="35">
        <f t="shared" ref="F42:X42" si="7">F21*$C42*$A42*$B42</f>
        <v>0</v>
      </c>
      <c r="G42" s="35">
        <f t="shared" si="7"/>
        <v>0</v>
      </c>
      <c r="H42" s="35">
        <f t="shared" si="7"/>
        <v>0</v>
      </c>
      <c r="I42" s="35">
        <f t="shared" si="7"/>
        <v>0</v>
      </c>
      <c r="J42" s="35">
        <f t="shared" si="7"/>
        <v>0</v>
      </c>
      <c r="K42" s="35">
        <f t="shared" si="7"/>
        <v>0</v>
      </c>
      <c r="L42" s="35">
        <f t="shared" si="7"/>
        <v>0</v>
      </c>
      <c r="M42" s="35">
        <f t="shared" si="7"/>
        <v>0</v>
      </c>
      <c r="N42" s="35">
        <f t="shared" si="7"/>
        <v>0</v>
      </c>
      <c r="O42" s="35">
        <f t="shared" si="7"/>
        <v>0</v>
      </c>
      <c r="P42" s="35">
        <f t="shared" si="7"/>
        <v>0</v>
      </c>
      <c r="Q42" s="35">
        <f t="shared" si="7"/>
        <v>0</v>
      </c>
      <c r="R42" s="35">
        <f t="shared" si="7"/>
        <v>0</v>
      </c>
      <c r="S42" s="35">
        <f t="shared" si="7"/>
        <v>0</v>
      </c>
      <c r="T42" s="35">
        <f t="shared" si="7"/>
        <v>44588.739660127707</v>
      </c>
      <c r="U42" s="35">
        <f t="shared" si="7"/>
        <v>40906.703418590085</v>
      </c>
      <c r="V42" s="35">
        <f t="shared" si="7"/>
        <v>36749.548261487122</v>
      </c>
      <c r="W42" s="35">
        <f t="shared" si="7"/>
        <v>33281.695146913029</v>
      </c>
      <c r="X42" s="35">
        <f t="shared" si="7"/>
        <v>29864.969973808795</v>
      </c>
      <c r="Y42" s="35"/>
      <c r="Z42" s="35">
        <f>SUM(E42:X42)*$Z$27</f>
        <v>157582.90799178774</v>
      </c>
      <c r="AD42" s="35"/>
    </row>
    <row r="43" spans="1:30">
      <c r="E43" s="35"/>
      <c r="F43" s="35"/>
      <c r="G43" s="35"/>
      <c r="H43" s="35"/>
      <c r="I43" s="35"/>
      <c r="J43" s="35"/>
      <c r="K43" s="35"/>
      <c r="L43" s="35"/>
      <c r="M43" s="35"/>
      <c r="N43" s="35"/>
      <c r="O43" s="35"/>
      <c r="P43" s="35"/>
      <c r="Q43" s="35"/>
      <c r="R43" s="35"/>
      <c r="S43" s="35"/>
      <c r="T43" s="35"/>
      <c r="U43" s="35"/>
      <c r="V43" s="35"/>
      <c r="W43" s="35"/>
      <c r="X43" s="35"/>
      <c r="Y43" s="35"/>
    </row>
    <row r="44" spans="1:30">
      <c r="E44" s="35"/>
      <c r="F44" s="35"/>
      <c r="G44" s="35"/>
      <c r="H44" s="35"/>
      <c r="I44" s="35"/>
      <c r="J44" s="35"/>
      <c r="K44" s="35"/>
      <c r="L44" s="35"/>
      <c r="M44" s="35"/>
      <c r="N44" s="35"/>
      <c r="O44" s="35"/>
      <c r="P44" s="35"/>
      <c r="Q44" s="35"/>
      <c r="R44" s="35"/>
      <c r="S44" s="35"/>
      <c r="T44" s="35"/>
      <c r="U44" s="35"/>
      <c r="V44" s="35"/>
      <c r="W44" s="35"/>
      <c r="X44" s="35"/>
      <c r="Y44" s="35"/>
      <c r="Z44" s="35"/>
      <c r="AD44" s="35"/>
    </row>
    <row r="45" spans="1:30">
      <c r="E45" s="35"/>
      <c r="F45" s="35"/>
      <c r="G45" s="35"/>
      <c r="H45" s="35"/>
      <c r="I45" s="35"/>
      <c r="J45" s="35"/>
      <c r="K45" s="35"/>
      <c r="L45" s="35"/>
      <c r="M45" s="35"/>
      <c r="N45" s="35"/>
      <c r="O45" s="35"/>
      <c r="P45" s="35"/>
      <c r="Q45" s="35"/>
      <c r="R45" s="35"/>
      <c r="S45" s="35"/>
      <c r="T45" s="35"/>
      <c r="U45" s="35"/>
      <c r="V45" s="35"/>
      <c r="W45" s="35"/>
      <c r="X45" s="35"/>
      <c r="Y45" s="35"/>
      <c r="Z45" s="35"/>
      <c r="AD45" s="35"/>
    </row>
    <row r="46" spans="1:30" ht="15">
      <c r="E46" s="64" t="s">
        <v>61</v>
      </c>
      <c r="F46" s="35"/>
      <c r="G46" s="35"/>
      <c r="H46" s="35"/>
      <c r="I46" s="35"/>
      <c r="J46" s="35"/>
      <c r="K46" s="35"/>
      <c r="L46" s="35"/>
      <c r="M46" s="35"/>
      <c r="N46" s="35"/>
      <c r="O46" s="35"/>
      <c r="P46" s="35"/>
      <c r="Q46" s="35"/>
      <c r="R46" s="35"/>
      <c r="S46" s="35"/>
      <c r="T46" s="35"/>
      <c r="U46" s="35"/>
      <c r="V46" s="35"/>
      <c r="W46" s="35"/>
      <c r="X46" s="35"/>
      <c r="Y46" s="35"/>
    </row>
    <row r="47" spans="1:30" ht="15">
      <c r="A47" s="55" t="s">
        <v>351</v>
      </c>
      <c r="D47" s="64" t="str">
        <f>D36</f>
        <v>ASHP - NR</v>
      </c>
      <c r="E47" s="68">
        <f>VLOOKUP($D$36,[2]ACHIEV!$B$9:$X$100,MATCH(E$11,$E$11:$Y$11,0)+2,FALSE)</f>
        <v>4.2999999999999997E-2</v>
      </c>
      <c r="F47" s="68">
        <f>VLOOKUP($D$36,[2]ACHIEV!$B$9:$X$100,MATCH(F$11,$E$11:$Y$11,0)+2,FALSE)</f>
        <v>9.5797142280278316E-2</v>
      </c>
      <c r="G47" s="68">
        <f>VLOOKUP($D$36,[2]ACHIEV!$B$9:$X$100,MATCH(G$11,$E$11:$Y$11,0)+2,FALSE)</f>
        <v>0.16040539374775648</v>
      </c>
      <c r="H47" s="68">
        <f>VLOOKUP($D$36,[2]ACHIEV!$B$9:$X$100,MATCH(H$11,$E$11:$Y$11,0)+2,FALSE)</f>
        <v>0.23540539374775649</v>
      </c>
      <c r="I47" s="68">
        <f>VLOOKUP($D$36,[2]ACHIEV!$B$9:$X$100,MATCH(I$11,$E$11:$Y$11,0)+2,FALSE)</f>
        <v>0.32095239121809005</v>
      </c>
      <c r="J47" s="68">
        <f>VLOOKUP($D$36,[2]ACHIEV!$B$9:$X$100,MATCH(J$11,$E$11:$Y$11,0)+2,FALSE)</f>
        <v>0.42096711425629652</v>
      </c>
      <c r="K47" s="68">
        <f>VLOOKUP($D$36,[2]ACHIEV!$B$9:$X$100,MATCH(K$11,$E$11:$Y$11,0)+2,FALSE)</f>
        <v>0.53068481860864725</v>
      </c>
      <c r="L47" s="68">
        <f>VLOOKUP($D$36,[2]ACHIEV!$B$9:$X$100,MATCH(L$11,$E$11:$Y$11,0)+2,FALSE)</f>
        <v>0.642769203728351</v>
      </c>
      <c r="M47" s="68">
        <f>VLOOKUP($D$36,[2]ACHIEV!$B$9:$X$100,MATCH(M$11,$E$11:$Y$11,0)+2,FALSE)</f>
        <v>0.74839528535557953</v>
      </c>
      <c r="N47" s="68">
        <f>VLOOKUP($D$36,[2]ACHIEV!$B$9:$X$100,MATCH(N$11,$E$11:$Y$11,0)+2,FALSE)</f>
        <v>0.83918984935345187</v>
      </c>
      <c r="O47" s="68">
        <f>VLOOKUP($D$36,[2]ACHIEV!$B$9:$X$100,MATCH(O$11,$E$11:$Y$11,0)+2,FALSE)</f>
        <v>0.90945051634530116</v>
      </c>
      <c r="P47" s="68">
        <f>VLOOKUP($D$36,[2]ACHIEV!$B$9:$X$100,MATCH(P$11,$E$11:$Y$11,0)+2,FALSE)</f>
        <v>0.9576688767502457</v>
      </c>
      <c r="Q47" s="68">
        <f>VLOOKUP($D$36,[2]ACHIEV!$B$9:$X$100,MATCH(Q$11,$E$11:$Y$11,0)+2,FALSE)</f>
        <v>0.9865231113648858</v>
      </c>
      <c r="R47" s="68">
        <f>VLOOKUP($D$36,[2]ACHIEV!$B$9:$X$100,MATCH(R$11,$E$11:$Y$11,0)+2,FALSE)</f>
        <v>1.0012970762896924</v>
      </c>
      <c r="S47" s="68">
        <f>VLOOKUP($D$36,[2]ACHIEV!$B$9:$X$100,MATCH(S$11,$E$11:$Y$11,0)+2,FALSE)</f>
        <v>1.0076356106578106</v>
      </c>
      <c r="T47" s="68">
        <f>VLOOKUP($D$36,[2]ACHIEV!$B$9:$X$100,MATCH(T$11,$E$11:$Y$11,0)+2,FALSE)</f>
        <v>1.0098624683774413</v>
      </c>
      <c r="U47" s="68">
        <f>VLOOKUP($D$36,[2]ACHIEV!$B$9:$X$100,MATCH(U$11,$E$11:$Y$11,0)+2,FALSE)</f>
        <v>1.0104871783970797</v>
      </c>
      <c r="V47" s="68">
        <f>VLOOKUP($D$36,[2]ACHIEV!$B$9:$X$100,MATCH(V$11,$E$11:$Y$11,0)+2,FALSE)</f>
        <v>1.010623336815976</v>
      </c>
      <c r="W47" s="68">
        <f>VLOOKUP($D$36,[2]ACHIEV!$B$9:$X$100,MATCH(W$11,$E$11:$Y$11,0)+2,FALSE)</f>
        <v>1.0106457174525985</v>
      </c>
      <c r="X47" s="68">
        <f>VLOOKUP($D$36,[2]ACHIEV!$B$9:$X$100,MATCH(X$11,$E$11:$Y$11,0)+2,FALSE)</f>
        <v>1.0106484038909742</v>
      </c>
      <c r="Y47" s="68"/>
    </row>
    <row r="48" spans="1:30">
      <c r="D48" s="7" t="str">
        <f>C21</f>
        <v>Single Family</v>
      </c>
      <c r="E48" s="35">
        <f t="shared" ref="E48:X48" si="8">(E37+E42)*E$47*$Z$27</f>
        <v>7528.3089587383975</v>
      </c>
      <c r="F48" s="35">
        <f t="shared" si="8"/>
        <v>16733.786478675142</v>
      </c>
      <c r="G48" s="35">
        <f>(G37+G42)*G$47*$Z$27</f>
        <v>27955.89030821744</v>
      </c>
      <c r="H48" s="35">
        <f t="shared" si="8"/>
        <v>40933.931674759224</v>
      </c>
      <c r="I48" s="35">
        <f t="shared" si="8"/>
        <v>55682.709199996796</v>
      </c>
      <c r="J48" s="35">
        <f t="shared" si="8"/>
        <v>72868.629721089033</v>
      </c>
      <c r="K48" s="35">
        <f t="shared" si="8"/>
        <v>91651.966390091693</v>
      </c>
      <c r="L48" s="35">
        <f t="shared" si="8"/>
        <v>110757.43126395519</v>
      </c>
      <c r="M48" s="35">
        <f t="shared" si="8"/>
        <v>128665.33284976047</v>
      </c>
      <c r="N48" s="35">
        <f t="shared" si="8"/>
        <v>143947.26503856172</v>
      </c>
      <c r="O48" s="35">
        <f t="shared" si="8"/>
        <v>155644.92351522032</v>
      </c>
      <c r="P48" s="35">
        <f t="shared" si="8"/>
        <v>163524.92207655119</v>
      </c>
      <c r="Q48" s="35">
        <f t="shared" si="8"/>
        <v>168069.35450122875</v>
      </c>
      <c r="R48" s="35">
        <f t="shared" si="8"/>
        <v>170198.9619569334</v>
      </c>
      <c r="S48" s="35">
        <f t="shared" si="8"/>
        <v>170887.44524488266</v>
      </c>
      <c r="T48" s="35">
        <f t="shared" si="8"/>
        <v>209150.41851502022</v>
      </c>
      <c r="U48" s="35">
        <f t="shared" si="8"/>
        <v>205728.98548771965</v>
      </c>
      <c r="V48" s="35">
        <f t="shared" si="8"/>
        <v>201798.1531436847</v>
      </c>
      <c r="W48" s="35">
        <f t="shared" si="8"/>
        <v>198437.00494332708</v>
      </c>
      <c r="X48" s="35">
        <f t="shared" si="8"/>
        <v>195116.70568988437</v>
      </c>
      <c r="Y48" s="35"/>
    </row>
    <row r="50" spans="1:80">
      <c r="E50" s="35">
        <f t="shared" ref="E50:X50" si="9">SUM(E48:E48)</f>
        <v>7528.3089587383975</v>
      </c>
      <c r="F50" s="35">
        <f t="shared" si="9"/>
        <v>16733.786478675142</v>
      </c>
      <c r="G50" s="35">
        <f t="shared" si="9"/>
        <v>27955.89030821744</v>
      </c>
      <c r="H50" s="35">
        <f t="shared" si="9"/>
        <v>40933.931674759224</v>
      </c>
      <c r="I50" s="35">
        <f t="shared" si="9"/>
        <v>55682.709199996796</v>
      </c>
      <c r="J50" s="35">
        <f t="shared" si="9"/>
        <v>72868.629721089033</v>
      </c>
      <c r="K50" s="35">
        <f t="shared" si="9"/>
        <v>91651.966390091693</v>
      </c>
      <c r="L50" s="35">
        <f t="shared" si="9"/>
        <v>110757.43126395519</v>
      </c>
      <c r="M50" s="35">
        <f t="shared" si="9"/>
        <v>128665.33284976047</v>
      </c>
      <c r="N50" s="35">
        <f t="shared" si="9"/>
        <v>143947.26503856172</v>
      </c>
      <c r="O50" s="35">
        <f t="shared" si="9"/>
        <v>155644.92351522032</v>
      </c>
      <c r="P50" s="35">
        <f t="shared" si="9"/>
        <v>163524.92207655119</v>
      </c>
      <c r="Q50" s="35">
        <f t="shared" si="9"/>
        <v>168069.35450122875</v>
      </c>
      <c r="R50" s="35">
        <f t="shared" si="9"/>
        <v>170198.9619569334</v>
      </c>
      <c r="S50" s="35">
        <f t="shared" si="9"/>
        <v>170887.44524488266</v>
      </c>
      <c r="T50" s="35">
        <f t="shared" si="9"/>
        <v>209150.41851502022</v>
      </c>
      <c r="U50" s="35">
        <f t="shared" si="9"/>
        <v>205728.98548771965</v>
      </c>
      <c r="V50" s="35">
        <f t="shared" si="9"/>
        <v>201798.1531436847</v>
      </c>
      <c r="W50" s="35">
        <f t="shared" si="9"/>
        <v>198437.00494332708</v>
      </c>
      <c r="X50" s="35">
        <f t="shared" si="9"/>
        <v>195116.70568988437</v>
      </c>
      <c r="Y50" s="35"/>
    </row>
    <row r="51" spans="1:80">
      <c r="E51" s="35"/>
      <c r="F51" s="35"/>
      <c r="G51" s="35"/>
      <c r="H51" s="35"/>
      <c r="I51" s="35"/>
      <c r="J51" s="35"/>
      <c r="K51" s="35"/>
      <c r="L51" s="35"/>
      <c r="M51" s="35"/>
      <c r="N51" s="35"/>
      <c r="O51" s="35"/>
      <c r="P51" s="35"/>
      <c r="Q51" s="35"/>
      <c r="R51" s="35"/>
      <c r="S51" s="35"/>
      <c r="T51" s="35"/>
      <c r="U51" s="35"/>
      <c r="V51" s="35"/>
      <c r="W51" s="35"/>
      <c r="X51" s="35"/>
      <c r="Y51" s="35"/>
    </row>
    <row r="54" spans="1:80" customForma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row>
    <row r="55" spans="1:80" customFormat="1" ht="15">
      <c r="A55" s="55" t="s">
        <v>62</v>
      </c>
      <c r="B55" s="7"/>
      <c r="C55" s="7"/>
      <c r="D55" s="129" t="s">
        <v>343</v>
      </c>
      <c r="E55" s="7" t="s">
        <v>157</v>
      </c>
      <c r="F55" s="7"/>
      <c r="G55" s="7"/>
      <c r="H55" s="7"/>
      <c r="I55" s="7"/>
      <c r="J55" s="7"/>
      <c r="K55" s="7"/>
      <c r="L55" s="7"/>
      <c r="M55" s="7"/>
      <c r="N55" s="7"/>
      <c r="O55" s="7"/>
      <c r="P55" s="7"/>
      <c r="Q55" s="7"/>
      <c r="R55" s="7"/>
      <c r="S55" s="7"/>
      <c r="T55" s="7"/>
      <c r="U55" s="7"/>
      <c r="V55" s="7"/>
      <c r="W55" s="7"/>
      <c r="X55" s="7"/>
      <c r="Y55" s="7"/>
      <c r="Z55" s="7"/>
      <c r="AA55" s="7"/>
      <c r="AB55" s="7"/>
      <c r="AC55" s="7"/>
    </row>
    <row r="56" spans="1:80" customFormat="1" ht="15">
      <c r="A56" s="64" t="s">
        <v>63</v>
      </c>
      <c r="B56" s="64" t="s">
        <v>24</v>
      </c>
      <c r="C56" s="64"/>
      <c r="D56" s="64">
        <v>1</v>
      </c>
      <c r="E56" s="58">
        <f t="shared" ref="E56:X56" si="10">E11</f>
        <v>2016</v>
      </c>
      <c r="F56" s="59">
        <f t="shared" si="10"/>
        <v>2017</v>
      </c>
      <c r="G56" s="59">
        <f t="shared" si="10"/>
        <v>2018</v>
      </c>
      <c r="H56" s="59">
        <f t="shared" si="10"/>
        <v>2019</v>
      </c>
      <c r="I56" s="59">
        <f t="shared" si="10"/>
        <v>2020</v>
      </c>
      <c r="J56" s="59">
        <f t="shared" si="10"/>
        <v>2021</v>
      </c>
      <c r="K56" s="59">
        <f t="shared" si="10"/>
        <v>2022</v>
      </c>
      <c r="L56" s="59">
        <f t="shared" si="10"/>
        <v>2023</v>
      </c>
      <c r="M56" s="59">
        <f t="shared" si="10"/>
        <v>2024</v>
      </c>
      <c r="N56" s="59">
        <f t="shared" si="10"/>
        <v>2025</v>
      </c>
      <c r="O56" s="59">
        <f t="shared" si="10"/>
        <v>2026</v>
      </c>
      <c r="P56" s="59">
        <f t="shared" si="10"/>
        <v>2027</v>
      </c>
      <c r="Q56" s="59">
        <f t="shared" si="10"/>
        <v>2028</v>
      </c>
      <c r="R56" s="59">
        <f t="shared" si="10"/>
        <v>2029</v>
      </c>
      <c r="S56" s="59">
        <f t="shared" si="10"/>
        <v>2030</v>
      </c>
      <c r="T56" s="59">
        <f t="shared" si="10"/>
        <v>2031</v>
      </c>
      <c r="U56" s="59">
        <f t="shared" si="10"/>
        <v>2032</v>
      </c>
      <c r="V56" s="59">
        <f t="shared" si="10"/>
        <v>2033</v>
      </c>
      <c r="W56" s="59">
        <f t="shared" si="10"/>
        <v>2034</v>
      </c>
      <c r="X56" s="59">
        <f t="shared" si="10"/>
        <v>2035</v>
      </c>
      <c r="Y56" s="60" t="s">
        <v>60</v>
      </c>
      <c r="Z56" s="7"/>
      <c r="AA56" s="7"/>
      <c r="AB56" s="7"/>
      <c r="AC56" s="7"/>
    </row>
    <row r="57" spans="1:80" customFormat="1" ht="15">
      <c r="A57" s="64" t="s">
        <v>46</v>
      </c>
      <c r="B57" s="64" t="s">
        <v>64</v>
      </c>
      <c r="C57" s="64" t="s">
        <v>65</v>
      </c>
      <c r="D57" s="64" t="s">
        <v>66</v>
      </c>
      <c r="E57" s="61" t="str">
        <f>CONCATENATE("aMW_",E$11)</f>
        <v>aMW_2016</v>
      </c>
      <c r="F57" s="62" t="str">
        <f t="shared" ref="F57:X57" si="11">CONCATENATE("aMW_",F$11)</f>
        <v>aMW_2017</v>
      </c>
      <c r="G57" s="62" t="str">
        <f t="shared" si="11"/>
        <v>aMW_2018</v>
      </c>
      <c r="H57" s="62" t="str">
        <f t="shared" si="11"/>
        <v>aMW_2019</v>
      </c>
      <c r="I57" s="62" t="str">
        <f t="shared" si="11"/>
        <v>aMW_2020</v>
      </c>
      <c r="J57" s="62" t="str">
        <f t="shared" si="11"/>
        <v>aMW_2021</v>
      </c>
      <c r="K57" s="62" t="str">
        <f t="shared" si="11"/>
        <v>aMW_2022</v>
      </c>
      <c r="L57" s="62" t="str">
        <f t="shared" si="11"/>
        <v>aMW_2023</v>
      </c>
      <c r="M57" s="62" t="str">
        <f t="shared" si="11"/>
        <v>aMW_2024</v>
      </c>
      <c r="N57" s="62" t="str">
        <f t="shared" si="11"/>
        <v>aMW_2025</v>
      </c>
      <c r="O57" s="62" t="str">
        <f t="shared" si="11"/>
        <v>aMW_2026</v>
      </c>
      <c r="P57" s="62" t="str">
        <f t="shared" si="11"/>
        <v>aMW_2027</v>
      </c>
      <c r="Q57" s="62" t="str">
        <f t="shared" si="11"/>
        <v>aMW_2028</v>
      </c>
      <c r="R57" s="62" t="str">
        <f t="shared" si="11"/>
        <v>aMW_2029</v>
      </c>
      <c r="S57" s="62" t="str">
        <f t="shared" si="11"/>
        <v>aMW_2030</v>
      </c>
      <c r="T57" s="62" t="str">
        <f t="shared" si="11"/>
        <v>aMW_2031</v>
      </c>
      <c r="U57" s="62" t="str">
        <f t="shared" si="11"/>
        <v>aMW_2032</v>
      </c>
      <c r="V57" s="62" t="str">
        <f t="shared" si="11"/>
        <v>aMW_2033</v>
      </c>
      <c r="W57" s="62" t="str">
        <f t="shared" si="11"/>
        <v>aMW_2034</v>
      </c>
      <c r="X57" s="62" t="str">
        <f t="shared" si="11"/>
        <v>aMW_2035</v>
      </c>
      <c r="Y57" s="63" t="s">
        <v>60</v>
      </c>
      <c r="Z57" s="7"/>
      <c r="AA57" s="130" t="s">
        <v>268</v>
      </c>
      <c r="AB57" s="130"/>
      <c r="AC57" s="7"/>
    </row>
    <row r="58" spans="1:80">
      <c r="A58" s="57">
        <f t="shared" ref="A58:A63" si="12">VLOOKUP($D58,MeasureOutput,3,FALSE)</f>
        <v>124.08062075865485</v>
      </c>
      <c r="B58" s="57">
        <f t="shared" ref="B58:B63" si="13">VLOOKUP($D58,MeasureOutput,11,FALSE)</f>
        <v>43.176739339049384</v>
      </c>
      <c r="C58" s="7" t="s">
        <v>49</v>
      </c>
      <c r="D58" s="7" t="s">
        <v>492</v>
      </c>
      <c r="E58" s="29">
        <f>VLOOKUP($C58,$D$48:$Z$48,E$20+1,FALSE)*$D$56*$A58/8760/1000*VLOOKUP(RIGHT($D58,LEN($D58)-FIND(" + ",$D58)-2),'HVAC weighting'!$A$13:$E$19,MATCH('SC-NR'!$C58,'HVAC weighting'!$B$3:$E$3,0)+1,0)</f>
        <v>1.4736942487670303E-2</v>
      </c>
      <c r="F58" s="29">
        <f>VLOOKUP($C58,$D$48:$Z$48,F$20+1,FALSE)*$D$56*$A58/8760/1000*VLOOKUP(RIGHT($D58,LEN($D58)-FIND(" + ",$D58)-2),'HVAC weighting'!$A$13:$E$19,MATCH('SC-NR'!$C58,'HVAC weighting'!$B$3:$E$3,0)+1,0)</f>
        <v>3.2757004300540404E-2</v>
      </c>
      <c r="G58" s="29">
        <f>VLOOKUP($C58,$D$48:$Z$48,G$20+1,FALSE)*$D$56*$A58/8760/1000*VLOOKUP(RIGHT($D58,LEN($D58)-FIND(" + ",$D58)-2),'HVAC weighting'!$A$13:$E$19,MATCH('SC-NR'!$C58,'HVAC weighting'!$B$3:$E$3,0)+1,0)</f>
        <v>5.4724686502885075E-2</v>
      </c>
      <c r="H58" s="29">
        <f>VLOOKUP($C58,$D$48:$Z$48,H$20+1,FALSE)*$D$56*$A58/8760/1000*VLOOKUP(RIGHT($D58,LEN($D58)-FIND(" + ",$D58)-2),'HVAC weighting'!$A$13:$E$19,MATCH('SC-NR'!$C58,'HVAC weighting'!$B$3:$E$3,0)+1,0)</f>
        <v>8.0129681206155517E-2</v>
      </c>
      <c r="I58" s="29">
        <f>VLOOKUP($C58,$D$48:$Z$48,I$20+1,FALSE)*$D$56*$A58/8760/1000*VLOOKUP(RIGHT($D58,LEN($D58)-FIND(" + ",$D58)-2),'HVAC weighting'!$A$13:$E$19,MATCH('SC-NR'!$C58,'HVAC weighting'!$B$3:$E$3,0)+1,0)</f>
        <v>0.10900095725820726</v>
      </c>
      <c r="J58" s="29">
        <f>VLOOKUP($C58,$D$48:$Z$48,J$20+1,FALSE)*$D$56*$A58/8760/1000*VLOOKUP(RIGHT($D58,LEN($D58)-FIND(" + ",$D58)-2),'HVAC weighting'!$A$13:$E$19,MATCH('SC-NR'!$C58,'HVAC weighting'!$B$3:$E$3,0)+1,0)</f>
        <v>0.14264303062490022</v>
      </c>
      <c r="K58" s="29">
        <f>VLOOKUP($C58,$D$48:$Z$48,K$20+1,FALSE)*$D$56*$A58/8760/1000*VLOOKUP(RIGHT($D58,LEN($D58)-FIND(" + ",$D58)-2),'HVAC weighting'!$A$13:$E$19,MATCH('SC-NR'!$C58,'HVAC weighting'!$B$3:$E$3,0)+1,0)</f>
        <v>0.17941210502591004</v>
      </c>
      <c r="L58" s="29">
        <f>VLOOKUP($C58,$D$48:$Z$48,L$20+1,FALSE)*$D$56*$A58/8760/1000*VLOOKUP(RIGHT($D58,LEN($D58)-FIND(" + ",$D58)-2),'HVAC weighting'!$A$13:$E$19,MATCH('SC-NR'!$C58,'HVAC weighting'!$B$3:$E$3,0)+1,0)</f>
        <v>0.21681175727045807</v>
      </c>
      <c r="M58" s="29">
        <f>VLOOKUP($C58,$D$48:$Z$48,M$20+1,FALSE)*$D$56*$A58/8760/1000*VLOOKUP(RIGHT($D58,LEN($D58)-FIND(" + ",$D58)-2),'HVAC weighting'!$A$13:$E$19,MATCH('SC-NR'!$C58,'HVAC weighting'!$B$3:$E$3,0)+1,0)</f>
        <v>0.25186713520344584</v>
      </c>
      <c r="N58" s="29">
        <f>VLOOKUP($C58,$D$48:$Z$48,N$20+1,FALSE)*$D$56*$A58/8760/1000*VLOOKUP(RIGHT($D58,LEN($D58)-FIND(" + ",$D58)-2),'HVAC weighting'!$A$13:$E$19,MATCH('SC-NR'!$C58,'HVAC weighting'!$B$3:$E$3,0)+1,0)</f>
        <v>0.28178208117619757</v>
      </c>
      <c r="O58" s="29">
        <f>VLOOKUP($C58,$D$48:$Z$48,O$20+1,FALSE)*$D$56*$A58/8760/1000*VLOOKUP(RIGHT($D58,LEN($D58)-FIND(" + ",$D58)-2),'HVAC weighting'!$A$13:$E$19,MATCH('SC-NR'!$C58,'HVAC weighting'!$B$3:$E$3,0)+1,0)</f>
        <v>0.30468067914232244</v>
      </c>
      <c r="P58" s="29">
        <f>VLOOKUP($C58,$D$48:$Z$48,P$20+1,FALSE)*$D$56*$A58/8760/1000*VLOOKUP(RIGHT($D58,LEN($D58)-FIND(" + ",$D58)-2),'HVAC weighting'!$A$13:$E$19,MATCH('SC-NR'!$C58,'HVAC weighting'!$B$3:$E$3,0)+1,0)</f>
        <v>0.32010606700003835</v>
      </c>
      <c r="Q58" s="29">
        <f>VLOOKUP($C58,$D$48:$Z$48,Q$20+1,FALSE)*$D$56*$A58/8760/1000*VLOOKUP(RIGHT($D58,LEN($D58)-FIND(" + ",$D58)-2),'HVAC weighting'!$A$13:$E$19,MATCH('SC-NR'!$C58,'HVAC weighting'!$B$3:$E$3,0)+1,0)</f>
        <v>0.32900196110436331</v>
      </c>
      <c r="R58" s="29">
        <f>VLOOKUP($C58,$D$48:$Z$48,R$20+1,FALSE)*$D$56*$A58/8760/1000*VLOOKUP(RIGHT($D58,LEN($D58)-FIND(" + ",$D58)-2),'HVAC weighting'!$A$13:$E$19,MATCH('SC-NR'!$C58,'HVAC weighting'!$B$3:$E$3,0)+1,0)</f>
        <v>0.33317074625492549</v>
      </c>
      <c r="S58" s="29">
        <f>VLOOKUP($C58,$D$48:$Z$48,S$20+1,FALSE)*$D$56*$A58/8760/1000*VLOOKUP(RIGHT($D58,LEN($D58)-FIND(" + ",$D58)-2),'HVAC weighting'!$A$13:$E$19,MATCH('SC-NR'!$C58,'HVAC weighting'!$B$3:$E$3,0)+1,0)</f>
        <v>0.33451847768755405</v>
      </c>
      <c r="T58" s="29">
        <f>VLOOKUP($C58,$D$48:$Z$48,T$20+1,FALSE)*$D$56*$A58/8760/1000*VLOOKUP(RIGHT($D58,LEN($D58)-FIND(" + ",$D58)-2),'HVAC weighting'!$A$13:$E$19,MATCH('SC-NR'!$C58,'HVAC weighting'!$B$3:$E$3,0)+1,0)</f>
        <v>0.40941965929152724</v>
      </c>
      <c r="U58" s="29">
        <f>VLOOKUP($C58,$D$48:$Z$48,U$20+1,FALSE)*$D$56*$A58/8760/1000*VLOOKUP(RIGHT($D58,LEN($D58)-FIND(" + ",$D58)-2),'HVAC weighting'!$A$13:$E$19,MATCH('SC-NR'!$C58,'HVAC weighting'!$B$3:$E$3,0)+1,0)</f>
        <v>0.4027220779322741</v>
      </c>
      <c r="V58" s="29">
        <f>VLOOKUP($C58,$D$48:$Z$48,V$20+1,FALSE)*$D$56*$A58/8760/1000*VLOOKUP(RIGHT($D58,LEN($D58)-FIND(" + ",$D58)-2),'HVAC weighting'!$A$13:$E$19,MATCH('SC-NR'!$C58,'HVAC weighting'!$B$3:$E$3,0)+1,0)</f>
        <v>0.39502732862001622</v>
      </c>
      <c r="W58" s="29">
        <f>VLOOKUP($C58,$D$48:$Z$48,W$20+1,FALSE)*$D$56*$A58/8760/1000*VLOOKUP(RIGHT($D58,LEN($D58)-FIND(" + ",$D58)-2),'HVAC weighting'!$A$13:$E$19,MATCH('SC-NR'!$C58,'HVAC weighting'!$B$3:$E$3,0)+1,0)</f>
        <v>0.38844775703326406</v>
      </c>
      <c r="X58" s="29">
        <f>VLOOKUP($C58,$D$48:$Z$48,X$20+1,FALSE)*$D$56*$A58/8760/1000*VLOOKUP(RIGHT($D58,LEN($D58)-FIND(" + ",$D58)-2),'HVAC weighting'!$A$13:$E$19,MATCH('SC-NR'!$C58,'HVAC weighting'!$B$3:$E$3,0)+1,0)</f>
        <v>0.3819481487669158</v>
      </c>
      <c r="Y58" s="29">
        <f>(VLOOKUP($C58,$D$37:$Z$37,$X$28+2,FALSE)+VLOOKUP($C58,$D$42:$Z$42,$X$28+2,FALSE))*$D$56*$A58/8760/1000*VLOOKUP(RIGHT($D58,LEN($D58)-FIND(" + ",$D58)-2),'HVAC weighting'!$A$13:$E$19,MATCH('SC-NR'!$C58,'HVAC weighting'!$B$3:$E$3,0)+1,0)</f>
        <v>5.2319445980618298</v>
      </c>
      <c r="AA58" s="29">
        <f>SUM(E58:X58)</f>
        <v>4.9629082838895711</v>
      </c>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row>
    <row r="59" spans="1:80">
      <c r="A59" s="57">
        <f t="shared" si="12"/>
        <v>86.842458591402192</v>
      </c>
      <c r="B59" s="57">
        <f t="shared" si="13"/>
        <v>78.606411348488919</v>
      </c>
      <c r="C59" s="7" t="s">
        <v>49</v>
      </c>
      <c r="D59" s="7" t="s">
        <v>493</v>
      </c>
      <c r="E59" s="29">
        <f>VLOOKUP($C59,$D$48:$Z$48,E$20+1,FALSE)*$D$56*$A59/8760/1000*VLOOKUP(RIGHT($D59,LEN($D59)-FIND(" + ",$D59)-2),'HVAC weighting'!$A$13:$E$19,MATCH('SC-NR'!$C59,'HVAC weighting'!$B$3:$E$3,0)+1,0)</f>
        <v>2.034053541413402E-3</v>
      </c>
      <c r="F59" s="29">
        <f>VLOOKUP($C59,$D$48:$Z$48,F$20+1,FALSE)*$D$56*$A59/8760/1000*VLOOKUP(RIGHT($D59,LEN($D59)-FIND(" + ",$D59)-2),'HVAC weighting'!$A$13:$E$19,MATCH('SC-NR'!$C59,'HVAC weighting'!$B$3:$E$3,0)+1,0)</f>
        <v>4.5212567436803096E-3</v>
      </c>
      <c r="G59" s="29">
        <f>VLOOKUP($C59,$D$48:$Z$48,G$20+1,FALSE)*$D$56*$A59/8760/1000*VLOOKUP(RIGHT($D59,LEN($D59)-FIND(" + ",$D59)-2),'HVAC weighting'!$A$13:$E$19,MATCH('SC-NR'!$C59,'HVAC weighting'!$B$3:$E$3,0)+1,0)</f>
        <v>7.5533267824762062E-3</v>
      </c>
      <c r="H59" s="29">
        <f>VLOOKUP($C59,$D$48:$Z$48,H$20+1,FALSE)*$D$56*$A59/8760/1000*VLOOKUP(RIGHT($D59,LEN($D59)-FIND(" + ",$D59)-2),'HVAC weighting'!$A$13:$E$19,MATCH('SC-NR'!$C59,'HVAC weighting'!$B$3:$E$3,0)+1,0)</f>
        <v>1.1059828859756485E-2</v>
      </c>
      <c r="I59" s="29">
        <f>VLOOKUP($C59,$D$48:$Z$48,I$20+1,FALSE)*$D$56*$A59/8760/1000*VLOOKUP(RIGHT($D59,LEN($D59)-FIND(" + ",$D59)-2),'HVAC weighting'!$A$13:$E$19,MATCH('SC-NR'!$C59,'HVAC weighting'!$B$3:$E$3,0)+1,0)</f>
        <v>1.5044761375299164E-2</v>
      </c>
      <c r="J59" s="29">
        <f>VLOOKUP($C59,$D$48:$Z$48,J$20+1,FALSE)*$D$56*$A59/8760/1000*VLOOKUP(RIGHT($D59,LEN($D59)-FIND(" + ",$D59)-2),'HVAC weighting'!$A$13:$E$19,MATCH('SC-NR'!$C59,'HVAC weighting'!$B$3:$E$3,0)+1,0)</f>
        <v>1.9688178999359464E-2</v>
      </c>
      <c r="K59" s="29">
        <f>VLOOKUP($C59,$D$48:$Z$48,K$20+1,FALSE)*$D$56*$A59/8760/1000*VLOOKUP(RIGHT($D59,LEN($D59)-FIND(" + ",$D59)-2),'HVAC weighting'!$A$13:$E$19,MATCH('SC-NR'!$C59,'HVAC weighting'!$B$3:$E$3,0)+1,0)</f>
        <v>2.4763198194313933E-2</v>
      </c>
      <c r="L59" s="29">
        <f>VLOOKUP($C59,$D$48:$Z$48,L$20+1,FALSE)*$D$56*$A59/8760/1000*VLOOKUP(RIGHT($D59,LEN($D59)-FIND(" + ",$D59)-2),'HVAC weighting'!$A$13:$E$19,MATCH('SC-NR'!$C59,'HVAC weighting'!$B$3:$E$3,0)+1,0)</f>
        <v>2.9925252342201069E-2</v>
      </c>
      <c r="M59" s="29">
        <f>VLOOKUP($C59,$D$48:$Z$48,M$20+1,FALSE)*$D$56*$A59/8760/1000*VLOOKUP(RIGHT($D59,LEN($D59)-FIND(" + ",$D59)-2),'HVAC weighting'!$A$13:$E$19,MATCH('SC-NR'!$C59,'HVAC weighting'!$B$3:$E$3,0)+1,0)</f>
        <v>3.4763740087527896E-2</v>
      </c>
      <c r="N59" s="29">
        <f>VLOOKUP($C59,$D$48:$Z$48,N$20+1,FALSE)*$D$56*$A59/8760/1000*VLOOKUP(RIGHT($D59,LEN($D59)-FIND(" + ",$D59)-2),'HVAC weighting'!$A$13:$E$19,MATCH('SC-NR'!$C59,'HVAC weighting'!$B$3:$E$3,0)+1,0)</f>
        <v>3.8892724227078908E-2</v>
      </c>
      <c r="O59" s="29">
        <f>VLOOKUP($C59,$D$48:$Z$48,O$20+1,FALSE)*$D$56*$A59/8760/1000*VLOOKUP(RIGHT($D59,LEN($D59)-FIND(" + ",$D59)-2),'HVAC weighting'!$A$13:$E$19,MATCH('SC-NR'!$C59,'HVAC weighting'!$B$3:$E$3,0)+1,0)</f>
        <v>4.2053283096421493E-2</v>
      </c>
      <c r="P59" s="29">
        <f>VLOOKUP($C59,$D$48:$Z$48,P$20+1,FALSE)*$D$56*$A59/8760/1000*VLOOKUP(RIGHT($D59,LEN($D59)-FIND(" + ",$D59)-2),'HVAC weighting'!$A$13:$E$19,MATCH('SC-NR'!$C59,'HVAC weighting'!$B$3:$E$3,0)+1,0)</f>
        <v>4.4182358705280887E-2</v>
      </c>
      <c r="Q59" s="29">
        <f>VLOOKUP($C59,$D$48:$Z$48,Q$20+1,FALSE)*$D$56*$A59/8760/1000*VLOOKUP(RIGHT($D59,LEN($D59)-FIND(" + ",$D59)-2),'HVAC weighting'!$A$13:$E$19,MATCH('SC-NR'!$C59,'HVAC weighting'!$B$3:$E$3,0)+1,0)</f>
        <v>4.5410206674564864E-2</v>
      </c>
      <c r="R59" s="29">
        <f>VLOOKUP($C59,$D$48:$Z$48,R$20+1,FALSE)*$D$56*$A59/8760/1000*VLOOKUP(RIGHT($D59,LEN($D59)-FIND(" + ",$D59)-2),'HVAC weighting'!$A$13:$E$19,MATCH('SC-NR'!$C59,'HVAC weighting'!$B$3:$E$3,0)+1,0)</f>
        <v>4.5985599582964089E-2</v>
      </c>
      <c r="S59" s="29">
        <f>VLOOKUP($C59,$D$48:$Z$48,S$20+1,FALSE)*$D$56*$A59/8760/1000*VLOOKUP(RIGHT($D59,LEN($D59)-FIND(" + ",$D59)-2),'HVAC weighting'!$A$13:$E$19,MATCH('SC-NR'!$C59,'HVAC weighting'!$B$3:$E$3,0)+1,0)</f>
        <v>4.6171619030058064E-2</v>
      </c>
      <c r="T59" s="29">
        <f>VLOOKUP($C59,$D$48:$Z$48,T$20+1,FALSE)*$D$56*$A59/8760/1000*VLOOKUP(RIGHT($D59,LEN($D59)-FIND(" + ",$D59)-2),'HVAC weighting'!$A$13:$E$19,MATCH('SC-NR'!$C59,'HVAC weighting'!$B$3:$E$3,0)+1,0)</f>
        <v>5.6509788825120817E-2</v>
      </c>
      <c r="U59" s="29">
        <f>VLOOKUP($C59,$D$48:$Z$48,U$20+1,FALSE)*$D$56*$A59/8760/1000*VLOOKUP(RIGHT($D59,LEN($D59)-FIND(" + ",$D59)-2),'HVAC weighting'!$A$13:$E$19,MATCH('SC-NR'!$C59,'HVAC weighting'!$B$3:$E$3,0)+1,0)</f>
        <v>5.5585361041400348E-2</v>
      </c>
      <c r="V59" s="29">
        <f>VLOOKUP($C59,$D$48:$Z$48,V$20+1,FALSE)*$D$56*$A59/8760/1000*VLOOKUP(RIGHT($D59,LEN($D59)-FIND(" + ",$D59)-2),'HVAC weighting'!$A$13:$E$19,MATCH('SC-NR'!$C59,'HVAC weighting'!$B$3:$E$3,0)+1,0)</f>
        <v>5.4523300026913697E-2</v>
      </c>
      <c r="W59" s="29">
        <f>VLOOKUP($C59,$D$48:$Z$48,W$20+1,FALSE)*$D$56*$A59/8760/1000*VLOOKUP(RIGHT($D59,LEN($D59)-FIND(" + ",$D59)-2),'HVAC weighting'!$A$13:$E$19,MATCH('SC-NR'!$C59,'HVAC weighting'!$B$3:$E$3,0)+1,0)</f>
        <v>5.3615160438378738E-2</v>
      </c>
      <c r="X59" s="29">
        <f>VLOOKUP($C59,$D$48:$Z$48,X$20+1,FALSE)*$D$56*$A59/8760/1000*VLOOKUP(RIGHT($D59,LEN($D59)-FIND(" + ",$D59)-2),'HVAC weighting'!$A$13:$E$19,MATCH('SC-NR'!$C59,'HVAC weighting'!$B$3:$E$3,0)+1,0)</f>
        <v>5.2718057716899941E-2</v>
      </c>
      <c r="Y59" s="29">
        <f>(VLOOKUP($C59,$D$37:$Z$37,$X$28+2,FALSE)+VLOOKUP($C59,$D$42:$Z$42,$X$28+2,FALSE))*$D$56*$A59/8760/1000*VLOOKUP(RIGHT($D59,LEN($D59)-FIND(" + ",$D59)-2),'HVAC weighting'!$A$13:$E$19,MATCH('SC-NR'!$C59,'HVAC weighting'!$B$3:$E$3,0)+1,0)</f>
        <v>0.72213455722379882</v>
      </c>
      <c r="AA59" s="29">
        <f t="shared" ref="AA59:AA63" si="14">SUM(E59:X59)</f>
        <v>0.68500105629110986</v>
      </c>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row>
    <row r="60" spans="1:80">
      <c r="A60" s="57">
        <f t="shared" si="12"/>
        <v>826.55856987151878</v>
      </c>
      <c r="B60" s="57">
        <f t="shared" si="13"/>
        <v>659.71987190261939</v>
      </c>
      <c r="C60" s="7" t="s">
        <v>49</v>
      </c>
      <c r="D60" s="7" t="s">
        <v>496</v>
      </c>
      <c r="E60" s="29">
        <f>VLOOKUP($C60,$D$48:$Z$48,E$20+1,FALSE)*$D$56*$A60/8760/1000*VLOOKUP(RIGHT($D60,LEN($D60)-FIND(" + ",$D60)-2),'HVAC weighting'!$A$13:$E$19,MATCH('SC-NR'!$C60,'HVAC weighting'!$B$3:$E$3,0)+1,0)</f>
        <v>5.9420842161300863E-3</v>
      </c>
      <c r="F60" s="29">
        <f>VLOOKUP($C60,$D$48:$Z$48,F$20+1,FALSE)*$D$56*$A60/8760/1000*VLOOKUP(RIGHT($D60,LEN($D60)-FIND(" + ",$D60)-2),'HVAC weighting'!$A$13:$E$19,MATCH('SC-NR'!$C60,'HVAC weighting'!$B$3:$E$3,0)+1,0)</f>
        <v>1.3207955339772585E-2</v>
      </c>
      <c r="G60" s="29">
        <f>VLOOKUP($C60,$D$48:$Z$48,G$20+1,FALSE)*$D$56*$A60/8760/1000*VLOOKUP(RIGHT($D60,LEN($D60)-FIND(" + ",$D60)-2),'HVAC weighting'!$A$13:$E$19,MATCH('SC-NR'!$C60,'HVAC weighting'!$B$3:$E$3,0)+1,0)</f>
        <v>2.2065546918807761E-2</v>
      </c>
      <c r="H60" s="29">
        <f>VLOOKUP($C60,$D$48:$Z$48,H$20+1,FALSE)*$D$56*$A60/8760/1000*VLOOKUP(RIGHT($D60,LEN($D60)-FIND(" + ",$D60)-2),'HVAC weighting'!$A$13:$E$19,MATCH('SC-NR'!$C60,'HVAC weighting'!$B$3:$E$3,0)+1,0)</f>
        <v>3.2309097652853953E-2</v>
      </c>
      <c r="I60" s="29">
        <f>VLOOKUP($C60,$D$48:$Z$48,I$20+1,FALSE)*$D$56*$A60/8760/1000*VLOOKUP(RIGHT($D60,LEN($D60)-FIND(" + ",$D60)-2),'HVAC weighting'!$A$13:$E$19,MATCH('SC-NR'!$C60,'HVAC weighting'!$B$3:$E$3,0)+1,0)</f>
        <v>4.3950288074270302E-2</v>
      </c>
      <c r="J60" s="29">
        <f>VLOOKUP($C60,$D$48:$Z$48,J$20+1,FALSE)*$D$56*$A60/8760/1000*VLOOKUP(RIGHT($D60,LEN($D60)-FIND(" + ",$D60)-2),'HVAC weighting'!$A$13:$E$19,MATCH('SC-NR'!$C60,'HVAC weighting'!$B$3:$E$3,0)+1,0)</f>
        <v>5.7515112210441477E-2</v>
      </c>
      <c r="K60" s="29">
        <f>VLOOKUP($C60,$D$48:$Z$48,K$20+1,FALSE)*$D$56*$A60/8760/1000*VLOOKUP(RIGHT($D60,LEN($D60)-FIND(" + ",$D60)-2),'HVAC weighting'!$A$13:$E$19,MATCH('SC-NR'!$C60,'HVAC weighting'!$B$3:$E$3,0)+1,0)</f>
        <v>7.2340774780730352E-2</v>
      </c>
      <c r="L60" s="29">
        <f>VLOOKUP($C60,$D$48:$Z$48,L$20+1,FALSE)*$D$56*$A60/8760/1000*VLOOKUP(RIGHT($D60,LEN($D60)-FIND(" + ",$D60)-2),'HVAC weighting'!$A$13:$E$19,MATCH('SC-NR'!$C60,'HVAC weighting'!$B$3:$E$3,0)+1,0)</f>
        <v>8.7420692713301065E-2</v>
      </c>
      <c r="M60" s="29">
        <f>VLOOKUP($C60,$D$48:$Z$48,M$20+1,FALSE)*$D$56*$A60/8760/1000*VLOOKUP(RIGHT($D60,LEN($D60)-FIND(" + ",$D60)-2),'HVAC weighting'!$A$13:$E$19,MATCH('SC-NR'!$C60,'HVAC weighting'!$B$3:$E$3,0)+1,0)</f>
        <v>0.10155537554051289</v>
      </c>
      <c r="N60" s="29">
        <f>VLOOKUP($C60,$D$48:$Z$48,N$20+1,FALSE)*$D$56*$A60/8760/1000*VLOOKUP(RIGHT($D60,LEN($D60)-FIND(" + ",$D60)-2),'HVAC weighting'!$A$13:$E$19,MATCH('SC-NR'!$C60,'HVAC weighting'!$B$3:$E$3,0)+1,0)</f>
        <v>0.11361738422649323</v>
      </c>
      <c r="O60" s="29">
        <f>VLOOKUP($C60,$D$48:$Z$48,O$20+1,FALSE)*$D$56*$A60/8760/1000*VLOOKUP(RIGHT($D60,LEN($D60)-FIND(" + ",$D60)-2),'HVAC weighting'!$A$13:$E$19,MATCH('SC-NR'!$C60,'HVAC weighting'!$B$3:$E$3,0)+1,0)</f>
        <v>0.12285033045396605</v>
      </c>
      <c r="P60" s="29">
        <f>VLOOKUP($C60,$D$48:$Z$48,P$20+1,FALSE)*$D$56*$A60/8760/1000*VLOOKUP(RIGHT($D60,LEN($D60)-FIND(" + ",$D60)-2),'HVAC weighting'!$A$13:$E$19,MATCH('SC-NR'!$C60,'HVAC weighting'!$B$3:$E$3,0)+1,0)</f>
        <v>0.12907000280416389</v>
      </c>
      <c r="Q60" s="29">
        <f>VLOOKUP($C60,$D$48:$Z$48,Q$20+1,FALSE)*$D$56*$A60/8760/1000*VLOOKUP(RIGHT($D60,LEN($D60)-FIND(" + ",$D60)-2),'HVAC weighting'!$A$13:$E$19,MATCH('SC-NR'!$C60,'HVAC weighting'!$B$3:$E$3,0)+1,0)</f>
        <v>0.13265691725333811</v>
      </c>
      <c r="R60" s="29">
        <f>VLOOKUP($C60,$D$48:$Z$48,R$20+1,FALSE)*$D$56*$A60/8760/1000*VLOOKUP(RIGHT($D60,LEN($D60)-FIND(" + ",$D60)-2),'HVAC weighting'!$A$13:$E$19,MATCH('SC-NR'!$C60,'HVAC weighting'!$B$3:$E$3,0)+1,0)</f>
        <v>0.13433781357659633</v>
      </c>
      <c r="S60" s="29">
        <f>VLOOKUP($C60,$D$48:$Z$48,S$20+1,FALSE)*$D$56*$A60/8760/1000*VLOOKUP(RIGHT($D60,LEN($D60)-FIND(" + ",$D60)-2),'HVAC weighting'!$A$13:$E$19,MATCH('SC-NR'!$C60,'HVAC weighting'!$B$3:$E$3,0)+1,0)</f>
        <v>0.13488123251713333</v>
      </c>
      <c r="T60" s="29">
        <f>VLOOKUP($C60,$D$48:$Z$48,T$20+1,FALSE)*$D$56*$A60/8760/1000*VLOOKUP(RIGHT($D60,LEN($D60)-FIND(" + ",$D60)-2),'HVAC weighting'!$A$13:$E$19,MATCH('SC-NR'!$C60,'HVAC weighting'!$B$3:$E$3,0)+1,0)</f>
        <v>0.16508214626507192</v>
      </c>
      <c r="U60" s="29">
        <f>VLOOKUP($C60,$D$48:$Z$48,U$20+1,FALSE)*$D$56*$A60/8760/1000*VLOOKUP(RIGHT($D60,LEN($D60)-FIND(" + ",$D60)-2),'HVAC weighting'!$A$13:$E$19,MATCH('SC-NR'!$C60,'HVAC weighting'!$B$3:$E$3,0)+1,0)</f>
        <v>0.16238161374183233</v>
      </c>
      <c r="V60" s="29">
        <f>VLOOKUP($C60,$D$48:$Z$48,V$20+1,FALSE)*$D$56*$A60/8760/1000*VLOOKUP(RIGHT($D60,LEN($D60)-FIND(" + ",$D60)-2),'HVAC weighting'!$A$13:$E$19,MATCH('SC-NR'!$C60,'HVAC weighting'!$B$3:$E$3,0)+1,0)</f>
        <v>0.15927901301758443</v>
      </c>
      <c r="W60" s="29">
        <f>VLOOKUP($C60,$D$48:$Z$48,W$20+1,FALSE)*$D$56*$A60/8760/1000*VLOOKUP(RIGHT($D60,LEN($D60)-FIND(" + ",$D60)-2),'HVAC weighting'!$A$13:$E$19,MATCH('SC-NR'!$C60,'HVAC weighting'!$B$3:$E$3,0)+1,0)</f>
        <v>0.15662606322781306</v>
      </c>
      <c r="X60" s="29">
        <f>VLOOKUP($C60,$D$48:$Z$48,X$20+1,FALSE)*$D$56*$A60/8760/1000*VLOOKUP(RIGHT($D60,LEN($D60)-FIND(" + ",$D60)-2),'HVAC weighting'!$A$13:$E$19,MATCH('SC-NR'!$C60,'HVAC weighting'!$B$3:$E$3,0)+1,0)</f>
        <v>0.15400535545733698</v>
      </c>
      <c r="Y60" s="29">
        <f>(VLOOKUP($C60,$D$37:$Z$37,$X$28+2,FALSE)+VLOOKUP($C60,$D$42:$Z$42,$X$28+2,FALSE))*$D$56*$A60/8760/1000*VLOOKUP(RIGHT($D60,LEN($D60)-FIND(" + ",$D60)-2),'HVAC weighting'!$A$13:$E$19,MATCH('SC-NR'!$C60,'HVAC weighting'!$B$3:$E$3,0)+1,0)</f>
        <v>2.109572962086312</v>
      </c>
      <c r="AA60" s="29">
        <f t="shared" si="14"/>
        <v>2.0010947999881505</v>
      </c>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row>
    <row r="61" spans="1:80">
      <c r="A61" s="57">
        <f t="shared" si="12"/>
        <v>836.5766382149352</v>
      </c>
      <c r="B61" s="57">
        <f t="shared" si="13"/>
        <v>655.04492129634014</v>
      </c>
      <c r="C61" s="7" t="s">
        <v>49</v>
      </c>
      <c r="D61" s="7" t="s">
        <v>497</v>
      </c>
      <c r="E61" s="29">
        <f>VLOOKUP($C61,$D$48:$Z$48,E$20+1,FALSE)*$D$56*$A61/8760/1000*VLOOKUP(RIGHT($D61,LEN($D61)-FIND(" + ",$D61)-2),'HVAC weighting'!$A$13:$E$19,MATCH('SC-NR'!$C61,'HVAC weighting'!$B$3:$E$3,0)+1,0)</f>
        <v>2.2212223138289373E-2</v>
      </c>
      <c r="F61" s="29">
        <f>VLOOKUP($C61,$D$48:$Z$48,F$20+1,FALSE)*$D$56*$A61/8760/1000*VLOOKUP(RIGHT($D61,LEN($D61)-FIND(" + ",$D61)-2),'HVAC weighting'!$A$13:$E$19,MATCH('SC-NR'!$C61,'HVAC weighting'!$B$3:$E$3,0)+1,0)</f>
        <v>4.9372920432732989E-2</v>
      </c>
      <c r="G61" s="29">
        <f>VLOOKUP($C61,$D$48:$Z$48,G$20+1,FALSE)*$D$56*$A61/8760/1000*VLOOKUP(RIGHT($D61,LEN($D61)-FIND(" + ",$D61)-2),'HVAC weighting'!$A$13:$E$19,MATCH('SC-NR'!$C61,'HVAC weighting'!$B$3:$E$3,0)+1,0)</f>
        <v>8.2483659605241358E-2</v>
      </c>
      <c r="H61" s="29">
        <f>VLOOKUP($C61,$D$48:$Z$48,H$20+1,FALSE)*$D$56*$A61/8760/1000*VLOOKUP(RIGHT($D61,LEN($D61)-FIND(" + ",$D61)-2),'HVAC weighting'!$A$13:$E$19,MATCH('SC-NR'!$C61,'HVAC weighting'!$B$3:$E$3,0)+1,0)</f>
        <v>0.12077528024827684</v>
      </c>
      <c r="I61" s="29">
        <f>VLOOKUP($C61,$D$48:$Z$48,I$20+1,FALSE)*$D$56*$A61/8760/1000*VLOOKUP(RIGHT($D61,LEN($D61)-FIND(" + ",$D61)-2),'HVAC weighting'!$A$13:$E$19,MATCH('SC-NR'!$C61,'HVAC weighting'!$B$3:$E$3,0)+1,0)</f>
        <v>0.16429144559206266</v>
      </c>
      <c r="J61" s="29">
        <f>VLOOKUP($C61,$D$48:$Z$48,J$20+1,FALSE)*$D$56*$A61/8760/1000*VLOOKUP(RIGHT($D61,LEN($D61)-FIND(" + ",$D61)-2),'HVAC weighting'!$A$13:$E$19,MATCH('SC-NR'!$C61,'HVAC weighting'!$B$3:$E$3,0)+1,0)</f>
        <v>0.21499838436724533</v>
      </c>
      <c r="K61" s="29">
        <f>VLOOKUP($C61,$D$48:$Z$48,K$20+1,FALSE)*$D$56*$A61/8760/1000*VLOOKUP(RIGHT($D61,LEN($D61)-FIND(" + ",$D61)-2),'HVAC weighting'!$A$13:$E$19,MATCH('SC-NR'!$C61,'HVAC weighting'!$B$3:$E$3,0)+1,0)</f>
        <v>0.27041848835875559</v>
      </c>
      <c r="L61" s="29">
        <f>VLOOKUP($C61,$D$48:$Z$48,L$20+1,FALSE)*$D$56*$A61/8760/1000*VLOOKUP(RIGHT($D61,LEN($D61)-FIND(" + ",$D61)-2),'HVAC weighting'!$A$13:$E$19,MATCH('SC-NR'!$C61,'HVAC weighting'!$B$3:$E$3,0)+1,0)</f>
        <v>0.32678902937466553</v>
      </c>
      <c r="M61" s="29">
        <f>VLOOKUP($C61,$D$48:$Z$48,M$20+1,FALSE)*$D$56*$A61/8760/1000*VLOOKUP(RIGHT($D61,LEN($D61)-FIND(" + ",$D61)-2),'HVAC weighting'!$A$13:$E$19,MATCH('SC-NR'!$C61,'HVAC weighting'!$B$3:$E$3,0)+1,0)</f>
        <v>0.37962616825174644</v>
      </c>
      <c r="N61" s="29">
        <f>VLOOKUP($C61,$D$48:$Z$48,N$20+1,FALSE)*$D$56*$A61/8760/1000*VLOOKUP(RIGHT($D61,LEN($D61)-FIND(" + ",$D61)-2),'HVAC weighting'!$A$13:$E$19,MATCH('SC-NR'!$C61,'HVAC weighting'!$B$3:$E$3,0)+1,0)</f>
        <v>0.42471540271626096</v>
      </c>
      <c r="O61" s="29">
        <f>VLOOKUP($C61,$D$48:$Z$48,O$20+1,FALSE)*$D$56*$A61/8760/1000*VLOOKUP(RIGHT($D61,LEN($D61)-FIND(" + ",$D61)-2),'HVAC weighting'!$A$13:$E$19,MATCH('SC-NR'!$C61,'HVAC weighting'!$B$3:$E$3,0)+1,0)</f>
        <v>0.45922926256222896</v>
      </c>
      <c r="P61" s="29">
        <f>VLOOKUP($C61,$D$48:$Z$48,P$20+1,FALSE)*$D$56*$A61/8760/1000*VLOOKUP(RIGHT($D61,LEN($D61)-FIND(" + ",$D61)-2),'HVAC weighting'!$A$13:$E$19,MATCH('SC-NR'!$C61,'HVAC weighting'!$B$3:$E$3,0)+1,0)</f>
        <v>0.48247914342299181</v>
      </c>
      <c r="Q61" s="29">
        <f>VLOOKUP($C61,$D$48:$Z$48,Q$20+1,FALSE)*$D$56*$A61/8760/1000*VLOOKUP(RIGHT($D61,LEN($D61)-FIND(" + ",$D61)-2),'HVAC weighting'!$A$13:$E$19,MATCH('SC-NR'!$C61,'HVAC weighting'!$B$3:$E$3,0)+1,0)</f>
        <v>0.49588745963411746</v>
      </c>
      <c r="R61" s="29">
        <f>VLOOKUP($C61,$D$48:$Z$48,R$20+1,FALSE)*$D$56*$A61/8760/1000*VLOOKUP(RIGHT($D61,LEN($D61)-FIND(" + ",$D61)-2),'HVAC weighting'!$A$13:$E$19,MATCH('SC-NR'!$C61,'HVAC weighting'!$B$3:$E$3,0)+1,0)</f>
        <v>0.50217085159668695</v>
      </c>
      <c r="S61" s="29">
        <f>VLOOKUP($C61,$D$48:$Z$48,S$20+1,FALSE)*$D$56*$A61/8760/1000*VLOOKUP(RIGHT($D61,LEN($D61)-FIND(" + ",$D61)-2),'HVAC weighting'!$A$13:$E$19,MATCH('SC-NR'!$C61,'HVAC weighting'!$B$3:$E$3,0)+1,0)</f>
        <v>0.50420221674159915</v>
      </c>
      <c r="T61" s="29">
        <f>VLOOKUP($C61,$D$48:$Z$48,T$20+1,FALSE)*$D$56*$A61/8760/1000*VLOOKUP(RIGHT($D61,LEN($D61)-FIND(" + ",$D61)-2),'HVAC weighting'!$A$13:$E$19,MATCH('SC-NR'!$C61,'HVAC weighting'!$B$3:$E$3,0)+1,0)</f>
        <v>0.61709685282374072</v>
      </c>
      <c r="U61" s="29">
        <f>VLOOKUP($C61,$D$48:$Z$48,U$20+1,FALSE)*$D$56*$A61/8760/1000*VLOOKUP(RIGHT($D61,LEN($D61)-FIND(" + ",$D61)-2),'HVAC weighting'!$A$13:$E$19,MATCH('SC-NR'!$C61,'HVAC weighting'!$B$3:$E$3,0)+1,0)</f>
        <v>0.6070019385114237</v>
      </c>
      <c r="V61" s="29">
        <f>VLOOKUP($C61,$D$48:$Z$48,V$20+1,FALSE)*$D$56*$A61/8760/1000*VLOOKUP(RIGHT($D61,LEN($D61)-FIND(" + ",$D61)-2),'HVAC weighting'!$A$13:$E$19,MATCH('SC-NR'!$C61,'HVAC weighting'!$B$3:$E$3,0)+1,0)</f>
        <v>0.59540404506371092</v>
      </c>
      <c r="W61" s="29">
        <f>VLOOKUP($C61,$D$48:$Z$48,W$20+1,FALSE)*$D$56*$A61/8760/1000*VLOOKUP(RIGHT($D61,LEN($D61)-FIND(" + ",$D61)-2),'HVAC weighting'!$A$13:$E$19,MATCH('SC-NR'!$C61,'HVAC weighting'!$B$3:$E$3,0)+1,0)</f>
        <v>0.58548700071332671</v>
      </c>
      <c r="X61" s="29">
        <f>VLOOKUP($C61,$D$48:$Z$48,X$20+1,FALSE)*$D$56*$A61/8760/1000*VLOOKUP(RIGHT($D61,LEN($D61)-FIND(" + ",$D61)-2),'HVAC weighting'!$A$13:$E$19,MATCH('SC-NR'!$C61,'HVAC weighting'!$B$3:$E$3,0)+1,0)</f>
        <v>0.57569048089624908</v>
      </c>
      <c r="Y61" s="29">
        <f>(VLOOKUP($C61,$D$37:$Z$37,$X$28+2,FALSE)+VLOOKUP($C61,$D$42:$Z$42,$X$28+2,FALSE))*$D$56*$A61/8760/1000*VLOOKUP(RIGHT($D61,LEN($D61)-FIND(" + ",$D61)-2),'HVAC weighting'!$A$13:$E$19,MATCH('SC-NR'!$C61,'HVAC weighting'!$B$3:$E$3,0)+1,0)</f>
        <v>7.8858366283608037</v>
      </c>
      <c r="AA61" s="29">
        <f t="shared" si="14"/>
        <v>7.480332254051353</v>
      </c>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row>
    <row r="62" spans="1:80">
      <c r="A62" s="57">
        <f t="shared" si="12"/>
        <v>701.41408178007782</v>
      </c>
      <c r="B62" s="57">
        <f t="shared" si="13"/>
        <v>787.61292404503399</v>
      </c>
      <c r="C62" s="7" t="s">
        <v>49</v>
      </c>
      <c r="D62" s="7" t="s">
        <v>495</v>
      </c>
      <c r="E62" s="29">
        <f>VLOOKUP($C62,$D$48:$Z$48,E$20+1,FALSE)*$D$56*$A62/8760/1000*VLOOKUP(RIGHT($D62,LEN($D62)-FIND(" + ",$D62)-2),'HVAC weighting'!$A$13:$E$19,MATCH('SC-NR'!$C62,'HVAC weighting'!$B$3:$E$3,0)+1,0)</f>
        <v>5.1256494575863981E-2</v>
      </c>
      <c r="F62" s="29">
        <f>VLOOKUP($C62,$D$48:$Z$48,F$20+1,FALSE)*$D$56*$A62/8760/1000*VLOOKUP(RIGHT($D62,LEN($D62)-FIND(" + ",$D62)-2),'HVAC weighting'!$A$13:$E$19,MATCH('SC-NR'!$C62,'HVAC weighting'!$B$3:$E$3,0)+1,0)</f>
        <v>0.1139319919757405</v>
      </c>
      <c r="G62" s="29">
        <f>VLOOKUP($C62,$D$48:$Z$48,G$20+1,FALSE)*$D$56*$A62/8760/1000*VLOOKUP(RIGHT($D62,LEN($D62)-FIND(" + ",$D62)-2),'HVAC weighting'!$A$13:$E$19,MATCH('SC-NR'!$C62,'HVAC weighting'!$B$3:$E$3,0)+1,0)</f>
        <v>0.1903376904162985</v>
      </c>
      <c r="H62" s="29">
        <f>VLOOKUP($C62,$D$48:$Z$48,H$20+1,FALSE)*$D$56*$A62/8760/1000*VLOOKUP(RIGHT($D62,LEN($D62)-FIND(" + ",$D62)-2),'HVAC weighting'!$A$13:$E$19,MATCH('SC-NR'!$C62,'HVAC weighting'!$B$3:$E$3,0)+1,0)</f>
        <v>0.27869869028431715</v>
      </c>
      <c r="I62" s="29">
        <f>VLOOKUP($C62,$D$48:$Z$48,I$20+1,FALSE)*$D$56*$A62/8760/1000*VLOOKUP(RIGHT($D62,LEN($D62)-FIND(" + ",$D62)-2),'HVAC weighting'!$A$13:$E$19,MATCH('SC-NR'!$C62,'HVAC weighting'!$B$3:$E$3,0)+1,0)</f>
        <v>0.37911574800157255</v>
      </c>
      <c r="J62" s="29">
        <f>VLOOKUP($C62,$D$48:$Z$48,J$20+1,FALSE)*$D$56*$A62/8760/1000*VLOOKUP(RIGHT($D62,LEN($D62)-FIND(" + ",$D62)-2),'HVAC weighting'!$A$13:$E$19,MATCH('SC-NR'!$C62,'HVAC weighting'!$B$3:$E$3,0)+1,0)</f>
        <v>0.49612609478710273</v>
      </c>
      <c r="K62" s="29">
        <f>VLOOKUP($C62,$D$48:$Z$48,K$20+1,FALSE)*$D$56*$A62/8760/1000*VLOOKUP(RIGHT($D62,LEN($D62)-FIND(" + ",$D62)-2),'HVAC weighting'!$A$13:$E$19,MATCH('SC-NR'!$C62,'HVAC weighting'!$B$3:$E$3,0)+1,0)</f>
        <v>0.62401245005867267</v>
      </c>
      <c r="L62" s="29">
        <f>VLOOKUP($C62,$D$48:$Z$48,L$20+1,FALSE)*$D$56*$A62/8760/1000*VLOOKUP(RIGHT($D62,LEN($D62)-FIND(" + ",$D62)-2),'HVAC weighting'!$A$13:$E$19,MATCH('SC-NR'!$C62,'HVAC weighting'!$B$3:$E$3,0)+1,0)</f>
        <v>0.75409201534270076</v>
      </c>
      <c r="M62" s="29">
        <f>VLOOKUP($C62,$D$48:$Z$48,M$20+1,FALSE)*$D$56*$A62/8760/1000*VLOOKUP(RIGHT($D62,LEN($D62)-FIND(" + ",$D62)-2),'HVAC weighting'!$A$13:$E$19,MATCH('SC-NR'!$C62,'HVAC weighting'!$B$3:$E$3,0)+1,0)</f>
        <v>0.87601797049794128</v>
      </c>
      <c r="N62" s="29">
        <f>VLOOKUP($C62,$D$48:$Z$48,N$20+1,FALSE)*$D$56*$A62/8760/1000*VLOOKUP(RIGHT($D62,LEN($D62)-FIND(" + ",$D62)-2),'HVAC weighting'!$A$13:$E$19,MATCH('SC-NR'!$C62,'HVAC weighting'!$B$3:$E$3,0)+1,0)</f>
        <v>0.98006501195667528</v>
      </c>
      <c r="O62" s="29">
        <f>VLOOKUP($C62,$D$48:$Z$48,O$20+1,FALSE)*$D$56*$A62/8760/1000*VLOOKUP(RIGHT($D62,LEN($D62)-FIND(" + ",$D62)-2),'HVAC weighting'!$A$13:$E$19,MATCH('SC-NR'!$C62,'HVAC weighting'!$B$3:$E$3,0)+1,0)</f>
        <v>1.0597085244035449</v>
      </c>
      <c r="P62" s="29">
        <f>VLOOKUP($C62,$D$48:$Z$48,P$20+1,FALSE)*$D$56*$A62/8760/1000*VLOOKUP(RIGHT($D62,LEN($D62)-FIND(" + ",$D62)-2),'HVAC weighting'!$A$13:$E$19,MATCH('SC-NR'!$C62,'HVAC weighting'!$B$3:$E$3,0)+1,0)</f>
        <v>1.1133594977802217</v>
      </c>
      <c r="Q62" s="29">
        <f>VLOOKUP($C62,$D$48:$Z$48,Q$20+1,FALSE)*$D$56*$A62/8760/1000*VLOOKUP(RIGHT($D62,LEN($D62)-FIND(" + ",$D62)-2),'HVAC weighting'!$A$13:$E$19,MATCH('SC-NR'!$C62,'HVAC weighting'!$B$3:$E$3,0)+1,0)</f>
        <v>1.1443002677728629</v>
      </c>
      <c r="R62" s="29">
        <f>VLOOKUP($C62,$D$48:$Z$48,R$20+1,FALSE)*$D$56*$A62/8760/1000*VLOOKUP(RIGHT($D62,LEN($D62)-FIND(" + ",$D62)-2),'HVAC weighting'!$A$13:$E$19,MATCH('SC-NR'!$C62,'HVAC weighting'!$B$3:$E$3,0)+1,0)</f>
        <v>1.1587997009922373</v>
      </c>
      <c r="S62" s="29">
        <f>VLOOKUP($C62,$D$48:$Z$48,S$20+1,FALSE)*$D$56*$A62/8760/1000*VLOOKUP(RIGHT($D62,LEN($D62)-FIND(" + ",$D62)-2),'HVAC weighting'!$A$13:$E$19,MATCH('SC-NR'!$C62,'HVAC weighting'!$B$3:$E$3,0)+1,0)</f>
        <v>1.1634872397353682</v>
      </c>
      <c r="T62" s="29">
        <f>VLOOKUP($C62,$D$48:$Z$48,T$20+1,FALSE)*$D$56*$A62/8760/1000*VLOOKUP(RIGHT($D62,LEN($D62)-FIND(" + ",$D62)-2),'HVAC weighting'!$A$13:$E$19,MATCH('SC-NR'!$C62,'HVAC weighting'!$B$3:$E$3,0)+1,0)</f>
        <v>1.4240007086467048</v>
      </c>
      <c r="U62" s="29">
        <f>VLOOKUP($C62,$D$48:$Z$48,U$20+1,FALSE)*$D$56*$A62/8760/1000*VLOOKUP(RIGHT($D62,LEN($D62)-FIND(" + ",$D62)-2),'HVAC weighting'!$A$13:$E$19,MATCH('SC-NR'!$C62,'HVAC weighting'!$B$3:$E$3,0)+1,0)</f>
        <v>1.400705880503134</v>
      </c>
      <c r="V62" s="29">
        <f>VLOOKUP($C62,$D$48:$Z$48,V$20+1,FALSE)*$D$56*$A62/8760/1000*VLOOKUP(RIGHT($D62,LEN($D62)-FIND(" + ",$D62)-2),'HVAC weighting'!$A$13:$E$19,MATCH('SC-NR'!$C62,'HVAC weighting'!$B$3:$E$3,0)+1,0)</f>
        <v>1.3739428069065343</v>
      </c>
      <c r="W62" s="29">
        <f>VLOOKUP($C62,$D$48:$Z$48,W$20+1,FALSE)*$D$56*$A62/8760/1000*VLOOKUP(RIGHT($D62,LEN($D62)-FIND(" + ",$D62)-2),'HVAC weighting'!$A$13:$E$19,MATCH('SC-NR'!$C62,'HVAC weighting'!$B$3:$E$3,0)+1,0)</f>
        <v>1.3510584280314708</v>
      </c>
      <c r="X62" s="29">
        <f>VLOOKUP($C62,$D$48:$Z$48,X$20+1,FALSE)*$D$56*$A62/8760/1000*VLOOKUP(RIGHT($D62,LEN($D62)-FIND(" + ",$D62)-2),'HVAC weighting'!$A$13:$E$19,MATCH('SC-NR'!$C62,'HVAC weighting'!$B$3:$E$3,0)+1,0)</f>
        <v>1.3284521692279199</v>
      </c>
      <c r="Y62" s="29">
        <f>(VLOOKUP($C62,$D$37:$Z$37,$X$28+2,FALSE)+VLOOKUP($C62,$D$42:$Z$42,$X$28+2,FALSE))*$D$56*$A62/8760/1000*VLOOKUP(RIGHT($D62,LEN($D62)-FIND(" + ",$D62)-2),'HVAC weighting'!$A$13:$E$19,MATCH('SC-NR'!$C62,'HVAC weighting'!$B$3:$E$3,0)+1,0)</f>
        <v>18.197203397932984</v>
      </c>
      <c r="AA62" s="29">
        <f t="shared" si="14"/>
        <v>17.26146938189688</v>
      </c>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row>
    <row r="63" spans="1:80">
      <c r="A63" s="57">
        <f t="shared" si="12"/>
        <v>563.46241624481468</v>
      </c>
      <c r="B63" s="57">
        <f t="shared" si="13"/>
        <v>980.44302510700686</v>
      </c>
      <c r="C63" s="7" t="s">
        <v>49</v>
      </c>
      <c r="D63" s="7" t="s">
        <v>494</v>
      </c>
      <c r="E63" s="29">
        <f>VLOOKUP($C63,$D$48:$Z$48,E$20+1,FALSE)*$D$56*$A63/8760/1000*VLOOKUP(RIGHT($D63,LEN($D63)-FIND(" + ",$D63)-2),'HVAC weighting'!$A$13:$E$19,MATCH('SC-NR'!$C63,'HVAC weighting'!$B$3:$E$3,0)+1,0)</f>
        <v>4.547046150105695E-2</v>
      </c>
      <c r="F63" s="29">
        <f>VLOOKUP($C63,$D$48:$Z$48,F$20+1,FALSE)*$D$56*$A63/8760/1000*VLOOKUP(RIGHT($D63,LEN($D63)-FIND(" + ",$D63)-2),'HVAC weighting'!$A$13:$E$19,MATCH('SC-NR'!$C63,'HVAC weighting'!$B$3:$E$3,0)+1,0)</f>
        <v>0.10107090423836919</v>
      </c>
      <c r="G63" s="29">
        <f>VLOOKUP($C63,$D$48:$Z$48,G$20+1,FALSE)*$D$56*$A63/8760/1000*VLOOKUP(RIGHT($D63,LEN($D63)-FIND(" + ",$D63)-2),'HVAC weighting'!$A$13:$E$19,MATCH('SC-NR'!$C63,'HVAC weighting'!$B$3:$E$3,0)+1,0)</f>
        <v>0.16885162935722497</v>
      </c>
      <c r="H63" s="29">
        <f>VLOOKUP($C63,$D$48:$Z$48,H$20+1,FALSE)*$D$56*$A63/8760/1000*VLOOKUP(RIGHT($D63,LEN($D63)-FIND(" + ",$D63)-2),'HVAC weighting'!$A$13:$E$19,MATCH('SC-NR'!$C63,'HVAC weighting'!$B$3:$E$3,0)+1,0)</f>
        <v>0.24723809483716394</v>
      </c>
      <c r="I63" s="29">
        <f>VLOOKUP($C63,$D$48:$Z$48,I$20+1,FALSE)*$D$56*$A63/8760/1000*VLOOKUP(RIGHT($D63,LEN($D63)-FIND(" + ",$D63)-2),'HVAC weighting'!$A$13:$E$19,MATCH('SC-NR'!$C63,'HVAC weighting'!$B$3:$E$3,0)+1,0)</f>
        <v>0.33631968332199075</v>
      </c>
      <c r="J63" s="29">
        <f>VLOOKUP($C63,$D$48:$Z$48,J$20+1,FALSE)*$D$56*$A63/8760/1000*VLOOKUP(RIGHT($D63,LEN($D63)-FIND(" + ",$D63)-2),'HVAC weighting'!$A$13:$E$19,MATCH('SC-NR'!$C63,'HVAC weighting'!$B$3:$E$3,0)+1,0)</f>
        <v>0.44012144566962769</v>
      </c>
      <c r="K63" s="29">
        <f>VLOOKUP($C63,$D$48:$Z$48,K$20+1,FALSE)*$D$56*$A63/8760/1000*VLOOKUP(RIGHT($D63,LEN($D63)-FIND(" + ",$D63)-2),'HVAC weighting'!$A$13:$E$19,MATCH('SC-NR'!$C63,'HVAC weighting'!$B$3:$E$3,0)+1,0)</f>
        <v>0.55357149023480268</v>
      </c>
      <c r="L63" s="29">
        <f>VLOOKUP($C63,$D$48:$Z$48,L$20+1,FALSE)*$D$56*$A63/8760/1000*VLOOKUP(RIGHT($D63,LEN($D63)-FIND(" + ",$D63)-2),'HVAC weighting'!$A$13:$E$19,MATCH('SC-NR'!$C63,'HVAC weighting'!$B$3:$E$3,0)+1,0)</f>
        <v>0.6689671667098539</v>
      </c>
      <c r="M63" s="29">
        <f>VLOOKUP($C63,$D$48:$Z$48,M$20+1,FALSE)*$D$56*$A63/8760/1000*VLOOKUP(RIGHT($D63,LEN($D63)-FIND(" + ",$D63)-2),'HVAC weighting'!$A$13:$E$19,MATCH('SC-NR'!$C63,'HVAC weighting'!$B$3:$E$3,0)+1,0)</f>
        <v>0.77712964437715382</v>
      </c>
      <c r="N63" s="29">
        <f>VLOOKUP($C63,$D$48:$Z$48,N$20+1,FALSE)*$D$56*$A63/8760/1000*VLOOKUP(RIGHT($D63,LEN($D63)-FIND(" + ",$D63)-2),'HVAC weighting'!$A$13:$E$19,MATCH('SC-NR'!$C63,'HVAC weighting'!$B$3:$E$3,0)+1,0)</f>
        <v>0.86943144987705701</v>
      </c>
      <c r="O63" s="29">
        <f>VLOOKUP($C63,$D$48:$Z$48,O$20+1,FALSE)*$D$56*$A63/8760/1000*VLOOKUP(RIGHT($D63,LEN($D63)-FIND(" + ",$D63)-2),'HVAC weighting'!$A$13:$E$19,MATCH('SC-NR'!$C63,'HVAC weighting'!$B$3:$E$3,0)+1,0)</f>
        <v>0.94008449192550037</v>
      </c>
      <c r="P63" s="29">
        <f>VLOOKUP($C63,$D$48:$Z$48,P$20+1,FALSE)*$D$56*$A63/8760/1000*VLOOKUP(RIGHT($D63,LEN($D63)-FIND(" + ",$D63)-2),'HVAC weighting'!$A$13:$E$19,MATCH('SC-NR'!$C63,'HVAC weighting'!$B$3:$E$3,0)+1,0)</f>
        <v>0.98767913411874864</v>
      </c>
      <c r="Q63" s="29">
        <f>VLOOKUP($C63,$D$48:$Z$48,Q$20+1,FALSE)*$D$56*$A63/8760/1000*VLOOKUP(RIGHT($D63,LEN($D63)-FIND(" + ",$D63)-2),'HVAC weighting'!$A$13:$E$19,MATCH('SC-NR'!$C63,'HVAC weighting'!$B$3:$E$3,0)+1,0)</f>
        <v>1.0151271892853213</v>
      </c>
      <c r="R63" s="29">
        <f>VLOOKUP($C63,$D$48:$Z$48,R$20+1,FALSE)*$D$56*$A63/8760/1000*VLOOKUP(RIGHT($D63,LEN($D63)-FIND(" + ",$D63)-2),'HVAC weighting'!$A$13:$E$19,MATCH('SC-NR'!$C63,'HVAC weighting'!$B$3:$E$3,0)+1,0)</f>
        <v>1.0279898699162198</v>
      </c>
      <c r="S63" s="29">
        <f>VLOOKUP($C63,$D$48:$Z$48,S$20+1,FALSE)*$D$56*$A63/8760/1000*VLOOKUP(RIGHT($D63,LEN($D63)-FIND(" + ",$D63)-2),'HVAC weighting'!$A$13:$E$19,MATCH('SC-NR'!$C63,'HVAC weighting'!$B$3:$E$3,0)+1,0)</f>
        <v>1.0321482609985198</v>
      </c>
      <c r="T63" s="29">
        <f>VLOOKUP($C63,$D$48:$Z$48,T$20+1,FALSE)*$D$56*$A63/8760/1000*VLOOKUP(RIGHT($D63,LEN($D63)-FIND(" + ",$D63)-2),'HVAC weighting'!$A$13:$E$19,MATCH('SC-NR'!$C63,'HVAC weighting'!$B$3:$E$3,0)+1,0)</f>
        <v>1.2632539531973328</v>
      </c>
      <c r="U63" s="29">
        <f>VLOOKUP($C63,$D$48:$Z$48,U$20+1,FALSE)*$D$56*$A63/8760/1000*VLOOKUP(RIGHT($D63,LEN($D63)-FIND(" + ",$D63)-2),'HVAC weighting'!$A$13:$E$19,MATCH('SC-NR'!$C63,'HVAC weighting'!$B$3:$E$3,0)+1,0)</f>
        <v>1.2425887361347763</v>
      </c>
      <c r="V63" s="29">
        <f>VLOOKUP($C63,$D$48:$Z$48,V$20+1,FALSE)*$D$56*$A63/8760/1000*VLOOKUP(RIGHT($D63,LEN($D63)-FIND(" + ",$D63)-2),'HVAC weighting'!$A$13:$E$19,MATCH('SC-NR'!$C63,'HVAC weighting'!$B$3:$E$3,0)+1,0)</f>
        <v>1.218846782696603</v>
      </c>
      <c r="W63" s="29">
        <f>VLOOKUP($C63,$D$48:$Z$48,W$20+1,FALSE)*$D$56*$A63/8760/1000*VLOOKUP(RIGHT($D63,LEN($D63)-FIND(" + ",$D63)-2),'HVAC weighting'!$A$13:$E$19,MATCH('SC-NR'!$C63,'HVAC weighting'!$B$3:$E$3,0)+1,0)</f>
        <v>1.1985456817878382</v>
      </c>
      <c r="X63" s="29">
        <f>VLOOKUP($C63,$D$48:$Z$48,X$20+1,FALSE)*$D$56*$A63/8760/1000*VLOOKUP(RIGHT($D63,LEN($D63)-FIND(" + ",$D63)-2),'HVAC weighting'!$A$13:$E$19,MATCH('SC-NR'!$C63,'HVAC weighting'!$B$3:$E$3,0)+1,0)</f>
        <v>1.1784913056718826</v>
      </c>
      <c r="Y63" s="29">
        <f>(VLOOKUP($C63,$D$37:$Z$37,$X$28+2,FALSE)+VLOOKUP($C63,$D$42:$Z$42,$X$28+2,FALSE))*$D$56*$A63/8760/1000*VLOOKUP(RIGHT($D63,LEN($D63)-FIND(" + ",$D63)-2),'HVAC weighting'!$A$13:$E$19,MATCH('SC-NR'!$C63,'HVAC weighting'!$B$3:$E$3,0)+1,0)</f>
        <v>16.143032085581659</v>
      </c>
      <c r="AA63" s="29">
        <f t="shared" si="14"/>
        <v>15.312927375857043</v>
      </c>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row>
    <row r="64" spans="1:80" customForma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row>
    <row r="65" spans="1:29" customFormat="1">
      <c r="A65" s="7"/>
      <c r="B65" s="67">
        <f>SUMPRODUCT(B58:B63,AA58:AA63)/SUM(AA58:AA63)</f>
        <v>735.72968452778628</v>
      </c>
      <c r="C65" s="7"/>
      <c r="D65" s="48"/>
      <c r="E65" s="35">
        <f t="shared" ref="E65:Y65" si="15">SUM(E58:E63)</f>
        <v>0.14165225946042409</v>
      </c>
      <c r="F65" s="35">
        <f t="shared" si="15"/>
        <v>0.31486203303083599</v>
      </c>
      <c r="G65" s="35">
        <f t="shared" si="15"/>
        <v>0.52601653958293393</v>
      </c>
      <c r="H65" s="35">
        <f t="shared" si="15"/>
        <v>0.77021067308852387</v>
      </c>
      <c r="I65" s="35">
        <f t="shared" si="15"/>
        <v>1.0477228836234027</v>
      </c>
      <c r="J65" s="35">
        <f t="shared" si="15"/>
        <v>1.3710922466586768</v>
      </c>
      <c r="K65" s="35">
        <f t="shared" si="15"/>
        <v>1.7245185066531854</v>
      </c>
      <c r="L65" s="35">
        <f t="shared" si="15"/>
        <v>2.0840059137531801</v>
      </c>
      <c r="M65" s="35">
        <f t="shared" si="15"/>
        <v>2.4209600339583282</v>
      </c>
      <c r="N65" s="35">
        <f t="shared" si="15"/>
        <v>2.7085040541797629</v>
      </c>
      <c r="O65" s="35">
        <f t="shared" si="15"/>
        <v>2.9286065715839844</v>
      </c>
      <c r="P65" s="35">
        <f t="shared" si="15"/>
        <v>3.076876203831445</v>
      </c>
      <c r="Q65" s="35">
        <f t="shared" si="15"/>
        <v>3.1623840017245679</v>
      </c>
      <c r="R65" s="35">
        <f t="shared" si="15"/>
        <v>3.2024545819196302</v>
      </c>
      <c r="S65" s="35">
        <f t="shared" si="15"/>
        <v>3.2154090467102323</v>
      </c>
      <c r="T65" s="35">
        <f t="shared" si="15"/>
        <v>3.9353631090494985</v>
      </c>
      <c r="U65" s="35">
        <f t="shared" si="15"/>
        <v>3.8709856078648408</v>
      </c>
      <c r="V65" s="35">
        <f t="shared" si="15"/>
        <v>3.7970232763313625</v>
      </c>
      <c r="W65" s="35">
        <f t="shared" si="15"/>
        <v>3.7337800912320915</v>
      </c>
      <c r="X65" s="35">
        <f t="shared" si="15"/>
        <v>3.6713055177372045</v>
      </c>
      <c r="Y65" s="35">
        <f t="shared" si="15"/>
        <v>50.28972422924739</v>
      </c>
      <c r="Z65" s="35"/>
      <c r="AA65" s="35">
        <f>SUM(E65:X65)</f>
        <v>47.703733151974113</v>
      </c>
      <c r="AB65" s="7"/>
      <c r="AC65" s="29"/>
    </row>
    <row r="66" spans="1:29" customFormat="1">
      <c r="A66" s="7"/>
      <c r="B66" s="7"/>
      <c r="C66" s="7"/>
      <c r="D66" s="7"/>
      <c r="E66" s="35">
        <f>E65</f>
        <v>0.14165225946042409</v>
      </c>
      <c r="F66" s="35">
        <f>F65+E66</f>
        <v>0.45651429249126008</v>
      </c>
      <c r="G66" s="35">
        <f t="shared" ref="G66:X66" si="16">G65+F66</f>
        <v>0.982530832074194</v>
      </c>
      <c r="H66" s="35">
        <f t="shared" si="16"/>
        <v>1.7527415051627178</v>
      </c>
      <c r="I66" s="35">
        <f t="shared" si="16"/>
        <v>2.8004643887861205</v>
      </c>
      <c r="J66" s="35">
        <f t="shared" si="16"/>
        <v>4.171556635444797</v>
      </c>
      <c r="K66" s="35">
        <f t="shared" si="16"/>
        <v>5.8960751420979829</v>
      </c>
      <c r="L66" s="35">
        <f t="shared" si="16"/>
        <v>7.980081055851163</v>
      </c>
      <c r="M66" s="35">
        <f t="shared" si="16"/>
        <v>10.401041089809491</v>
      </c>
      <c r="N66" s="35">
        <f t="shared" si="16"/>
        <v>13.109545143989253</v>
      </c>
      <c r="O66" s="35">
        <f t="shared" si="16"/>
        <v>16.038151715573239</v>
      </c>
      <c r="P66" s="35">
        <f t="shared" si="16"/>
        <v>19.115027919404685</v>
      </c>
      <c r="Q66" s="35">
        <f t="shared" si="16"/>
        <v>22.277411921129254</v>
      </c>
      <c r="R66" s="35">
        <f t="shared" si="16"/>
        <v>25.479866503048882</v>
      </c>
      <c r="S66" s="35">
        <f t="shared" si="16"/>
        <v>28.695275549759113</v>
      </c>
      <c r="T66" s="35">
        <f t="shared" si="16"/>
        <v>32.630638658808614</v>
      </c>
      <c r="U66" s="35">
        <f t="shared" si="16"/>
        <v>36.501624266673453</v>
      </c>
      <c r="V66" s="35">
        <f t="shared" si="16"/>
        <v>40.298647543004819</v>
      </c>
      <c r="W66" s="35">
        <f t="shared" si="16"/>
        <v>44.03242763423691</v>
      </c>
      <c r="X66" s="35">
        <f t="shared" si="16"/>
        <v>47.703733151974113</v>
      </c>
      <c r="Y66" s="7"/>
      <c r="Z66" s="7"/>
      <c r="AA66" s="7"/>
      <c r="AB66" s="7"/>
      <c r="AC66" s="7"/>
    </row>
    <row r="67" spans="1:29" customFormat="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row>
    <row r="68" spans="1:29" customFormat="1" ht="15">
      <c r="A68" s="55" t="s">
        <v>67</v>
      </c>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row>
    <row r="69" spans="1:29" customFormat="1" ht="15">
      <c r="A69" s="7"/>
      <c r="B69" s="7"/>
      <c r="C69" s="7"/>
      <c r="D69" s="7"/>
      <c r="E69" s="58">
        <f t="shared" ref="E69:X69" si="17">E11</f>
        <v>2016</v>
      </c>
      <c r="F69" s="59">
        <f t="shared" si="17"/>
        <v>2017</v>
      </c>
      <c r="G69" s="59">
        <f t="shared" si="17"/>
        <v>2018</v>
      </c>
      <c r="H69" s="59">
        <f t="shared" si="17"/>
        <v>2019</v>
      </c>
      <c r="I69" s="59">
        <f t="shared" si="17"/>
        <v>2020</v>
      </c>
      <c r="J69" s="59">
        <f t="shared" si="17"/>
        <v>2021</v>
      </c>
      <c r="K69" s="59">
        <f t="shared" si="17"/>
        <v>2022</v>
      </c>
      <c r="L69" s="59">
        <f t="shared" si="17"/>
        <v>2023</v>
      </c>
      <c r="M69" s="59">
        <f t="shared" si="17"/>
        <v>2024</v>
      </c>
      <c r="N69" s="59">
        <f t="shared" si="17"/>
        <v>2025</v>
      </c>
      <c r="O69" s="59">
        <f t="shared" si="17"/>
        <v>2026</v>
      </c>
      <c r="P69" s="59">
        <f t="shared" si="17"/>
        <v>2027</v>
      </c>
      <c r="Q69" s="59">
        <f t="shared" si="17"/>
        <v>2028</v>
      </c>
      <c r="R69" s="59">
        <f t="shared" si="17"/>
        <v>2029</v>
      </c>
      <c r="S69" s="59">
        <f t="shared" si="17"/>
        <v>2030</v>
      </c>
      <c r="T69" s="59">
        <f t="shared" si="17"/>
        <v>2031</v>
      </c>
      <c r="U69" s="59">
        <f t="shared" si="17"/>
        <v>2032</v>
      </c>
      <c r="V69" s="59">
        <f t="shared" si="17"/>
        <v>2033</v>
      </c>
      <c r="W69" s="59">
        <f t="shared" si="17"/>
        <v>2034</v>
      </c>
      <c r="X69" s="59">
        <f t="shared" si="17"/>
        <v>2035</v>
      </c>
      <c r="Y69" s="60" t="s">
        <v>60</v>
      </c>
      <c r="Z69" s="7"/>
      <c r="AA69" s="7"/>
      <c r="AB69" s="7"/>
      <c r="AC69" s="7"/>
    </row>
    <row r="70" spans="1:29" customFormat="1" ht="15">
      <c r="A70" s="7"/>
      <c r="B70" s="7"/>
      <c r="C70" s="49" t="s">
        <v>64</v>
      </c>
      <c r="D70" s="49" t="s">
        <v>64</v>
      </c>
      <c r="E70" s="61" t="str">
        <f>CONCATENATE("aMW_",E$11)</f>
        <v>aMW_2016</v>
      </c>
      <c r="F70" s="62" t="str">
        <f t="shared" ref="F70:X70" si="18">CONCATENATE("aMW_",F$11)</f>
        <v>aMW_2017</v>
      </c>
      <c r="G70" s="62" t="str">
        <f t="shared" si="18"/>
        <v>aMW_2018</v>
      </c>
      <c r="H70" s="62" t="str">
        <f t="shared" si="18"/>
        <v>aMW_2019</v>
      </c>
      <c r="I70" s="62" t="str">
        <f t="shared" si="18"/>
        <v>aMW_2020</v>
      </c>
      <c r="J70" s="62" t="str">
        <f t="shared" si="18"/>
        <v>aMW_2021</v>
      </c>
      <c r="K70" s="62" t="str">
        <f t="shared" si="18"/>
        <v>aMW_2022</v>
      </c>
      <c r="L70" s="62" t="str">
        <f t="shared" si="18"/>
        <v>aMW_2023</v>
      </c>
      <c r="M70" s="62" t="str">
        <f t="shared" si="18"/>
        <v>aMW_2024</v>
      </c>
      <c r="N70" s="62" t="str">
        <f t="shared" si="18"/>
        <v>aMW_2025</v>
      </c>
      <c r="O70" s="62" t="str">
        <f t="shared" si="18"/>
        <v>aMW_2026</v>
      </c>
      <c r="P70" s="62" t="str">
        <f t="shared" si="18"/>
        <v>aMW_2027</v>
      </c>
      <c r="Q70" s="62" t="str">
        <f t="shared" si="18"/>
        <v>aMW_2028</v>
      </c>
      <c r="R70" s="62" t="str">
        <f t="shared" si="18"/>
        <v>aMW_2029</v>
      </c>
      <c r="S70" s="62" t="str">
        <f t="shared" si="18"/>
        <v>aMW_2030</v>
      </c>
      <c r="T70" s="62" t="str">
        <f t="shared" si="18"/>
        <v>aMW_2031</v>
      </c>
      <c r="U70" s="62" t="str">
        <f t="shared" si="18"/>
        <v>aMW_2032</v>
      </c>
      <c r="V70" s="62" t="str">
        <f t="shared" si="18"/>
        <v>aMW_2033</v>
      </c>
      <c r="W70" s="62" t="str">
        <f t="shared" si="18"/>
        <v>aMW_2034</v>
      </c>
      <c r="X70" s="62" t="str">
        <f t="shared" si="18"/>
        <v>aMW_2035</v>
      </c>
      <c r="Y70" s="63" t="s">
        <v>60</v>
      </c>
      <c r="Z70" s="7"/>
      <c r="AA70" s="7"/>
      <c r="AB70" s="7"/>
      <c r="AC70" s="7"/>
    </row>
    <row r="71" spans="1:29" customFormat="1">
      <c r="A71" s="7"/>
      <c r="B71" s="7" t="s">
        <v>68</v>
      </c>
      <c r="C71" s="50" t="s">
        <v>69</v>
      </c>
      <c r="D71" s="50" t="s">
        <v>70</v>
      </c>
      <c r="E71" s="35">
        <f>DSUM($B$57:$Y$63,E$57,$C$70:$D71)</f>
        <v>0</v>
      </c>
      <c r="F71" s="35">
        <f>DSUM($B$57:$Y$63,F$57,$C$70:$D71)</f>
        <v>0</v>
      </c>
      <c r="G71" s="35">
        <f>DSUM($B$57:$Y$63,G$57,$C$70:$D71)</f>
        <v>0</v>
      </c>
      <c r="H71" s="35">
        <f>DSUM($B$57:$Y$63,H$57,$C$70:$D71)</f>
        <v>0</v>
      </c>
      <c r="I71" s="35">
        <f>DSUM($B$57:$Y$63,I$57,$C$70:$D71)</f>
        <v>0</v>
      </c>
      <c r="J71" s="35">
        <f>DSUM($B$57:$Y$63,J$57,$C$70:$D71)</f>
        <v>0</v>
      </c>
      <c r="K71" s="35">
        <f>DSUM($B$57:$Y$63,K$57,$C$70:$D71)</f>
        <v>0</v>
      </c>
      <c r="L71" s="35">
        <f>DSUM($B$57:$Y$63,L$57,$C$70:$D71)</f>
        <v>0</v>
      </c>
      <c r="M71" s="35">
        <f>DSUM($B$57:$Y$63,M$57,$C$70:$D71)</f>
        <v>0</v>
      </c>
      <c r="N71" s="35">
        <f>DSUM($B$57:$Y$63,N$57,$C$70:$D71)</f>
        <v>0</v>
      </c>
      <c r="O71" s="35">
        <f>DSUM($B$57:$Y$63,O$57,$C$70:$D71)</f>
        <v>0</v>
      </c>
      <c r="P71" s="35">
        <f>DSUM($B$57:$Y$63,P$57,$C$70:$D71)</f>
        <v>0</v>
      </c>
      <c r="Q71" s="35">
        <f>DSUM($B$57:$Y$63,Q$57,$C$70:$D71)</f>
        <v>0</v>
      </c>
      <c r="R71" s="35">
        <f>DSUM($B$57:$Y$63,R$57,$C$70:$D71)</f>
        <v>0</v>
      </c>
      <c r="S71" s="35">
        <f>DSUM($B$57:$Y$63,S$57,$C$70:$D71)</f>
        <v>0</v>
      </c>
      <c r="T71" s="35">
        <f>DSUM($B$57:$Y$63,T$57,$C$70:$D71)</f>
        <v>0</v>
      </c>
      <c r="U71" s="35">
        <f>DSUM($B$57:$Y$63,U$57,$C$70:$D71)</f>
        <v>0</v>
      </c>
      <c r="V71" s="35">
        <f>DSUM($B$57:$Y$63,V$57,$C$70:$D71)</f>
        <v>0</v>
      </c>
      <c r="W71" s="35">
        <f>DSUM($B$57:$Y$63,W$57,$C$70:$D71)</f>
        <v>0</v>
      </c>
      <c r="X71" s="35">
        <f>DSUM($B$57:$Y$63,X$57,$C$70:$D71)</f>
        <v>0</v>
      </c>
      <c r="Y71" s="35">
        <f>DSUM($B$57:$Y$63,Y$57,$C$70:$D71)</f>
        <v>0</v>
      </c>
      <c r="Z71" s="7"/>
      <c r="AA71" s="7"/>
      <c r="AB71" s="7"/>
      <c r="AC71" s="7"/>
    </row>
    <row r="72" spans="1:29" customFormat="1">
      <c r="A72" s="7"/>
      <c r="B72" s="7" t="s">
        <v>544</v>
      </c>
      <c r="C72" s="50" t="s">
        <v>72</v>
      </c>
      <c r="D72" s="50" t="s">
        <v>73</v>
      </c>
      <c r="E72" s="35">
        <f>DSUM($B$57:$Y$63,E$57,$C$70:$D72)</f>
        <v>0</v>
      </c>
      <c r="F72" s="35">
        <f>DSUM($B$57:$Y$63,F$57,$C$70:$D72)</f>
        <v>0</v>
      </c>
      <c r="G72" s="35">
        <f>DSUM($B$57:$Y$63,G$57,$C$70:$D72)</f>
        <v>0</v>
      </c>
      <c r="H72" s="35">
        <f>DSUM($B$57:$Y$63,H$57,$C$70:$D72)</f>
        <v>0</v>
      </c>
      <c r="I72" s="35">
        <f>DSUM($B$57:$Y$63,I$57,$C$70:$D72)</f>
        <v>0</v>
      </c>
      <c r="J72" s="35">
        <f>DSUM($B$57:$Y$63,J$57,$C$70:$D72)</f>
        <v>0</v>
      </c>
      <c r="K72" s="35">
        <f>DSUM($B$57:$Y$63,K$57,$C$70:$D72)</f>
        <v>0</v>
      </c>
      <c r="L72" s="35">
        <f>DSUM($B$57:$Y$63,L$57,$C$70:$D72)</f>
        <v>0</v>
      </c>
      <c r="M72" s="35">
        <f>DSUM($B$57:$Y$63,M$57,$C$70:$D72)</f>
        <v>0</v>
      </c>
      <c r="N72" s="35">
        <f>DSUM($B$57:$Y$63,N$57,$C$70:$D72)</f>
        <v>0</v>
      </c>
      <c r="O72" s="35">
        <f>DSUM($B$57:$Y$63,O$57,$C$70:$D72)</f>
        <v>0</v>
      </c>
      <c r="P72" s="35">
        <f>DSUM($B$57:$Y$63,P$57,$C$70:$D72)</f>
        <v>0</v>
      </c>
      <c r="Q72" s="35">
        <f>DSUM($B$57:$Y$63,Q$57,$C$70:$D72)</f>
        <v>0</v>
      </c>
      <c r="R72" s="35">
        <f>DSUM($B$57:$Y$63,R$57,$C$70:$D72)</f>
        <v>0</v>
      </c>
      <c r="S72" s="35">
        <f>DSUM($B$57:$Y$63,S$57,$C$70:$D72)</f>
        <v>0</v>
      </c>
      <c r="T72" s="35">
        <f>DSUM($B$57:$Y$63,T$57,$C$70:$D72)</f>
        <v>0</v>
      </c>
      <c r="U72" s="35">
        <f>DSUM($B$57:$Y$63,U$57,$C$70:$D72)</f>
        <v>0</v>
      </c>
      <c r="V72" s="35">
        <f>DSUM($B$57:$Y$63,V$57,$C$70:$D72)</f>
        <v>0</v>
      </c>
      <c r="W72" s="35">
        <f>DSUM($B$57:$Y$63,W$57,$C$70:$D72)</f>
        <v>0</v>
      </c>
      <c r="X72" s="35">
        <f>DSUM($B$57:$Y$63,X$57,$C$70:$D72)</f>
        <v>0</v>
      </c>
      <c r="Y72" s="35">
        <f>DSUM($B$57:$Y$63,Y$57,$C$70:$D72)</f>
        <v>0</v>
      </c>
      <c r="Z72" s="7"/>
      <c r="AA72" s="7"/>
      <c r="AB72" s="7"/>
      <c r="AC72" s="7"/>
    </row>
    <row r="73" spans="1:29" customFormat="1">
      <c r="A73" s="7"/>
      <c r="B73" s="7" t="s">
        <v>74</v>
      </c>
      <c r="C73" s="50" t="s">
        <v>75</v>
      </c>
      <c r="D73" s="50" t="s">
        <v>76</v>
      </c>
      <c r="E73" s="35">
        <f>DSUM($B$57:$Y$63,E$57,$C$70:$D73)</f>
        <v>0</v>
      </c>
      <c r="F73" s="35">
        <f>DSUM($B$57:$Y$63,F$57,$C$70:$D73)</f>
        <v>0</v>
      </c>
      <c r="G73" s="35">
        <f>DSUM($B$57:$Y$63,G$57,$C$70:$D73)</f>
        <v>0</v>
      </c>
      <c r="H73" s="35">
        <f>DSUM($B$57:$Y$63,H$57,$C$70:$D73)</f>
        <v>0</v>
      </c>
      <c r="I73" s="35">
        <f>DSUM($B$57:$Y$63,I$57,$C$70:$D73)</f>
        <v>0</v>
      </c>
      <c r="J73" s="35">
        <f>DSUM($B$57:$Y$63,J$57,$C$70:$D73)</f>
        <v>0</v>
      </c>
      <c r="K73" s="35">
        <f>DSUM($B$57:$Y$63,K$57,$C$70:$D73)</f>
        <v>0</v>
      </c>
      <c r="L73" s="35">
        <f>DSUM($B$57:$Y$63,L$57,$C$70:$D73)</f>
        <v>0</v>
      </c>
      <c r="M73" s="35">
        <f>DSUM($B$57:$Y$63,M$57,$C$70:$D73)</f>
        <v>0</v>
      </c>
      <c r="N73" s="35">
        <f>DSUM($B$57:$Y$63,N$57,$C$70:$D73)</f>
        <v>0</v>
      </c>
      <c r="O73" s="35">
        <f>DSUM($B$57:$Y$63,O$57,$C$70:$D73)</f>
        <v>0</v>
      </c>
      <c r="P73" s="35">
        <f>DSUM($B$57:$Y$63,P$57,$C$70:$D73)</f>
        <v>0</v>
      </c>
      <c r="Q73" s="35">
        <f>DSUM($B$57:$Y$63,Q$57,$C$70:$D73)</f>
        <v>0</v>
      </c>
      <c r="R73" s="35">
        <f>DSUM($B$57:$Y$63,R$57,$C$70:$D73)</f>
        <v>0</v>
      </c>
      <c r="S73" s="35">
        <f>DSUM($B$57:$Y$63,S$57,$C$70:$D73)</f>
        <v>0</v>
      </c>
      <c r="T73" s="35">
        <f>DSUM($B$57:$Y$63,T$57,$C$70:$D73)</f>
        <v>0</v>
      </c>
      <c r="U73" s="35">
        <f>DSUM($B$57:$Y$63,U$57,$C$70:$D73)</f>
        <v>0</v>
      </c>
      <c r="V73" s="35">
        <f>DSUM($B$57:$Y$63,V$57,$C$70:$D73)</f>
        <v>0</v>
      </c>
      <c r="W73" s="35">
        <f>DSUM($B$57:$Y$63,W$57,$C$70:$D73)</f>
        <v>0</v>
      </c>
      <c r="X73" s="35">
        <f>DSUM($B$57:$Y$63,X$57,$C$70:$D73)</f>
        <v>0</v>
      </c>
      <c r="Y73" s="35">
        <f>DSUM($B$57:$Y$63,Y$57,$C$70:$D73)</f>
        <v>0</v>
      </c>
      <c r="Z73" s="7"/>
      <c r="AA73" s="7"/>
      <c r="AB73" s="7"/>
      <c r="AC73" s="7"/>
    </row>
    <row r="74" spans="1:29" customFormat="1">
      <c r="A74" s="7"/>
      <c r="B74" s="7" t="s">
        <v>77</v>
      </c>
      <c r="C74" s="50" t="s">
        <v>78</v>
      </c>
      <c r="D74" s="50" t="s">
        <v>79</v>
      </c>
      <c r="E74" s="35">
        <f>DSUM($B$57:$Y$63,E$57,$C$70:$D74)</f>
        <v>0</v>
      </c>
      <c r="F74" s="35">
        <f>DSUM($B$57:$Y$63,F$57,$C$70:$D74)</f>
        <v>0</v>
      </c>
      <c r="G74" s="35">
        <f>DSUM($B$57:$Y$63,G$57,$C$70:$D74)</f>
        <v>0</v>
      </c>
      <c r="H74" s="35">
        <f>DSUM($B$57:$Y$63,H$57,$C$70:$D74)</f>
        <v>0</v>
      </c>
      <c r="I74" s="35">
        <f>DSUM($B$57:$Y$63,I$57,$C$70:$D74)</f>
        <v>0</v>
      </c>
      <c r="J74" s="35">
        <f>DSUM($B$57:$Y$63,J$57,$C$70:$D74)</f>
        <v>0</v>
      </c>
      <c r="K74" s="35">
        <f>DSUM($B$57:$Y$63,K$57,$C$70:$D74)</f>
        <v>0</v>
      </c>
      <c r="L74" s="35">
        <f>DSUM($B$57:$Y$63,L$57,$C$70:$D74)</f>
        <v>0</v>
      </c>
      <c r="M74" s="35">
        <f>DSUM($B$57:$Y$63,M$57,$C$70:$D74)</f>
        <v>0</v>
      </c>
      <c r="N74" s="35">
        <f>DSUM($B$57:$Y$63,N$57,$C$70:$D74)</f>
        <v>0</v>
      </c>
      <c r="O74" s="35">
        <f>DSUM($B$57:$Y$63,O$57,$C$70:$D74)</f>
        <v>0</v>
      </c>
      <c r="P74" s="35">
        <f>DSUM($B$57:$Y$63,P$57,$C$70:$D74)</f>
        <v>0</v>
      </c>
      <c r="Q74" s="35">
        <f>DSUM($B$57:$Y$63,Q$57,$C$70:$D74)</f>
        <v>0</v>
      </c>
      <c r="R74" s="35">
        <f>DSUM($B$57:$Y$63,R$57,$C$70:$D74)</f>
        <v>0</v>
      </c>
      <c r="S74" s="35">
        <f>DSUM($B$57:$Y$63,S$57,$C$70:$D74)</f>
        <v>0</v>
      </c>
      <c r="T74" s="35">
        <f>DSUM($B$57:$Y$63,T$57,$C$70:$D74)</f>
        <v>0</v>
      </c>
      <c r="U74" s="35">
        <f>DSUM($B$57:$Y$63,U$57,$C$70:$D74)</f>
        <v>0</v>
      </c>
      <c r="V74" s="35">
        <f>DSUM($B$57:$Y$63,V$57,$C$70:$D74)</f>
        <v>0</v>
      </c>
      <c r="W74" s="35">
        <f>DSUM($B$57:$Y$63,W$57,$C$70:$D74)</f>
        <v>0</v>
      </c>
      <c r="X74" s="35">
        <f>DSUM($B$57:$Y$63,X$57,$C$70:$D74)</f>
        <v>0</v>
      </c>
      <c r="Y74" s="35">
        <f>DSUM($B$57:$Y$63,Y$57,$C$70:$D74)</f>
        <v>0</v>
      </c>
      <c r="Z74" s="7"/>
      <c r="AA74" s="7"/>
      <c r="AB74" s="7"/>
      <c r="AC74" s="7"/>
    </row>
    <row r="75" spans="1:29" customFormat="1">
      <c r="A75" s="7"/>
      <c r="B75" s="7" t="s">
        <v>80</v>
      </c>
      <c r="C75" s="50" t="s">
        <v>81</v>
      </c>
      <c r="D75" s="50" t="s">
        <v>82</v>
      </c>
      <c r="E75" s="35">
        <f>DSUM($B$57:$Y$63,E$57,$C$70:$D75)</f>
        <v>0</v>
      </c>
      <c r="F75" s="35">
        <f>DSUM($B$57:$Y$63,F$57,$C$70:$D75)</f>
        <v>0</v>
      </c>
      <c r="G75" s="35">
        <f>DSUM($B$57:$Y$63,G$57,$C$70:$D75)</f>
        <v>0</v>
      </c>
      <c r="H75" s="35">
        <f>DSUM($B$57:$Y$63,H$57,$C$70:$D75)</f>
        <v>0</v>
      </c>
      <c r="I75" s="35">
        <f>DSUM($B$57:$Y$63,I$57,$C$70:$D75)</f>
        <v>0</v>
      </c>
      <c r="J75" s="35">
        <f>DSUM($B$57:$Y$63,J$57,$C$70:$D75)</f>
        <v>0</v>
      </c>
      <c r="K75" s="35">
        <f>DSUM($B$57:$Y$63,K$57,$C$70:$D75)</f>
        <v>0</v>
      </c>
      <c r="L75" s="35">
        <f>DSUM($B$57:$Y$63,L$57,$C$70:$D75)</f>
        <v>0</v>
      </c>
      <c r="M75" s="35">
        <f>DSUM($B$57:$Y$63,M$57,$C$70:$D75)</f>
        <v>0</v>
      </c>
      <c r="N75" s="35">
        <f>DSUM($B$57:$Y$63,N$57,$C$70:$D75)</f>
        <v>0</v>
      </c>
      <c r="O75" s="35">
        <f>DSUM($B$57:$Y$63,O$57,$C$70:$D75)</f>
        <v>0</v>
      </c>
      <c r="P75" s="35">
        <f>DSUM($B$57:$Y$63,P$57,$C$70:$D75)</f>
        <v>0</v>
      </c>
      <c r="Q75" s="35">
        <f>DSUM($B$57:$Y$63,Q$57,$C$70:$D75)</f>
        <v>0</v>
      </c>
      <c r="R75" s="35">
        <f>DSUM($B$57:$Y$63,R$57,$C$70:$D75)</f>
        <v>0</v>
      </c>
      <c r="S75" s="35">
        <f>DSUM($B$57:$Y$63,S$57,$C$70:$D75)</f>
        <v>0</v>
      </c>
      <c r="T75" s="35">
        <f>DSUM($B$57:$Y$63,T$57,$C$70:$D75)</f>
        <v>0</v>
      </c>
      <c r="U75" s="35">
        <f>DSUM($B$57:$Y$63,U$57,$C$70:$D75)</f>
        <v>0</v>
      </c>
      <c r="V75" s="35">
        <f>DSUM($B$57:$Y$63,V$57,$C$70:$D75)</f>
        <v>0</v>
      </c>
      <c r="W75" s="35">
        <f>DSUM($B$57:$Y$63,W$57,$C$70:$D75)</f>
        <v>0</v>
      </c>
      <c r="X75" s="35">
        <f>DSUM($B$57:$Y$63,X$57,$C$70:$D75)</f>
        <v>0</v>
      </c>
      <c r="Y75" s="35">
        <f>DSUM($B$57:$Y$63,Y$57,$C$70:$D75)</f>
        <v>0</v>
      </c>
      <c r="Z75" s="7"/>
      <c r="AA75" s="7"/>
      <c r="AB75" s="7"/>
      <c r="AC75" s="7"/>
    </row>
    <row r="76" spans="1:29" customFormat="1">
      <c r="A76" s="7"/>
      <c r="B76" s="7" t="s">
        <v>83</v>
      </c>
      <c r="C76" s="50" t="s">
        <v>84</v>
      </c>
      <c r="D76" s="50" t="s">
        <v>85</v>
      </c>
      <c r="E76" s="35">
        <f>DSUM($B$57:$Y$63,E$57,$C$70:$D76)</f>
        <v>1.4736942487670303E-2</v>
      </c>
      <c r="F76" s="35">
        <f>DSUM($B$57:$Y$63,F$57,$C$70:$D76)</f>
        <v>3.2757004300540404E-2</v>
      </c>
      <c r="G76" s="35">
        <f>DSUM($B$57:$Y$63,G$57,$C$70:$D76)</f>
        <v>5.4724686502885075E-2</v>
      </c>
      <c r="H76" s="35">
        <f>DSUM($B$57:$Y$63,H$57,$C$70:$D76)</f>
        <v>8.0129681206155517E-2</v>
      </c>
      <c r="I76" s="35">
        <f>DSUM($B$57:$Y$63,I$57,$C$70:$D76)</f>
        <v>0.10900095725820726</v>
      </c>
      <c r="J76" s="35">
        <f>DSUM($B$57:$Y$63,J$57,$C$70:$D76)</f>
        <v>0.14264303062490022</v>
      </c>
      <c r="K76" s="35">
        <f>DSUM($B$57:$Y$63,K$57,$C$70:$D76)</f>
        <v>0.17941210502591004</v>
      </c>
      <c r="L76" s="35">
        <f>DSUM($B$57:$Y$63,L$57,$C$70:$D76)</f>
        <v>0.21681175727045807</v>
      </c>
      <c r="M76" s="35">
        <f>DSUM($B$57:$Y$63,M$57,$C$70:$D76)</f>
        <v>0.25186713520344584</v>
      </c>
      <c r="N76" s="35">
        <f>DSUM($B$57:$Y$63,N$57,$C$70:$D76)</f>
        <v>0.28178208117619757</v>
      </c>
      <c r="O76" s="35">
        <f>DSUM($B$57:$Y$63,O$57,$C$70:$D76)</f>
        <v>0.30468067914232244</v>
      </c>
      <c r="P76" s="35">
        <f>DSUM($B$57:$Y$63,P$57,$C$70:$D76)</f>
        <v>0.32010606700003835</v>
      </c>
      <c r="Q76" s="35">
        <f>DSUM($B$57:$Y$63,Q$57,$C$70:$D76)</f>
        <v>0.32900196110436331</v>
      </c>
      <c r="R76" s="35">
        <f>DSUM($B$57:$Y$63,R$57,$C$70:$D76)</f>
        <v>0.33317074625492549</v>
      </c>
      <c r="S76" s="35">
        <f>DSUM($B$57:$Y$63,S$57,$C$70:$D76)</f>
        <v>0.33451847768755405</v>
      </c>
      <c r="T76" s="35">
        <f>DSUM($B$57:$Y$63,T$57,$C$70:$D76)</f>
        <v>0.40941965929152724</v>
      </c>
      <c r="U76" s="35">
        <f>DSUM($B$57:$Y$63,U$57,$C$70:$D76)</f>
        <v>0.4027220779322741</v>
      </c>
      <c r="V76" s="35">
        <f>DSUM($B$57:$Y$63,V$57,$C$70:$D76)</f>
        <v>0.39502732862001622</v>
      </c>
      <c r="W76" s="35">
        <f>DSUM($B$57:$Y$63,W$57,$C$70:$D76)</f>
        <v>0.38844775703326406</v>
      </c>
      <c r="X76" s="35">
        <f>DSUM($B$57:$Y$63,X$57,$C$70:$D76)</f>
        <v>0.3819481487669158</v>
      </c>
      <c r="Y76" s="35">
        <f>DSUM($B$57:$Y$63,Y$57,$C$70:$D76)</f>
        <v>5.2319445980618298</v>
      </c>
      <c r="Z76" s="7"/>
      <c r="AA76" s="7"/>
      <c r="AB76" s="7"/>
      <c r="AC76" s="7"/>
    </row>
    <row r="77" spans="1:29" customFormat="1">
      <c r="A77" s="7"/>
      <c r="B77" s="7" t="s">
        <v>86</v>
      </c>
      <c r="C77" s="50" t="s">
        <v>87</v>
      </c>
      <c r="D77" s="50" t="s">
        <v>88</v>
      </c>
      <c r="E77" s="35">
        <f>DSUM($B$57:$Y$63,E$57,$C$70:$D77)</f>
        <v>1.4736942487670303E-2</v>
      </c>
      <c r="F77" s="35">
        <f>DSUM($B$57:$Y$63,F$57,$C$70:$D77)</f>
        <v>3.2757004300540404E-2</v>
      </c>
      <c r="G77" s="35">
        <f>DSUM($B$57:$Y$63,G$57,$C$70:$D77)</f>
        <v>5.4724686502885075E-2</v>
      </c>
      <c r="H77" s="35">
        <f>DSUM($B$57:$Y$63,H$57,$C$70:$D77)</f>
        <v>8.0129681206155517E-2</v>
      </c>
      <c r="I77" s="35">
        <f>DSUM($B$57:$Y$63,I$57,$C$70:$D77)</f>
        <v>0.10900095725820726</v>
      </c>
      <c r="J77" s="35">
        <f>DSUM($B$57:$Y$63,J$57,$C$70:$D77)</f>
        <v>0.14264303062490022</v>
      </c>
      <c r="K77" s="35">
        <f>DSUM($B$57:$Y$63,K$57,$C$70:$D77)</f>
        <v>0.17941210502591004</v>
      </c>
      <c r="L77" s="35">
        <f>DSUM($B$57:$Y$63,L$57,$C$70:$D77)</f>
        <v>0.21681175727045807</v>
      </c>
      <c r="M77" s="35">
        <f>DSUM($B$57:$Y$63,M$57,$C$70:$D77)</f>
        <v>0.25186713520344584</v>
      </c>
      <c r="N77" s="35">
        <f>DSUM($B$57:$Y$63,N$57,$C$70:$D77)</f>
        <v>0.28178208117619757</v>
      </c>
      <c r="O77" s="35">
        <f>DSUM($B$57:$Y$63,O$57,$C$70:$D77)</f>
        <v>0.30468067914232244</v>
      </c>
      <c r="P77" s="35">
        <f>DSUM($B$57:$Y$63,P$57,$C$70:$D77)</f>
        <v>0.32010606700003835</v>
      </c>
      <c r="Q77" s="35">
        <f>DSUM($B$57:$Y$63,Q$57,$C$70:$D77)</f>
        <v>0.32900196110436331</v>
      </c>
      <c r="R77" s="35">
        <f>DSUM($B$57:$Y$63,R$57,$C$70:$D77)</f>
        <v>0.33317074625492549</v>
      </c>
      <c r="S77" s="35">
        <f>DSUM($B$57:$Y$63,S$57,$C$70:$D77)</f>
        <v>0.33451847768755405</v>
      </c>
      <c r="T77" s="35">
        <f>DSUM($B$57:$Y$63,T$57,$C$70:$D77)</f>
        <v>0.40941965929152724</v>
      </c>
      <c r="U77" s="35">
        <f>DSUM($B$57:$Y$63,U$57,$C$70:$D77)</f>
        <v>0.4027220779322741</v>
      </c>
      <c r="V77" s="35">
        <f>DSUM($B$57:$Y$63,V$57,$C$70:$D77)</f>
        <v>0.39502732862001622</v>
      </c>
      <c r="W77" s="35">
        <f>DSUM($B$57:$Y$63,W$57,$C$70:$D77)</f>
        <v>0.38844775703326406</v>
      </c>
      <c r="X77" s="35">
        <f>DSUM($B$57:$Y$63,X$57,$C$70:$D77)</f>
        <v>0.3819481487669158</v>
      </c>
      <c r="Y77" s="35">
        <f>DSUM($B$57:$Y$63,Y$57,$C$70:$D77)</f>
        <v>5.2319445980618298</v>
      </c>
      <c r="Z77" s="7"/>
      <c r="AA77" s="7"/>
      <c r="AB77" s="7"/>
      <c r="AC77" s="7"/>
    </row>
    <row r="78" spans="1:29" customFormat="1">
      <c r="A78" s="7"/>
      <c r="B78" s="7" t="s">
        <v>89</v>
      </c>
      <c r="C78" s="50" t="s">
        <v>90</v>
      </c>
      <c r="D78" s="50" t="s">
        <v>91</v>
      </c>
      <c r="E78" s="35">
        <f>DSUM($B$57:$Y$63,E$57,$C$70:$D78)</f>
        <v>1.4736942487670303E-2</v>
      </c>
      <c r="F78" s="35">
        <f>DSUM($B$57:$Y$63,F$57,$C$70:$D78)</f>
        <v>3.2757004300540404E-2</v>
      </c>
      <c r="G78" s="35">
        <f>DSUM($B$57:$Y$63,G$57,$C$70:$D78)</f>
        <v>5.4724686502885075E-2</v>
      </c>
      <c r="H78" s="35">
        <f>DSUM($B$57:$Y$63,H$57,$C$70:$D78)</f>
        <v>8.0129681206155517E-2</v>
      </c>
      <c r="I78" s="35">
        <f>DSUM($B$57:$Y$63,I$57,$C$70:$D78)</f>
        <v>0.10900095725820726</v>
      </c>
      <c r="J78" s="35">
        <f>DSUM($B$57:$Y$63,J$57,$C$70:$D78)</f>
        <v>0.14264303062490022</v>
      </c>
      <c r="K78" s="35">
        <f>DSUM($B$57:$Y$63,K$57,$C$70:$D78)</f>
        <v>0.17941210502591004</v>
      </c>
      <c r="L78" s="35">
        <f>DSUM($B$57:$Y$63,L$57,$C$70:$D78)</f>
        <v>0.21681175727045807</v>
      </c>
      <c r="M78" s="35">
        <f>DSUM($B$57:$Y$63,M$57,$C$70:$D78)</f>
        <v>0.25186713520344584</v>
      </c>
      <c r="N78" s="35">
        <f>DSUM($B$57:$Y$63,N$57,$C$70:$D78)</f>
        <v>0.28178208117619757</v>
      </c>
      <c r="O78" s="35">
        <f>DSUM($B$57:$Y$63,O$57,$C$70:$D78)</f>
        <v>0.30468067914232244</v>
      </c>
      <c r="P78" s="35">
        <f>DSUM($B$57:$Y$63,P$57,$C$70:$D78)</f>
        <v>0.32010606700003835</v>
      </c>
      <c r="Q78" s="35">
        <f>DSUM($B$57:$Y$63,Q$57,$C$70:$D78)</f>
        <v>0.32900196110436331</v>
      </c>
      <c r="R78" s="35">
        <f>DSUM($B$57:$Y$63,R$57,$C$70:$D78)</f>
        <v>0.33317074625492549</v>
      </c>
      <c r="S78" s="35">
        <f>DSUM($B$57:$Y$63,S$57,$C$70:$D78)</f>
        <v>0.33451847768755405</v>
      </c>
      <c r="T78" s="35">
        <f>DSUM($B$57:$Y$63,T$57,$C$70:$D78)</f>
        <v>0.40941965929152724</v>
      </c>
      <c r="U78" s="35">
        <f>DSUM($B$57:$Y$63,U$57,$C$70:$D78)</f>
        <v>0.4027220779322741</v>
      </c>
      <c r="V78" s="35">
        <f>DSUM($B$57:$Y$63,V$57,$C$70:$D78)</f>
        <v>0.39502732862001622</v>
      </c>
      <c r="W78" s="35">
        <f>DSUM($B$57:$Y$63,W$57,$C$70:$D78)</f>
        <v>0.38844775703326406</v>
      </c>
      <c r="X78" s="35">
        <f>DSUM($B$57:$Y$63,X$57,$C$70:$D78)</f>
        <v>0.3819481487669158</v>
      </c>
      <c r="Y78" s="35">
        <f>DSUM($B$57:$Y$63,Y$57,$C$70:$D78)</f>
        <v>5.2319445980618298</v>
      </c>
      <c r="Z78" s="7"/>
      <c r="AA78" s="7"/>
      <c r="AB78" s="7"/>
      <c r="AC78" s="7"/>
    </row>
    <row r="79" spans="1:29" customFormat="1">
      <c r="A79" s="7"/>
      <c r="B79" s="7" t="s">
        <v>92</v>
      </c>
      <c r="C79" s="50" t="s">
        <v>93</v>
      </c>
      <c r="D79" s="50" t="s">
        <v>94</v>
      </c>
      <c r="E79" s="35">
        <f>DSUM($B$57:$Y$63,E$57,$C$70:$D79)</f>
        <v>1.6770996029083704E-2</v>
      </c>
      <c r="F79" s="35">
        <f>DSUM($B$57:$Y$63,F$57,$C$70:$D79)</f>
        <v>3.7278261044220717E-2</v>
      </c>
      <c r="G79" s="35">
        <f>DSUM($B$57:$Y$63,G$57,$C$70:$D79)</f>
        <v>6.2278013285361283E-2</v>
      </c>
      <c r="H79" s="35">
        <f>DSUM($B$57:$Y$63,H$57,$C$70:$D79)</f>
        <v>9.1189510065911999E-2</v>
      </c>
      <c r="I79" s="35">
        <f>DSUM($B$57:$Y$63,I$57,$C$70:$D79)</f>
        <v>0.12404571863350641</v>
      </c>
      <c r="J79" s="35">
        <f>DSUM($B$57:$Y$63,J$57,$C$70:$D79)</f>
        <v>0.16233120962425968</v>
      </c>
      <c r="K79" s="35">
        <f>DSUM($B$57:$Y$63,K$57,$C$70:$D79)</f>
        <v>0.20417530322022398</v>
      </c>
      <c r="L79" s="35">
        <f>DSUM($B$57:$Y$63,L$57,$C$70:$D79)</f>
        <v>0.24673700961265913</v>
      </c>
      <c r="M79" s="35">
        <f>DSUM($B$57:$Y$63,M$57,$C$70:$D79)</f>
        <v>0.28663087529097375</v>
      </c>
      <c r="N79" s="35">
        <f>DSUM($B$57:$Y$63,N$57,$C$70:$D79)</f>
        <v>0.32067480540327647</v>
      </c>
      <c r="O79" s="35">
        <f>DSUM($B$57:$Y$63,O$57,$C$70:$D79)</f>
        <v>0.34673396223874392</v>
      </c>
      <c r="P79" s="35">
        <f>DSUM($B$57:$Y$63,P$57,$C$70:$D79)</f>
        <v>0.36428842570531922</v>
      </c>
      <c r="Q79" s="35">
        <f>DSUM($B$57:$Y$63,Q$57,$C$70:$D79)</f>
        <v>0.37441216777892816</v>
      </c>
      <c r="R79" s="35">
        <f>DSUM($B$57:$Y$63,R$57,$C$70:$D79)</f>
        <v>0.3791563458378896</v>
      </c>
      <c r="S79" s="35">
        <f>DSUM($B$57:$Y$63,S$57,$C$70:$D79)</f>
        <v>0.38069009671761211</v>
      </c>
      <c r="T79" s="35">
        <f>DSUM($B$57:$Y$63,T$57,$C$70:$D79)</f>
        <v>0.46592944811664805</v>
      </c>
      <c r="U79" s="35">
        <f>DSUM($B$57:$Y$63,U$57,$C$70:$D79)</f>
        <v>0.45830743897367443</v>
      </c>
      <c r="V79" s="35">
        <f>DSUM($B$57:$Y$63,V$57,$C$70:$D79)</f>
        <v>0.44955062864692991</v>
      </c>
      <c r="W79" s="35">
        <f>DSUM($B$57:$Y$63,W$57,$C$70:$D79)</f>
        <v>0.44206291747164278</v>
      </c>
      <c r="X79" s="35">
        <f>DSUM($B$57:$Y$63,X$57,$C$70:$D79)</f>
        <v>0.43466620648381571</v>
      </c>
      <c r="Y79" s="35">
        <f>DSUM($B$57:$Y$63,Y$57,$C$70:$D79)</f>
        <v>5.9540791552856289</v>
      </c>
      <c r="Z79" s="7"/>
      <c r="AA79" s="7"/>
      <c r="AB79" s="7"/>
      <c r="AC79" s="7"/>
    </row>
    <row r="80" spans="1:29" customFormat="1">
      <c r="A80" s="7"/>
      <c r="B80" s="7" t="s">
        <v>95</v>
      </c>
      <c r="C80" s="50" t="s">
        <v>96</v>
      </c>
      <c r="D80" s="50" t="s">
        <v>97</v>
      </c>
      <c r="E80" s="35">
        <f>DSUM($B$57:$Y$63,E$57,$C$70:$D80)</f>
        <v>1.6770996029083704E-2</v>
      </c>
      <c r="F80" s="35">
        <f>DSUM($B$57:$Y$63,F$57,$C$70:$D80)</f>
        <v>3.7278261044220717E-2</v>
      </c>
      <c r="G80" s="35">
        <f>DSUM($B$57:$Y$63,G$57,$C$70:$D80)</f>
        <v>6.2278013285361283E-2</v>
      </c>
      <c r="H80" s="35">
        <f>DSUM($B$57:$Y$63,H$57,$C$70:$D80)</f>
        <v>9.1189510065911999E-2</v>
      </c>
      <c r="I80" s="35">
        <f>DSUM($B$57:$Y$63,I$57,$C$70:$D80)</f>
        <v>0.12404571863350641</v>
      </c>
      <c r="J80" s="35">
        <f>DSUM($B$57:$Y$63,J$57,$C$70:$D80)</f>
        <v>0.16233120962425968</v>
      </c>
      <c r="K80" s="35">
        <f>DSUM($B$57:$Y$63,K$57,$C$70:$D80)</f>
        <v>0.20417530322022398</v>
      </c>
      <c r="L80" s="35">
        <f>DSUM($B$57:$Y$63,L$57,$C$70:$D80)</f>
        <v>0.24673700961265913</v>
      </c>
      <c r="M80" s="35">
        <f>DSUM($B$57:$Y$63,M$57,$C$70:$D80)</f>
        <v>0.28663087529097375</v>
      </c>
      <c r="N80" s="35">
        <f>DSUM($B$57:$Y$63,N$57,$C$70:$D80)</f>
        <v>0.32067480540327647</v>
      </c>
      <c r="O80" s="35">
        <f>DSUM($B$57:$Y$63,O$57,$C$70:$D80)</f>
        <v>0.34673396223874392</v>
      </c>
      <c r="P80" s="35">
        <f>DSUM($B$57:$Y$63,P$57,$C$70:$D80)</f>
        <v>0.36428842570531922</v>
      </c>
      <c r="Q80" s="35">
        <f>DSUM($B$57:$Y$63,Q$57,$C$70:$D80)</f>
        <v>0.37441216777892816</v>
      </c>
      <c r="R80" s="35">
        <f>DSUM($B$57:$Y$63,R$57,$C$70:$D80)</f>
        <v>0.3791563458378896</v>
      </c>
      <c r="S80" s="35">
        <f>DSUM($B$57:$Y$63,S$57,$C$70:$D80)</f>
        <v>0.38069009671761211</v>
      </c>
      <c r="T80" s="35">
        <f>DSUM($B$57:$Y$63,T$57,$C$70:$D80)</f>
        <v>0.46592944811664805</v>
      </c>
      <c r="U80" s="35">
        <f>DSUM($B$57:$Y$63,U$57,$C$70:$D80)</f>
        <v>0.45830743897367443</v>
      </c>
      <c r="V80" s="35">
        <f>DSUM($B$57:$Y$63,V$57,$C$70:$D80)</f>
        <v>0.44955062864692991</v>
      </c>
      <c r="W80" s="35">
        <f>DSUM($B$57:$Y$63,W$57,$C$70:$D80)</f>
        <v>0.44206291747164278</v>
      </c>
      <c r="X80" s="35">
        <f>DSUM($B$57:$Y$63,X$57,$C$70:$D80)</f>
        <v>0.43466620648381571</v>
      </c>
      <c r="Y80" s="35">
        <f>DSUM($B$57:$Y$63,Y$57,$C$70:$D80)</f>
        <v>5.9540791552856289</v>
      </c>
      <c r="Z80" s="7"/>
      <c r="AA80" s="7"/>
      <c r="AB80" s="7"/>
      <c r="AC80" s="7"/>
    </row>
    <row r="81" spans="1:29" customFormat="1">
      <c r="A81" s="7"/>
      <c r="B81" s="7" t="s">
        <v>98</v>
      </c>
      <c r="C81" s="50" t="s">
        <v>99</v>
      </c>
      <c r="D81" s="50" t="s">
        <v>100</v>
      </c>
      <c r="E81" s="35">
        <f>DSUM($B$57:$Y$63,E$57,$C$70:$D81)</f>
        <v>1.6770996029083704E-2</v>
      </c>
      <c r="F81" s="35">
        <f>DSUM($B$57:$Y$63,F$57,$C$70:$D81)</f>
        <v>3.7278261044220717E-2</v>
      </c>
      <c r="G81" s="35">
        <f>DSUM($B$57:$Y$63,G$57,$C$70:$D81)</f>
        <v>6.2278013285361283E-2</v>
      </c>
      <c r="H81" s="35">
        <f>DSUM($B$57:$Y$63,H$57,$C$70:$D81)</f>
        <v>9.1189510065911999E-2</v>
      </c>
      <c r="I81" s="35">
        <f>DSUM($B$57:$Y$63,I$57,$C$70:$D81)</f>
        <v>0.12404571863350641</v>
      </c>
      <c r="J81" s="35">
        <f>DSUM($B$57:$Y$63,J$57,$C$70:$D81)</f>
        <v>0.16233120962425968</v>
      </c>
      <c r="K81" s="35">
        <f>DSUM($B$57:$Y$63,K$57,$C$70:$D81)</f>
        <v>0.20417530322022398</v>
      </c>
      <c r="L81" s="35">
        <f>DSUM($B$57:$Y$63,L$57,$C$70:$D81)</f>
        <v>0.24673700961265913</v>
      </c>
      <c r="M81" s="35">
        <f>DSUM($B$57:$Y$63,M$57,$C$70:$D81)</f>
        <v>0.28663087529097375</v>
      </c>
      <c r="N81" s="35">
        <f>DSUM($B$57:$Y$63,N$57,$C$70:$D81)</f>
        <v>0.32067480540327647</v>
      </c>
      <c r="O81" s="35">
        <f>DSUM($B$57:$Y$63,O$57,$C$70:$D81)</f>
        <v>0.34673396223874392</v>
      </c>
      <c r="P81" s="35">
        <f>DSUM($B$57:$Y$63,P$57,$C$70:$D81)</f>
        <v>0.36428842570531922</v>
      </c>
      <c r="Q81" s="35">
        <f>DSUM($B$57:$Y$63,Q$57,$C$70:$D81)</f>
        <v>0.37441216777892816</v>
      </c>
      <c r="R81" s="35">
        <f>DSUM($B$57:$Y$63,R$57,$C$70:$D81)</f>
        <v>0.3791563458378896</v>
      </c>
      <c r="S81" s="35">
        <f>DSUM($B$57:$Y$63,S$57,$C$70:$D81)</f>
        <v>0.38069009671761211</v>
      </c>
      <c r="T81" s="35">
        <f>DSUM($B$57:$Y$63,T$57,$C$70:$D81)</f>
        <v>0.46592944811664805</v>
      </c>
      <c r="U81" s="35">
        <f>DSUM($B$57:$Y$63,U$57,$C$70:$D81)</f>
        <v>0.45830743897367443</v>
      </c>
      <c r="V81" s="35">
        <f>DSUM($B$57:$Y$63,V$57,$C$70:$D81)</f>
        <v>0.44955062864692991</v>
      </c>
      <c r="W81" s="35">
        <f>DSUM($B$57:$Y$63,W$57,$C$70:$D81)</f>
        <v>0.44206291747164278</v>
      </c>
      <c r="X81" s="35">
        <f>DSUM($B$57:$Y$63,X$57,$C$70:$D81)</f>
        <v>0.43466620648381571</v>
      </c>
      <c r="Y81" s="35">
        <f>DSUM($B$57:$Y$63,Y$57,$C$70:$D81)</f>
        <v>5.9540791552856289</v>
      </c>
      <c r="Z81" s="7"/>
      <c r="AA81" s="7"/>
      <c r="AB81" s="7"/>
      <c r="AC81" s="7"/>
    </row>
    <row r="82" spans="1:29" customFormat="1">
      <c r="A82" s="7"/>
      <c r="B82" s="7" t="s">
        <v>101</v>
      </c>
      <c r="C82" s="50" t="s">
        <v>102</v>
      </c>
      <c r="D82" s="50" t="s">
        <v>103</v>
      </c>
      <c r="E82" s="35">
        <f>DSUM($B$57:$Y$63,E$57,$C$70:$D82)</f>
        <v>1.6770996029083704E-2</v>
      </c>
      <c r="F82" s="35">
        <f>DSUM($B$57:$Y$63,F$57,$C$70:$D82)</f>
        <v>3.7278261044220717E-2</v>
      </c>
      <c r="G82" s="35">
        <f>DSUM($B$57:$Y$63,G$57,$C$70:$D82)</f>
        <v>6.2278013285361283E-2</v>
      </c>
      <c r="H82" s="35">
        <f>DSUM($B$57:$Y$63,H$57,$C$70:$D82)</f>
        <v>9.1189510065911999E-2</v>
      </c>
      <c r="I82" s="35">
        <f>DSUM($B$57:$Y$63,I$57,$C$70:$D82)</f>
        <v>0.12404571863350641</v>
      </c>
      <c r="J82" s="35">
        <f>DSUM($B$57:$Y$63,J$57,$C$70:$D82)</f>
        <v>0.16233120962425968</v>
      </c>
      <c r="K82" s="35">
        <f>DSUM($B$57:$Y$63,K$57,$C$70:$D82)</f>
        <v>0.20417530322022398</v>
      </c>
      <c r="L82" s="35">
        <f>DSUM($B$57:$Y$63,L$57,$C$70:$D82)</f>
        <v>0.24673700961265913</v>
      </c>
      <c r="M82" s="35">
        <f>DSUM($B$57:$Y$63,M$57,$C$70:$D82)</f>
        <v>0.28663087529097375</v>
      </c>
      <c r="N82" s="35">
        <f>DSUM($B$57:$Y$63,N$57,$C$70:$D82)</f>
        <v>0.32067480540327647</v>
      </c>
      <c r="O82" s="35">
        <f>DSUM($B$57:$Y$63,O$57,$C$70:$D82)</f>
        <v>0.34673396223874392</v>
      </c>
      <c r="P82" s="35">
        <f>DSUM($B$57:$Y$63,P$57,$C$70:$D82)</f>
        <v>0.36428842570531922</v>
      </c>
      <c r="Q82" s="35">
        <f>DSUM($B$57:$Y$63,Q$57,$C$70:$D82)</f>
        <v>0.37441216777892816</v>
      </c>
      <c r="R82" s="35">
        <f>DSUM($B$57:$Y$63,R$57,$C$70:$D82)</f>
        <v>0.3791563458378896</v>
      </c>
      <c r="S82" s="35">
        <f>DSUM($B$57:$Y$63,S$57,$C$70:$D82)</f>
        <v>0.38069009671761211</v>
      </c>
      <c r="T82" s="35">
        <f>DSUM($B$57:$Y$63,T$57,$C$70:$D82)</f>
        <v>0.46592944811664805</v>
      </c>
      <c r="U82" s="35">
        <f>DSUM($B$57:$Y$63,U$57,$C$70:$D82)</f>
        <v>0.45830743897367443</v>
      </c>
      <c r="V82" s="35">
        <f>DSUM($B$57:$Y$63,V$57,$C$70:$D82)</f>
        <v>0.44955062864692991</v>
      </c>
      <c r="W82" s="35">
        <f>DSUM($B$57:$Y$63,W$57,$C$70:$D82)</f>
        <v>0.44206291747164278</v>
      </c>
      <c r="X82" s="35">
        <f>DSUM($B$57:$Y$63,X$57,$C$70:$D82)</f>
        <v>0.43466620648381571</v>
      </c>
      <c r="Y82" s="35">
        <f>DSUM($B$57:$Y$63,Y$57,$C$70:$D82)</f>
        <v>5.9540791552856289</v>
      </c>
      <c r="Z82" s="7"/>
      <c r="AA82" s="7"/>
      <c r="AB82" s="7"/>
      <c r="AC82" s="7"/>
    </row>
    <row r="83" spans="1:29" customFormat="1">
      <c r="A83" s="7"/>
      <c r="B83" s="7" t="s">
        <v>104</v>
      </c>
      <c r="C83" s="50" t="s">
        <v>105</v>
      </c>
      <c r="D83" s="50" t="s">
        <v>106</v>
      </c>
      <c r="E83" s="35">
        <f>DSUM($B$57:$Y$63,E$57,$C$70:$D83)</f>
        <v>1.6770996029083704E-2</v>
      </c>
      <c r="F83" s="35">
        <f>DSUM($B$57:$Y$63,F$57,$C$70:$D83)</f>
        <v>3.7278261044220717E-2</v>
      </c>
      <c r="G83" s="35">
        <f>DSUM($B$57:$Y$63,G$57,$C$70:$D83)</f>
        <v>6.2278013285361283E-2</v>
      </c>
      <c r="H83" s="35">
        <f>DSUM($B$57:$Y$63,H$57,$C$70:$D83)</f>
        <v>9.1189510065911999E-2</v>
      </c>
      <c r="I83" s="35">
        <f>DSUM($B$57:$Y$63,I$57,$C$70:$D83)</f>
        <v>0.12404571863350641</v>
      </c>
      <c r="J83" s="35">
        <f>DSUM($B$57:$Y$63,J$57,$C$70:$D83)</f>
        <v>0.16233120962425968</v>
      </c>
      <c r="K83" s="35">
        <f>DSUM($B$57:$Y$63,K$57,$C$70:$D83)</f>
        <v>0.20417530322022398</v>
      </c>
      <c r="L83" s="35">
        <f>DSUM($B$57:$Y$63,L$57,$C$70:$D83)</f>
        <v>0.24673700961265913</v>
      </c>
      <c r="M83" s="35">
        <f>DSUM($B$57:$Y$63,M$57,$C$70:$D83)</f>
        <v>0.28663087529097375</v>
      </c>
      <c r="N83" s="35">
        <f>DSUM($B$57:$Y$63,N$57,$C$70:$D83)</f>
        <v>0.32067480540327647</v>
      </c>
      <c r="O83" s="35">
        <f>DSUM($B$57:$Y$63,O$57,$C$70:$D83)</f>
        <v>0.34673396223874392</v>
      </c>
      <c r="P83" s="35">
        <f>DSUM($B$57:$Y$63,P$57,$C$70:$D83)</f>
        <v>0.36428842570531922</v>
      </c>
      <c r="Q83" s="35">
        <f>DSUM($B$57:$Y$63,Q$57,$C$70:$D83)</f>
        <v>0.37441216777892816</v>
      </c>
      <c r="R83" s="35">
        <f>DSUM($B$57:$Y$63,R$57,$C$70:$D83)</f>
        <v>0.3791563458378896</v>
      </c>
      <c r="S83" s="35">
        <f>DSUM($B$57:$Y$63,S$57,$C$70:$D83)</f>
        <v>0.38069009671761211</v>
      </c>
      <c r="T83" s="35">
        <f>DSUM($B$57:$Y$63,T$57,$C$70:$D83)</f>
        <v>0.46592944811664805</v>
      </c>
      <c r="U83" s="35">
        <f>DSUM($B$57:$Y$63,U$57,$C$70:$D83)</f>
        <v>0.45830743897367443</v>
      </c>
      <c r="V83" s="35">
        <f>DSUM($B$57:$Y$63,V$57,$C$70:$D83)</f>
        <v>0.44955062864692991</v>
      </c>
      <c r="W83" s="35">
        <f>DSUM($B$57:$Y$63,W$57,$C$70:$D83)</f>
        <v>0.44206291747164278</v>
      </c>
      <c r="X83" s="35">
        <f>DSUM($B$57:$Y$63,X$57,$C$70:$D83)</f>
        <v>0.43466620648381571</v>
      </c>
      <c r="Y83" s="35">
        <f>DSUM($B$57:$Y$63,Y$57,$C$70:$D83)</f>
        <v>5.9540791552856289</v>
      </c>
      <c r="Z83" s="7"/>
      <c r="AA83" s="7"/>
      <c r="AB83" s="7"/>
      <c r="AC83" s="7"/>
    </row>
    <row r="84" spans="1:29" customFormat="1">
      <c r="A84" s="7"/>
      <c r="B84" s="7" t="s">
        <v>107</v>
      </c>
      <c r="C84" s="50" t="s">
        <v>108</v>
      </c>
      <c r="D84" s="50" t="s">
        <v>109</v>
      </c>
      <c r="E84" s="35">
        <f>DSUM($B$57:$Y$63,E$57,$C$70:$D84)</f>
        <v>1.6770996029083704E-2</v>
      </c>
      <c r="F84" s="35">
        <f>DSUM($B$57:$Y$63,F$57,$C$70:$D84)</f>
        <v>3.7278261044220717E-2</v>
      </c>
      <c r="G84" s="35">
        <f>DSUM($B$57:$Y$63,G$57,$C$70:$D84)</f>
        <v>6.2278013285361283E-2</v>
      </c>
      <c r="H84" s="35">
        <f>DSUM($B$57:$Y$63,H$57,$C$70:$D84)</f>
        <v>9.1189510065911999E-2</v>
      </c>
      <c r="I84" s="35">
        <f>DSUM($B$57:$Y$63,I$57,$C$70:$D84)</f>
        <v>0.12404571863350641</v>
      </c>
      <c r="J84" s="35">
        <f>DSUM($B$57:$Y$63,J$57,$C$70:$D84)</f>
        <v>0.16233120962425968</v>
      </c>
      <c r="K84" s="35">
        <f>DSUM($B$57:$Y$63,K$57,$C$70:$D84)</f>
        <v>0.20417530322022398</v>
      </c>
      <c r="L84" s="35">
        <f>DSUM($B$57:$Y$63,L$57,$C$70:$D84)</f>
        <v>0.24673700961265913</v>
      </c>
      <c r="M84" s="35">
        <f>DSUM($B$57:$Y$63,M$57,$C$70:$D84)</f>
        <v>0.28663087529097375</v>
      </c>
      <c r="N84" s="35">
        <f>DSUM($B$57:$Y$63,N$57,$C$70:$D84)</f>
        <v>0.32067480540327647</v>
      </c>
      <c r="O84" s="35">
        <f>DSUM($B$57:$Y$63,O$57,$C$70:$D84)</f>
        <v>0.34673396223874392</v>
      </c>
      <c r="P84" s="35">
        <f>DSUM($B$57:$Y$63,P$57,$C$70:$D84)</f>
        <v>0.36428842570531922</v>
      </c>
      <c r="Q84" s="35">
        <f>DSUM($B$57:$Y$63,Q$57,$C$70:$D84)</f>
        <v>0.37441216777892816</v>
      </c>
      <c r="R84" s="35">
        <f>DSUM($B$57:$Y$63,R$57,$C$70:$D84)</f>
        <v>0.3791563458378896</v>
      </c>
      <c r="S84" s="35">
        <f>DSUM($B$57:$Y$63,S$57,$C$70:$D84)</f>
        <v>0.38069009671761211</v>
      </c>
      <c r="T84" s="35">
        <f>DSUM($B$57:$Y$63,T$57,$C$70:$D84)</f>
        <v>0.46592944811664805</v>
      </c>
      <c r="U84" s="35">
        <f>DSUM($B$57:$Y$63,U$57,$C$70:$D84)</f>
        <v>0.45830743897367443</v>
      </c>
      <c r="V84" s="35">
        <f>DSUM($B$57:$Y$63,V$57,$C$70:$D84)</f>
        <v>0.44955062864692991</v>
      </c>
      <c r="W84" s="35">
        <f>DSUM($B$57:$Y$63,W$57,$C$70:$D84)</f>
        <v>0.44206291747164278</v>
      </c>
      <c r="X84" s="35">
        <f>DSUM($B$57:$Y$63,X$57,$C$70:$D84)</f>
        <v>0.43466620648381571</v>
      </c>
      <c r="Y84" s="35">
        <f>DSUM($B$57:$Y$63,Y$57,$C$70:$D84)</f>
        <v>5.9540791552856289</v>
      </c>
      <c r="Z84" s="7"/>
      <c r="AA84" s="7"/>
      <c r="AB84" s="7"/>
      <c r="AC84" s="7"/>
    </row>
    <row r="85" spans="1:29" customFormat="1">
      <c r="A85" s="7"/>
      <c r="B85" s="7" t="s">
        <v>110</v>
      </c>
      <c r="C85" s="50" t="s">
        <v>111</v>
      </c>
      <c r="D85" s="50" t="s">
        <v>112</v>
      </c>
      <c r="E85" s="35">
        <f>DSUM($B$57:$Y$63,E$57,$C$70:$D85)</f>
        <v>1.6770996029083704E-2</v>
      </c>
      <c r="F85" s="35">
        <f>DSUM($B$57:$Y$63,F$57,$C$70:$D85)</f>
        <v>3.7278261044220717E-2</v>
      </c>
      <c r="G85" s="35">
        <f>DSUM($B$57:$Y$63,G$57,$C$70:$D85)</f>
        <v>6.2278013285361283E-2</v>
      </c>
      <c r="H85" s="35">
        <f>DSUM($B$57:$Y$63,H$57,$C$70:$D85)</f>
        <v>9.1189510065911999E-2</v>
      </c>
      <c r="I85" s="35">
        <f>DSUM($B$57:$Y$63,I$57,$C$70:$D85)</f>
        <v>0.12404571863350641</v>
      </c>
      <c r="J85" s="35">
        <f>DSUM($B$57:$Y$63,J$57,$C$70:$D85)</f>
        <v>0.16233120962425968</v>
      </c>
      <c r="K85" s="35">
        <f>DSUM($B$57:$Y$63,K$57,$C$70:$D85)</f>
        <v>0.20417530322022398</v>
      </c>
      <c r="L85" s="35">
        <f>DSUM($B$57:$Y$63,L$57,$C$70:$D85)</f>
        <v>0.24673700961265913</v>
      </c>
      <c r="M85" s="35">
        <f>DSUM($B$57:$Y$63,M$57,$C$70:$D85)</f>
        <v>0.28663087529097375</v>
      </c>
      <c r="N85" s="35">
        <f>DSUM($B$57:$Y$63,N$57,$C$70:$D85)</f>
        <v>0.32067480540327647</v>
      </c>
      <c r="O85" s="35">
        <f>DSUM($B$57:$Y$63,O$57,$C$70:$D85)</f>
        <v>0.34673396223874392</v>
      </c>
      <c r="P85" s="35">
        <f>DSUM($B$57:$Y$63,P$57,$C$70:$D85)</f>
        <v>0.36428842570531922</v>
      </c>
      <c r="Q85" s="35">
        <f>DSUM($B$57:$Y$63,Q$57,$C$70:$D85)</f>
        <v>0.37441216777892816</v>
      </c>
      <c r="R85" s="35">
        <f>DSUM($B$57:$Y$63,R$57,$C$70:$D85)</f>
        <v>0.3791563458378896</v>
      </c>
      <c r="S85" s="35">
        <f>DSUM($B$57:$Y$63,S$57,$C$70:$D85)</f>
        <v>0.38069009671761211</v>
      </c>
      <c r="T85" s="35">
        <f>DSUM($B$57:$Y$63,T$57,$C$70:$D85)</f>
        <v>0.46592944811664805</v>
      </c>
      <c r="U85" s="35">
        <f>DSUM($B$57:$Y$63,U$57,$C$70:$D85)</f>
        <v>0.45830743897367443</v>
      </c>
      <c r="V85" s="35">
        <f>DSUM($B$57:$Y$63,V$57,$C$70:$D85)</f>
        <v>0.44955062864692991</v>
      </c>
      <c r="W85" s="35">
        <f>DSUM($B$57:$Y$63,W$57,$C$70:$D85)</f>
        <v>0.44206291747164278</v>
      </c>
      <c r="X85" s="35">
        <f>DSUM($B$57:$Y$63,X$57,$C$70:$D85)</f>
        <v>0.43466620648381571</v>
      </c>
      <c r="Y85" s="35">
        <f>DSUM($B$57:$Y$63,Y$57,$C$70:$D85)</f>
        <v>5.9540791552856289</v>
      </c>
      <c r="Z85" s="7"/>
      <c r="AA85" s="7"/>
      <c r="AB85" s="7"/>
      <c r="AC85" s="7"/>
    </row>
    <row r="86" spans="1:29" customFormat="1">
      <c r="A86" s="7"/>
      <c r="B86" s="7" t="s">
        <v>113</v>
      </c>
      <c r="C86" s="50" t="s">
        <v>114</v>
      </c>
      <c r="D86" s="50" t="s">
        <v>115</v>
      </c>
      <c r="E86" s="35">
        <f>DSUM($B$57:$Y$63,E$57,$C$70:$D86)</f>
        <v>1.6770996029083704E-2</v>
      </c>
      <c r="F86" s="35">
        <f>DSUM($B$57:$Y$63,F$57,$C$70:$D86)</f>
        <v>3.7278261044220717E-2</v>
      </c>
      <c r="G86" s="35">
        <f>DSUM($B$57:$Y$63,G$57,$C$70:$D86)</f>
        <v>6.2278013285361283E-2</v>
      </c>
      <c r="H86" s="35">
        <f>DSUM($B$57:$Y$63,H$57,$C$70:$D86)</f>
        <v>9.1189510065911999E-2</v>
      </c>
      <c r="I86" s="35">
        <f>DSUM($B$57:$Y$63,I$57,$C$70:$D86)</f>
        <v>0.12404571863350641</v>
      </c>
      <c r="J86" s="35">
        <f>DSUM($B$57:$Y$63,J$57,$C$70:$D86)</f>
        <v>0.16233120962425968</v>
      </c>
      <c r="K86" s="35">
        <f>DSUM($B$57:$Y$63,K$57,$C$70:$D86)</f>
        <v>0.20417530322022398</v>
      </c>
      <c r="L86" s="35">
        <f>DSUM($B$57:$Y$63,L$57,$C$70:$D86)</f>
        <v>0.24673700961265913</v>
      </c>
      <c r="M86" s="35">
        <f>DSUM($B$57:$Y$63,M$57,$C$70:$D86)</f>
        <v>0.28663087529097375</v>
      </c>
      <c r="N86" s="35">
        <f>DSUM($B$57:$Y$63,N$57,$C$70:$D86)</f>
        <v>0.32067480540327647</v>
      </c>
      <c r="O86" s="35">
        <f>DSUM($B$57:$Y$63,O$57,$C$70:$D86)</f>
        <v>0.34673396223874392</v>
      </c>
      <c r="P86" s="35">
        <f>DSUM($B$57:$Y$63,P$57,$C$70:$D86)</f>
        <v>0.36428842570531922</v>
      </c>
      <c r="Q86" s="35">
        <f>DSUM($B$57:$Y$63,Q$57,$C$70:$D86)</f>
        <v>0.37441216777892816</v>
      </c>
      <c r="R86" s="35">
        <f>DSUM($B$57:$Y$63,R$57,$C$70:$D86)</f>
        <v>0.3791563458378896</v>
      </c>
      <c r="S86" s="35">
        <f>DSUM($B$57:$Y$63,S$57,$C$70:$D86)</f>
        <v>0.38069009671761211</v>
      </c>
      <c r="T86" s="35">
        <f>DSUM($B$57:$Y$63,T$57,$C$70:$D86)</f>
        <v>0.46592944811664805</v>
      </c>
      <c r="U86" s="35">
        <f>DSUM($B$57:$Y$63,U$57,$C$70:$D86)</f>
        <v>0.45830743897367443</v>
      </c>
      <c r="V86" s="35">
        <f>DSUM($B$57:$Y$63,V$57,$C$70:$D86)</f>
        <v>0.44955062864692991</v>
      </c>
      <c r="W86" s="35">
        <f>DSUM($B$57:$Y$63,W$57,$C$70:$D86)</f>
        <v>0.44206291747164278</v>
      </c>
      <c r="X86" s="35">
        <f>DSUM($B$57:$Y$63,X$57,$C$70:$D86)</f>
        <v>0.43466620648381571</v>
      </c>
      <c r="Y86" s="35">
        <f>DSUM($B$57:$Y$63,Y$57,$C$70:$D86)</f>
        <v>5.9540791552856289</v>
      </c>
      <c r="Z86" s="7"/>
      <c r="AA86" s="7"/>
      <c r="AB86" s="7"/>
      <c r="AC86" s="7"/>
    </row>
    <row r="87" spans="1:29" customFormat="1">
      <c r="A87" s="7"/>
      <c r="B87" s="7" t="s">
        <v>116</v>
      </c>
      <c r="C87" s="50" t="s">
        <v>117</v>
      </c>
      <c r="D87" s="50" t="s">
        <v>118</v>
      </c>
      <c r="E87" s="35">
        <f>DSUM($B$57:$Y$63,E$57,$C$70:$D87)</f>
        <v>1.6770996029083704E-2</v>
      </c>
      <c r="F87" s="35">
        <f>DSUM($B$57:$Y$63,F$57,$C$70:$D87)</f>
        <v>3.7278261044220717E-2</v>
      </c>
      <c r="G87" s="35">
        <f>DSUM($B$57:$Y$63,G$57,$C$70:$D87)</f>
        <v>6.2278013285361283E-2</v>
      </c>
      <c r="H87" s="35">
        <f>DSUM($B$57:$Y$63,H$57,$C$70:$D87)</f>
        <v>9.1189510065911999E-2</v>
      </c>
      <c r="I87" s="35">
        <f>DSUM($B$57:$Y$63,I$57,$C$70:$D87)</f>
        <v>0.12404571863350641</v>
      </c>
      <c r="J87" s="35">
        <f>DSUM($B$57:$Y$63,J$57,$C$70:$D87)</f>
        <v>0.16233120962425968</v>
      </c>
      <c r="K87" s="35">
        <f>DSUM($B$57:$Y$63,K$57,$C$70:$D87)</f>
        <v>0.20417530322022398</v>
      </c>
      <c r="L87" s="35">
        <f>DSUM($B$57:$Y$63,L$57,$C$70:$D87)</f>
        <v>0.24673700961265913</v>
      </c>
      <c r="M87" s="35">
        <f>DSUM($B$57:$Y$63,M$57,$C$70:$D87)</f>
        <v>0.28663087529097375</v>
      </c>
      <c r="N87" s="35">
        <f>DSUM($B$57:$Y$63,N$57,$C$70:$D87)</f>
        <v>0.32067480540327647</v>
      </c>
      <c r="O87" s="35">
        <f>DSUM($B$57:$Y$63,O$57,$C$70:$D87)</f>
        <v>0.34673396223874392</v>
      </c>
      <c r="P87" s="35">
        <f>DSUM($B$57:$Y$63,P$57,$C$70:$D87)</f>
        <v>0.36428842570531922</v>
      </c>
      <c r="Q87" s="35">
        <f>DSUM($B$57:$Y$63,Q$57,$C$70:$D87)</f>
        <v>0.37441216777892816</v>
      </c>
      <c r="R87" s="35">
        <f>DSUM($B$57:$Y$63,R$57,$C$70:$D87)</f>
        <v>0.3791563458378896</v>
      </c>
      <c r="S87" s="35">
        <f>DSUM($B$57:$Y$63,S$57,$C$70:$D87)</f>
        <v>0.38069009671761211</v>
      </c>
      <c r="T87" s="35">
        <f>DSUM($B$57:$Y$63,T$57,$C$70:$D87)</f>
        <v>0.46592944811664805</v>
      </c>
      <c r="U87" s="35">
        <f>DSUM($B$57:$Y$63,U$57,$C$70:$D87)</f>
        <v>0.45830743897367443</v>
      </c>
      <c r="V87" s="35">
        <f>DSUM($B$57:$Y$63,V$57,$C$70:$D87)</f>
        <v>0.44955062864692991</v>
      </c>
      <c r="W87" s="35">
        <f>DSUM($B$57:$Y$63,W$57,$C$70:$D87)</f>
        <v>0.44206291747164278</v>
      </c>
      <c r="X87" s="35">
        <f>DSUM($B$57:$Y$63,X$57,$C$70:$D87)</f>
        <v>0.43466620648381571</v>
      </c>
      <c r="Y87" s="35">
        <f>DSUM($B$57:$Y$63,Y$57,$C$70:$D87)</f>
        <v>5.9540791552856289</v>
      </c>
      <c r="Z87" s="7"/>
      <c r="AA87" s="7"/>
      <c r="AB87" s="7"/>
      <c r="AC87" s="7"/>
    </row>
    <row r="88" spans="1:29" customFormat="1">
      <c r="A88" s="7"/>
      <c r="B88" s="7" t="s">
        <v>119</v>
      </c>
      <c r="C88" s="50" t="s">
        <v>120</v>
      </c>
      <c r="D88" s="50" t="s">
        <v>121</v>
      </c>
      <c r="E88" s="35">
        <f>DSUM($B$57:$Y$63,E$57,$C$70:$D88)</f>
        <v>1.6770996029083704E-2</v>
      </c>
      <c r="F88" s="35">
        <f>DSUM($B$57:$Y$63,F$57,$C$70:$D88)</f>
        <v>3.7278261044220717E-2</v>
      </c>
      <c r="G88" s="35">
        <f>DSUM($B$57:$Y$63,G$57,$C$70:$D88)</f>
        <v>6.2278013285361283E-2</v>
      </c>
      <c r="H88" s="35">
        <f>DSUM($B$57:$Y$63,H$57,$C$70:$D88)</f>
        <v>9.1189510065911999E-2</v>
      </c>
      <c r="I88" s="35">
        <f>DSUM($B$57:$Y$63,I$57,$C$70:$D88)</f>
        <v>0.12404571863350641</v>
      </c>
      <c r="J88" s="35">
        <f>DSUM($B$57:$Y$63,J$57,$C$70:$D88)</f>
        <v>0.16233120962425968</v>
      </c>
      <c r="K88" s="35">
        <f>DSUM($B$57:$Y$63,K$57,$C$70:$D88)</f>
        <v>0.20417530322022398</v>
      </c>
      <c r="L88" s="35">
        <f>DSUM($B$57:$Y$63,L$57,$C$70:$D88)</f>
        <v>0.24673700961265913</v>
      </c>
      <c r="M88" s="35">
        <f>DSUM($B$57:$Y$63,M$57,$C$70:$D88)</f>
        <v>0.28663087529097375</v>
      </c>
      <c r="N88" s="35">
        <f>DSUM($B$57:$Y$63,N$57,$C$70:$D88)</f>
        <v>0.32067480540327647</v>
      </c>
      <c r="O88" s="35">
        <f>DSUM($B$57:$Y$63,O$57,$C$70:$D88)</f>
        <v>0.34673396223874392</v>
      </c>
      <c r="P88" s="35">
        <f>DSUM($B$57:$Y$63,P$57,$C$70:$D88)</f>
        <v>0.36428842570531922</v>
      </c>
      <c r="Q88" s="35">
        <f>DSUM($B$57:$Y$63,Q$57,$C$70:$D88)</f>
        <v>0.37441216777892816</v>
      </c>
      <c r="R88" s="35">
        <f>DSUM($B$57:$Y$63,R$57,$C$70:$D88)</f>
        <v>0.3791563458378896</v>
      </c>
      <c r="S88" s="35">
        <f>DSUM($B$57:$Y$63,S$57,$C$70:$D88)</f>
        <v>0.38069009671761211</v>
      </c>
      <c r="T88" s="35">
        <f>DSUM($B$57:$Y$63,T$57,$C$70:$D88)</f>
        <v>0.46592944811664805</v>
      </c>
      <c r="U88" s="35">
        <f>DSUM($B$57:$Y$63,U$57,$C$70:$D88)</f>
        <v>0.45830743897367443</v>
      </c>
      <c r="V88" s="35">
        <f>DSUM($B$57:$Y$63,V$57,$C$70:$D88)</f>
        <v>0.44955062864692991</v>
      </c>
      <c r="W88" s="35">
        <f>DSUM($B$57:$Y$63,W$57,$C$70:$D88)</f>
        <v>0.44206291747164278</v>
      </c>
      <c r="X88" s="35">
        <f>DSUM($B$57:$Y$63,X$57,$C$70:$D88)</f>
        <v>0.43466620648381571</v>
      </c>
      <c r="Y88" s="35">
        <f>DSUM($B$57:$Y$63,Y$57,$C$70:$D88)</f>
        <v>5.9540791552856289</v>
      </c>
      <c r="Z88" s="7"/>
      <c r="AA88" s="7"/>
      <c r="AB88" s="7"/>
      <c r="AC88" s="7"/>
    </row>
    <row r="89" spans="1:29" customFormat="1">
      <c r="A89" s="7"/>
      <c r="B89" s="7" t="s">
        <v>122</v>
      </c>
      <c r="C89" s="50" t="s">
        <v>123</v>
      </c>
      <c r="D89" s="50" t="s">
        <v>124</v>
      </c>
      <c r="E89" s="35">
        <f>DSUM($B$57:$Y$63,E$57,$C$70:$D89)</f>
        <v>1.6770996029083704E-2</v>
      </c>
      <c r="F89" s="35">
        <f>DSUM($B$57:$Y$63,F$57,$C$70:$D89)</f>
        <v>3.7278261044220717E-2</v>
      </c>
      <c r="G89" s="35">
        <f>DSUM($B$57:$Y$63,G$57,$C$70:$D89)</f>
        <v>6.2278013285361283E-2</v>
      </c>
      <c r="H89" s="35">
        <f>DSUM($B$57:$Y$63,H$57,$C$70:$D89)</f>
        <v>9.1189510065911999E-2</v>
      </c>
      <c r="I89" s="35">
        <f>DSUM($B$57:$Y$63,I$57,$C$70:$D89)</f>
        <v>0.12404571863350641</v>
      </c>
      <c r="J89" s="35">
        <f>DSUM($B$57:$Y$63,J$57,$C$70:$D89)</f>
        <v>0.16233120962425968</v>
      </c>
      <c r="K89" s="35">
        <f>DSUM($B$57:$Y$63,K$57,$C$70:$D89)</f>
        <v>0.20417530322022398</v>
      </c>
      <c r="L89" s="35">
        <f>DSUM($B$57:$Y$63,L$57,$C$70:$D89)</f>
        <v>0.24673700961265913</v>
      </c>
      <c r="M89" s="35">
        <f>DSUM($B$57:$Y$63,M$57,$C$70:$D89)</f>
        <v>0.28663087529097375</v>
      </c>
      <c r="N89" s="35">
        <f>DSUM($B$57:$Y$63,N$57,$C$70:$D89)</f>
        <v>0.32067480540327647</v>
      </c>
      <c r="O89" s="35">
        <f>DSUM($B$57:$Y$63,O$57,$C$70:$D89)</f>
        <v>0.34673396223874392</v>
      </c>
      <c r="P89" s="35">
        <f>DSUM($B$57:$Y$63,P$57,$C$70:$D89)</f>
        <v>0.36428842570531922</v>
      </c>
      <c r="Q89" s="35">
        <f>DSUM($B$57:$Y$63,Q$57,$C$70:$D89)</f>
        <v>0.37441216777892816</v>
      </c>
      <c r="R89" s="35">
        <f>DSUM($B$57:$Y$63,R$57,$C$70:$D89)</f>
        <v>0.3791563458378896</v>
      </c>
      <c r="S89" s="35">
        <f>DSUM($B$57:$Y$63,S$57,$C$70:$D89)</f>
        <v>0.38069009671761211</v>
      </c>
      <c r="T89" s="35">
        <f>DSUM($B$57:$Y$63,T$57,$C$70:$D89)</f>
        <v>0.46592944811664805</v>
      </c>
      <c r="U89" s="35">
        <f>DSUM($B$57:$Y$63,U$57,$C$70:$D89)</f>
        <v>0.45830743897367443</v>
      </c>
      <c r="V89" s="35">
        <f>DSUM($B$57:$Y$63,V$57,$C$70:$D89)</f>
        <v>0.44955062864692991</v>
      </c>
      <c r="W89" s="35">
        <f>DSUM($B$57:$Y$63,W$57,$C$70:$D89)</f>
        <v>0.44206291747164278</v>
      </c>
      <c r="X89" s="35">
        <f>DSUM($B$57:$Y$63,X$57,$C$70:$D89)</f>
        <v>0.43466620648381571</v>
      </c>
      <c r="Y89" s="35">
        <f>DSUM($B$57:$Y$63,Y$57,$C$70:$D89)</f>
        <v>5.9540791552856289</v>
      </c>
      <c r="Z89" s="7"/>
      <c r="AA89" s="7"/>
      <c r="AB89" s="7"/>
      <c r="AC89" s="7"/>
    </row>
    <row r="90" spans="1:29" customFormat="1">
      <c r="A90" s="7"/>
      <c r="B90" s="7" t="s">
        <v>125</v>
      </c>
      <c r="C90" s="50" t="s">
        <v>126</v>
      </c>
      <c r="D90" s="50" t="s">
        <v>127</v>
      </c>
      <c r="E90" s="35">
        <f>DSUM($B$57:$Y$63,E$57,$C$70:$D90)</f>
        <v>1.6770996029083704E-2</v>
      </c>
      <c r="F90" s="35">
        <f>DSUM($B$57:$Y$63,F$57,$C$70:$D90)</f>
        <v>3.7278261044220717E-2</v>
      </c>
      <c r="G90" s="35">
        <f>DSUM($B$57:$Y$63,G$57,$C$70:$D90)</f>
        <v>6.2278013285361283E-2</v>
      </c>
      <c r="H90" s="35">
        <f>DSUM($B$57:$Y$63,H$57,$C$70:$D90)</f>
        <v>9.1189510065911999E-2</v>
      </c>
      <c r="I90" s="35">
        <f>DSUM($B$57:$Y$63,I$57,$C$70:$D90)</f>
        <v>0.12404571863350641</v>
      </c>
      <c r="J90" s="35">
        <f>DSUM($B$57:$Y$63,J$57,$C$70:$D90)</f>
        <v>0.16233120962425968</v>
      </c>
      <c r="K90" s="35">
        <f>DSUM($B$57:$Y$63,K$57,$C$70:$D90)</f>
        <v>0.20417530322022398</v>
      </c>
      <c r="L90" s="35">
        <f>DSUM($B$57:$Y$63,L$57,$C$70:$D90)</f>
        <v>0.24673700961265913</v>
      </c>
      <c r="M90" s="35">
        <f>DSUM($B$57:$Y$63,M$57,$C$70:$D90)</f>
        <v>0.28663087529097375</v>
      </c>
      <c r="N90" s="35">
        <f>DSUM($B$57:$Y$63,N$57,$C$70:$D90)</f>
        <v>0.32067480540327647</v>
      </c>
      <c r="O90" s="35">
        <f>DSUM($B$57:$Y$63,O$57,$C$70:$D90)</f>
        <v>0.34673396223874392</v>
      </c>
      <c r="P90" s="35">
        <f>DSUM($B$57:$Y$63,P$57,$C$70:$D90)</f>
        <v>0.36428842570531922</v>
      </c>
      <c r="Q90" s="35">
        <f>DSUM($B$57:$Y$63,Q$57,$C$70:$D90)</f>
        <v>0.37441216777892816</v>
      </c>
      <c r="R90" s="35">
        <f>DSUM($B$57:$Y$63,R$57,$C$70:$D90)</f>
        <v>0.3791563458378896</v>
      </c>
      <c r="S90" s="35">
        <f>DSUM($B$57:$Y$63,S$57,$C$70:$D90)</f>
        <v>0.38069009671761211</v>
      </c>
      <c r="T90" s="35">
        <f>DSUM($B$57:$Y$63,T$57,$C$70:$D90)</f>
        <v>0.46592944811664805</v>
      </c>
      <c r="U90" s="35">
        <f>DSUM($B$57:$Y$63,U$57,$C$70:$D90)</f>
        <v>0.45830743897367443</v>
      </c>
      <c r="V90" s="35">
        <f>DSUM($B$57:$Y$63,V$57,$C$70:$D90)</f>
        <v>0.44955062864692991</v>
      </c>
      <c r="W90" s="35">
        <f>DSUM($B$57:$Y$63,W$57,$C$70:$D90)</f>
        <v>0.44206291747164278</v>
      </c>
      <c r="X90" s="35">
        <f>DSUM($B$57:$Y$63,X$57,$C$70:$D90)</f>
        <v>0.43466620648381571</v>
      </c>
      <c r="Y90" s="35">
        <f>DSUM($B$57:$Y$63,Y$57,$C$70:$D90)</f>
        <v>5.9540791552856289</v>
      </c>
      <c r="Z90" s="7"/>
      <c r="AA90" s="7"/>
      <c r="AB90" s="7"/>
      <c r="AC90" s="7"/>
    </row>
    <row r="91" spans="1:29" customFormat="1">
      <c r="A91" s="7"/>
      <c r="B91" s="7" t="s">
        <v>128</v>
      </c>
      <c r="C91" s="50" t="s">
        <v>129</v>
      </c>
      <c r="D91" s="50" t="s">
        <v>130</v>
      </c>
      <c r="E91" s="35">
        <f>DSUM($B$57:$Y$63,E$57,$C$70:$D91)</f>
        <v>1.6770996029083704E-2</v>
      </c>
      <c r="F91" s="35">
        <f>DSUM($B$57:$Y$63,F$57,$C$70:$D91)</f>
        <v>3.7278261044220717E-2</v>
      </c>
      <c r="G91" s="35">
        <f>DSUM($B$57:$Y$63,G$57,$C$70:$D91)</f>
        <v>6.2278013285361283E-2</v>
      </c>
      <c r="H91" s="35">
        <f>DSUM($B$57:$Y$63,H$57,$C$70:$D91)</f>
        <v>9.1189510065911999E-2</v>
      </c>
      <c r="I91" s="35">
        <f>DSUM($B$57:$Y$63,I$57,$C$70:$D91)</f>
        <v>0.12404571863350641</v>
      </c>
      <c r="J91" s="35">
        <f>DSUM($B$57:$Y$63,J$57,$C$70:$D91)</f>
        <v>0.16233120962425968</v>
      </c>
      <c r="K91" s="35">
        <f>DSUM($B$57:$Y$63,K$57,$C$70:$D91)</f>
        <v>0.20417530322022398</v>
      </c>
      <c r="L91" s="35">
        <f>DSUM($B$57:$Y$63,L$57,$C$70:$D91)</f>
        <v>0.24673700961265913</v>
      </c>
      <c r="M91" s="35">
        <f>DSUM($B$57:$Y$63,M$57,$C$70:$D91)</f>
        <v>0.28663087529097375</v>
      </c>
      <c r="N91" s="35">
        <f>DSUM($B$57:$Y$63,N$57,$C$70:$D91)</f>
        <v>0.32067480540327647</v>
      </c>
      <c r="O91" s="35">
        <f>DSUM($B$57:$Y$63,O$57,$C$70:$D91)</f>
        <v>0.34673396223874392</v>
      </c>
      <c r="P91" s="35">
        <f>DSUM($B$57:$Y$63,P$57,$C$70:$D91)</f>
        <v>0.36428842570531922</v>
      </c>
      <c r="Q91" s="35">
        <f>DSUM($B$57:$Y$63,Q$57,$C$70:$D91)</f>
        <v>0.37441216777892816</v>
      </c>
      <c r="R91" s="35">
        <f>DSUM($B$57:$Y$63,R$57,$C$70:$D91)</f>
        <v>0.3791563458378896</v>
      </c>
      <c r="S91" s="35">
        <f>DSUM($B$57:$Y$63,S$57,$C$70:$D91)</f>
        <v>0.38069009671761211</v>
      </c>
      <c r="T91" s="35">
        <f>DSUM($B$57:$Y$63,T$57,$C$70:$D91)</f>
        <v>0.46592944811664805</v>
      </c>
      <c r="U91" s="35">
        <f>DSUM($B$57:$Y$63,U$57,$C$70:$D91)</f>
        <v>0.45830743897367443</v>
      </c>
      <c r="V91" s="35">
        <f>DSUM($B$57:$Y$63,V$57,$C$70:$D91)</f>
        <v>0.44955062864692991</v>
      </c>
      <c r="W91" s="35">
        <f>DSUM($B$57:$Y$63,W$57,$C$70:$D91)</f>
        <v>0.44206291747164278</v>
      </c>
      <c r="X91" s="35">
        <f>DSUM($B$57:$Y$63,X$57,$C$70:$D91)</f>
        <v>0.43466620648381571</v>
      </c>
      <c r="Y91" s="35">
        <f>DSUM($B$57:$Y$63,Y$57,$C$70:$D91)</f>
        <v>5.9540791552856289</v>
      </c>
      <c r="Z91" s="7"/>
      <c r="AA91" s="7"/>
      <c r="AB91" s="7"/>
      <c r="AC91" s="7"/>
    </row>
    <row r="92" spans="1:29" customFormat="1">
      <c r="A92" s="7"/>
      <c r="B92" s="7" t="s">
        <v>372</v>
      </c>
      <c r="C92" s="50" t="s">
        <v>132</v>
      </c>
      <c r="D92" s="50" t="s">
        <v>362</v>
      </c>
      <c r="E92" s="35">
        <f>DSUM($B$57:$Y$63,E$57,$C$70:$D92)</f>
        <v>1.6770996029083704E-2</v>
      </c>
      <c r="F92" s="35">
        <f>DSUM($B$57:$Y$63,F$57,$C$70:$D92)</f>
        <v>3.7278261044220717E-2</v>
      </c>
      <c r="G92" s="35">
        <f>DSUM($B$57:$Y$63,G$57,$C$70:$D92)</f>
        <v>6.2278013285361283E-2</v>
      </c>
      <c r="H92" s="35">
        <f>DSUM($B$57:$Y$63,H$57,$C$70:$D92)</f>
        <v>9.1189510065911999E-2</v>
      </c>
      <c r="I92" s="35">
        <f>DSUM($B$57:$Y$63,I$57,$C$70:$D92)</f>
        <v>0.12404571863350641</v>
      </c>
      <c r="J92" s="35">
        <f>DSUM($B$57:$Y$63,J$57,$C$70:$D92)</f>
        <v>0.16233120962425968</v>
      </c>
      <c r="K92" s="35">
        <f>DSUM($B$57:$Y$63,K$57,$C$70:$D92)</f>
        <v>0.20417530322022398</v>
      </c>
      <c r="L92" s="35">
        <f>DSUM($B$57:$Y$63,L$57,$C$70:$D92)</f>
        <v>0.24673700961265913</v>
      </c>
      <c r="M92" s="35">
        <f>DSUM($B$57:$Y$63,M$57,$C$70:$D92)</f>
        <v>0.28663087529097375</v>
      </c>
      <c r="N92" s="35">
        <f>DSUM($B$57:$Y$63,N$57,$C$70:$D92)</f>
        <v>0.32067480540327647</v>
      </c>
      <c r="O92" s="35">
        <f>DSUM($B$57:$Y$63,O$57,$C$70:$D92)</f>
        <v>0.34673396223874392</v>
      </c>
      <c r="P92" s="35">
        <f>DSUM($B$57:$Y$63,P$57,$C$70:$D92)</f>
        <v>0.36428842570531922</v>
      </c>
      <c r="Q92" s="35">
        <f>DSUM($B$57:$Y$63,Q$57,$C$70:$D92)</f>
        <v>0.37441216777892816</v>
      </c>
      <c r="R92" s="35">
        <f>DSUM($B$57:$Y$63,R$57,$C$70:$D92)</f>
        <v>0.3791563458378896</v>
      </c>
      <c r="S92" s="35">
        <f>DSUM($B$57:$Y$63,S$57,$C$70:$D92)</f>
        <v>0.38069009671761211</v>
      </c>
      <c r="T92" s="35">
        <f>DSUM($B$57:$Y$63,T$57,$C$70:$D92)</f>
        <v>0.46592944811664805</v>
      </c>
      <c r="U92" s="35">
        <f>DSUM($B$57:$Y$63,U$57,$C$70:$D92)</f>
        <v>0.45830743897367443</v>
      </c>
      <c r="V92" s="35">
        <f>DSUM($B$57:$Y$63,V$57,$C$70:$D92)</f>
        <v>0.44955062864692991</v>
      </c>
      <c r="W92" s="35">
        <f>DSUM($B$57:$Y$63,W$57,$C$70:$D92)</f>
        <v>0.44206291747164278</v>
      </c>
      <c r="X92" s="35">
        <f>DSUM($B$57:$Y$63,X$57,$C$70:$D92)</f>
        <v>0.43466620648381571</v>
      </c>
      <c r="Y92" s="35">
        <f>DSUM($B$57:$Y$63,Y$57,$C$70:$D92)</f>
        <v>5.9540791552856289</v>
      </c>
      <c r="Z92" s="7"/>
      <c r="AA92" s="7"/>
      <c r="AB92" s="7"/>
      <c r="AC92" s="7"/>
    </row>
    <row r="93" spans="1:29" customFormat="1">
      <c r="A93" s="7"/>
      <c r="B93" s="7" t="s">
        <v>373</v>
      </c>
      <c r="C93" s="50" t="s">
        <v>352</v>
      </c>
      <c r="D93" s="50" t="s">
        <v>363</v>
      </c>
      <c r="E93" s="35">
        <f>DSUM($B$57:$Y$63,E$57,$C$70:$D93)</f>
        <v>1.6770996029083704E-2</v>
      </c>
      <c r="F93" s="35">
        <f>DSUM($B$57:$Y$63,F$57,$C$70:$D93)</f>
        <v>3.7278261044220717E-2</v>
      </c>
      <c r="G93" s="35">
        <f>DSUM($B$57:$Y$63,G$57,$C$70:$D93)</f>
        <v>6.2278013285361283E-2</v>
      </c>
      <c r="H93" s="35">
        <f>DSUM($B$57:$Y$63,H$57,$C$70:$D93)</f>
        <v>9.1189510065911999E-2</v>
      </c>
      <c r="I93" s="35">
        <f>DSUM($B$57:$Y$63,I$57,$C$70:$D93)</f>
        <v>0.12404571863350641</v>
      </c>
      <c r="J93" s="35">
        <f>DSUM($B$57:$Y$63,J$57,$C$70:$D93)</f>
        <v>0.16233120962425968</v>
      </c>
      <c r="K93" s="35">
        <f>DSUM($B$57:$Y$63,K$57,$C$70:$D93)</f>
        <v>0.20417530322022398</v>
      </c>
      <c r="L93" s="35">
        <f>DSUM($B$57:$Y$63,L$57,$C$70:$D93)</f>
        <v>0.24673700961265913</v>
      </c>
      <c r="M93" s="35">
        <f>DSUM($B$57:$Y$63,M$57,$C$70:$D93)</f>
        <v>0.28663087529097375</v>
      </c>
      <c r="N93" s="35">
        <f>DSUM($B$57:$Y$63,N$57,$C$70:$D93)</f>
        <v>0.32067480540327647</v>
      </c>
      <c r="O93" s="35">
        <f>DSUM($B$57:$Y$63,O$57,$C$70:$D93)</f>
        <v>0.34673396223874392</v>
      </c>
      <c r="P93" s="35">
        <f>DSUM($B$57:$Y$63,P$57,$C$70:$D93)</f>
        <v>0.36428842570531922</v>
      </c>
      <c r="Q93" s="35">
        <f>DSUM($B$57:$Y$63,Q$57,$C$70:$D93)</f>
        <v>0.37441216777892816</v>
      </c>
      <c r="R93" s="35">
        <f>DSUM($B$57:$Y$63,R$57,$C$70:$D93)</f>
        <v>0.3791563458378896</v>
      </c>
      <c r="S93" s="35">
        <f>DSUM($B$57:$Y$63,S$57,$C$70:$D93)</f>
        <v>0.38069009671761211</v>
      </c>
      <c r="T93" s="35">
        <f>DSUM($B$57:$Y$63,T$57,$C$70:$D93)</f>
        <v>0.46592944811664805</v>
      </c>
      <c r="U93" s="35">
        <f>DSUM($B$57:$Y$63,U$57,$C$70:$D93)</f>
        <v>0.45830743897367443</v>
      </c>
      <c r="V93" s="35">
        <f>DSUM($B$57:$Y$63,V$57,$C$70:$D93)</f>
        <v>0.44955062864692991</v>
      </c>
      <c r="W93" s="35">
        <f>DSUM($B$57:$Y$63,W$57,$C$70:$D93)</f>
        <v>0.44206291747164278</v>
      </c>
      <c r="X93" s="35">
        <f>DSUM($B$57:$Y$63,X$57,$C$70:$D93)</f>
        <v>0.43466620648381571</v>
      </c>
      <c r="Y93" s="35">
        <f>DSUM($B$57:$Y$63,Y$57,$C$70:$D93)</f>
        <v>5.9540791552856289</v>
      </c>
      <c r="Z93" s="7"/>
      <c r="AA93" s="7"/>
      <c r="AB93" s="7"/>
      <c r="AC93" s="7"/>
    </row>
    <row r="94" spans="1:29" customFormat="1">
      <c r="A94" s="7"/>
      <c r="B94" s="7" t="s">
        <v>374</v>
      </c>
      <c r="C94" s="50" t="s">
        <v>353</v>
      </c>
      <c r="D94" s="50" t="s">
        <v>364</v>
      </c>
      <c r="E94" s="35">
        <f>DSUM($B$57:$Y$63,E$57,$C$70:$D94)</f>
        <v>1.6770996029083704E-2</v>
      </c>
      <c r="F94" s="35">
        <f>DSUM($B$57:$Y$63,F$57,$C$70:$D94)</f>
        <v>3.7278261044220717E-2</v>
      </c>
      <c r="G94" s="35">
        <f>DSUM($B$57:$Y$63,G$57,$C$70:$D94)</f>
        <v>6.2278013285361283E-2</v>
      </c>
      <c r="H94" s="35">
        <f>DSUM($B$57:$Y$63,H$57,$C$70:$D94)</f>
        <v>9.1189510065911999E-2</v>
      </c>
      <c r="I94" s="35">
        <f>DSUM($B$57:$Y$63,I$57,$C$70:$D94)</f>
        <v>0.12404571863350641</v>
      </c>
      <c r="J94" s="35">
        <f>DSUM($B$57:$Y$63,J$57,$C$70:$D94)</f>
        <v>0.16233120962425968</v>
      </c>
      <c r="K94" s="35">
        <f>DSUM($B$57:$Y$63,K$57,$C$70:$D94)</f>
        <v>0.20417530322022398</v>
      </c>
      <c r="L94" s="35">
        <f>DSUM($B$57:$Y$63,L$57,$C$70:$D94)</f>
        <v>0.24673700961265913</v>
      </c>
      <c r="M94" s="35">
        <f>DSUM($B$57:$Y$63,M$57,$C$70:$D94)</f>
        <v>0.28663087529097375</v>
      </c>
      <c r="N94" s="35">
        <f>DSUM($B$57:$Y$63,N$57,$C$70:$D94)</f>
        <v>0.32067480540327647</v>
      </c>
      <c r="O94" s="35">
        <f>DSUM($B$57:$Y$63,O$57,$C$70:$D94)</f>
        <v>0.34673396223874392</v>
      </c>
      <c r="P94" s="35">
        <f>DSUM($B$57:$Y$63,P$57,$C$70:$D94)</f>
        <v>0.36428842570531922</v>
      </c>
      <c r="Q94" s="35">
        <f>DSUM($B$57:$Y$63,Q$57,$C$70:$D94)</f>
        <v>0.37441216777892816</v>
      </c>
      <c r="R94" s="35">
        <f>DSUM($B$57:$Y$63,R$57,$C$70:$D94)</f>
        <v>0.3791563458378896</v>
      </c>
      <c r="S94" s="35">
        <f>DSUM($B$57:$Y$63,S$57,$C$70:$D94)</f>
        <v>0.38069009671761211</v>
      </c>
      <c r="T94" s="35">
        <f>DSUM($B$57:$Y$63,T$57,$C$70:$D94)</f>
        <v>0.46592944811664805</v>
      </c>
      <c r="U94" s="35">
        <f>DSUM($B$57:$Y$63,U$57,$C$70:$D94)</f>
        <v>0.45830743897367443</v>
      </c>
      <c r="V94" s="35">
        <f>DSUM($B$57:$Y$63,V$57,$C$70:$D94)</f>
        <v>0.44955062864692991</v>
      </c>
      <c r="W94" s="35">
        <f>DSUM($B$57:$Y$63,W$57,$C$70:$D94)</f>
        <v>0.44206291747164278</v>
      </c>
      <c r="X94" s="35">
        <f>DSUM($B$57:$Y$63,X$57,$C$70:$D94)</f>
        <v>0.43466620648381571</v>
      </c>
      <c r="Y94" s="35">
        <f>DSUM($B$57:$Y$63,Y$57,$C$70:$D94)</f>
        <v>5.9540791552856289</v>
      </c>
      <c r="Z94" s="7"/>
      <c r="AA94" s="7"/>
      <c r="AB94" s="7"/>
      <c r="AC94" s="7"/>
    </row>
    <row r="95" spans="1:29" customFormat="1">
      <c r="A95" s="7"/>
      <c r="B95" s="7" t="s">
        <v>375</v>
      </c>
      <c r="C95" s="50" t="s">
        <v>354</v>
      </c>
      <c r="D95" s="50" t="s">
        <v>365</v>
      </c>
      <c r="E95" s="35">
        <f>DSUM($B$57:$Y$63,E$57,$C$70:$D95)</f>
        <v>1.6770996029083704E-2</v>
      </c>
      <c r="F95" s="35">
        <f>DSUM($B$57:$Y$63,F$57,$C$70:$D95)</f>
        <v>3.7278261044220717E-2</v>
      </c>
      <c r="G95" s="35">
        <f>DSUM($B$57:$Y$63,G$57,$C$70:$D95)</f>
        <v>6.2278013285361283E-2</v>
      </c>
      <c r="H95" s="35">
        <f>DSUM($B$57:$Y$63,H$57,$C$70:$D95)</f>
        <v>9.1189510065911999E-2</v>
      </c>
      <c r="I95" s="35">
        <f>DSUM($B$57:$Y$63,I$57,$C$70:$D95)</f>
        <v>0.12404571863350641</v>
      </c>
      <c r="J95" s="35">
        <f>DSUM($B$57:$Y$63,J$57,$C$70:$D95)</f>
        <v>0.16233120962425968</v>
      </c>
      <c r="K95" s="35">
        <f>DSUM($B$57:$Y$63,K$57,$C$70:$D95)</f>
        <v>0.20417530322022398</v>
      </c>
      <c r="L95" s="35">
        <f>DSUM($B$57:$Y$63,L$57,$C$70:$D95)</f>
        <v>0.24673700961265913</v>
      </c>
      <c r="M95" s="35">
        <f>DSUM($B$57:$Y$63,M$57,$C$70:$D95)</f>
        <v>0.28663087529097375</v>
      </c>
      <c r="N95" s="35">
        <f>DSUM($B$57:$Y$63,N$57,$C$70:$D95)</f>
        <v>0.32067480540327647</v>
      </c>
      <c r="O95" s="35">
        <f>DSUM($B$57:$Y$63,O$57,$C$70:$D95)</f>
        <v>0.34673396223874392</v>
      </c>
      <c r="P95" s="35">
        <f>DSUM($B$57:$Y$63,P$57,$C$70:$D95)</f>
        <v>0.36428842570531922</v>
      </c>
      <c r="Q95" s="35">
        <f>DSUM($B$57:$Y$63,Q$57,$C$70:$D95)</f>
        <v>0.37441216777892816</v>
      </c>
      <c r="R95" s="35">
        <f>DSUM($B$57:$Y$63,R$57,$C$70:$D95)</f>
        <v>0.3791563458378896</v>
      </c>
      <c r="S95" s="35">
        <f>DSUM($B$57:$Y$63,S$57,$C$70:$D95)</f>
        <v>0.38069009671761211</v>
      </c>
      <c r="T95" s="35">
        <f>DSUM($B$57:$Y$63,T$57,$C$70:$D95)</f>
        <v>0.46592944811664805</v>
      </c>
      <c r="U95" s="35">
        <f>DSUM($B$57:$Y$63,U$57,$C$70:$D95)</f>
        <v>0.45830743897367443</v>
      </c>
      <c r="V95" s="35">
        <f>DSUM($B$57:$Y$63,V$57,$C$70:$D95)</f>
        <v>0.44955062864692991</v>
      </c>
      <c r="W95" s="35">
        <f>DSUM($B$57:$Y$63,W$57,$C$70:$D95)</f>
        <v>0.44206291747164278</v>
      </c>
      <c r="X95" s="35">
        <f>DSUM($B$57:$Y$63,X$57,$C$70:$D95)</f>
        <v>0.43466620648381571</v>
      </c>
      <c r="Y95" s="35">
        <f>DSUM($B$57:$Y$63,Y$57,$C$70:$D95)</f>
        <v>5.9540791552856289</v>
      </c>
      <c r="Z95" s="7"/>
      <c r="AA95" s="7"/>
      <c r="AB95" s="7"/>
      <c r="AC95" s="7"/>
    </row>
    <row r="96" spans="1:29" customFormat="1">
      <c r="A96" s="7"/>
      <c r="B96" s="7" t="s">
        <v>376</v>
      </c>
      <c r="C96" s="50" t="s">
        <v>355</v>
      </c>
      <c r="D96" s="50" t="s">
        <v>366</v>
      </c>
      <c r="E96" s="35">
        <f>DSUM($B$57:$Y$63,E$57,$C$70:$D96)</f>
        <v>1.6770996029083704E-2</v>
      </c>
      <c r="F96" s="35">
        <f>DSUM($B$57:$Y$63,F$57,$C$70:$D96)</f>
        <v>3.7278261044220717E-2</v>
      </c>
      <c r="G96" s="35">
        <f>DSUM($B$57:$Y$63,G$57,$C$70:$D96)</f>
        <v>6.2278013285361283E-2</v>
      </c>
      <c r="H96" s="35">
        <f>DSUM($B$57:$Y$63,H$57,$C$70:$D96)</f>
        <v>9.1189510065911999E-2</v>
      </c>
      <c r="I96" s="35">
        <f>DSUM($B$57:$Y$63,I$57,$C$70:$D96)</f>
        <v>0.12404571863350641</v>
      </c>
      <c r="J96" s="35">
        <f>DSUM($B$57:$Y$63,J$57,$C$70:$D96)</f>
        <v>0.16233120962425968</v>
      </c>
      <c r="K96" s="35">
        <f>DSUM($B$57:$Y$63,K$57,$C$70:$D96)</f>
        <v>0.20417530322022398</v>
      </c>
      <c r="L96" s="35">
        <f>DSUM($B$57:$Y$63,L$57,$C$70:$D96)</f>
        <v>0.24673700961265913</v>
      </c>
      <c r="M96" s="35">
        <f>DSUM($B$57:$Y$63,M$57,$C$70:$D96)</f>
        <v>0.28663087529097375</v>
      </c>
      <c r="N96" s="35">
        <f>DSUM($B$57:$Y$63,N$57,$C$70:$D96)</f>
        <v>0.32067480540327647</v>
      </c>
      <c r="O96" s="35">
        <f>DSUM($B$57:$Y$63,O$57,$C$70:$D96)</f>
        <v>0.34673396223874392</v>
      </c>
      <c r="P96" s="35">
        <f>DSUM($B$57:$Y$63,P$57,$C$70:$D96)</f>
        <v>0.36428842570531922</v>
      </c>
      <c r="Q96" s="35">
        <f>DSUM($B$57:$Y$63,Q$57,$C$70:$D96)</f>
        <v>0.37441216777892816</v>
      </c>
      <c r="R96" s="35">
        <f>DSUM($B$57:$Y$63,R$57,$C$70:$D96)</f>
        <v>0.3791563458378896</v>
      </c>
      <c r="S96" s="35">
        <f>DSUM($B$57:$Y$63,S$57,$C$70:$D96)</f>
        <v>0.38069009671761211</v>
      </c>
      <c r="T96" s="35">
        <f>DSUM($B$57:$Y$63,T$57,$C$70:$D96)</f>
        <v>0.46592944811664805</v>
      </c>
      <c r="U96" s="35">
        <f>DSUM($B$57:$Y$63,U$57,$C$70:$D96)</f>
        <v>0.45830743897367443</v>
      </c>
      <c r="V96" s="35">
        <f>DSUM($B$57:$Y$63,V$57,$C$70:$D96)</f>
        <v>0.44955062864692991</v>
      </c>
      <c r="W96" s="35">
        <f>DSUM($B$57:$Y$63,W$57,$C$70:$D96)</f>
        <v>0.44206291747164278</v>
      </c>
      <c r="X96" s="35">
        <f>DSUM($B$57:$Y$63,X$57,$C$70:$D96)</f>
        <v>0.43466620648381571</v>
      </c>
      <c r="Y96" s="35">
        <f>DSUM($B$57:$Y$63,Y$57,$C$70:$D96)</f>
        <v>5.9540791552856289</v>
      </c>
      <c r="Z96" s="7"/>
      <c r="AA96" s="7"/>
      <c r="AB96" s="7"/>
      <c r="AC96" s="7"/>
    </row>
    <row r="97" spans="1:29" customFormat="1">
      <c r="A97" s="7"/>
      <c r="B97" s="7" t="s">
        <v>377</v>
      </c>
      <c r="C97" s="50" t="s">
        <v>356</v>
      </c>
      <c r="D97" s="50" t="s">
        <v>367</v>
      </c>
      <c r="E97" s="35">
        <f>DSUM($B$57:$Y$63,E$57,$C$70:$D97)</f>
        <v>1.6770996029083704E-2</v>
      </c>
      <c r="F97" s="35">
        <f>DSUM($B$57:$Y$63,F$57,$C$70:$D97)</f>
        <v>3.7278261044220717E-2</v>
      </c>
      <c r="G97" s="35">
        <f>DSUM($B$57:$Y$63,G$57,$C$70:$D97)</f>
        <v>6.2278013285361283E-2</v>
      </c>
      <c r="H97" s="35">
        <f>DSUM($B$57:$Y$63,H$57,$C$70:$D97)</f>
        <v>9.1189510065911999E-2</v>
      </c>
      <c r="I97" s="35">
        <f>DSUM($B$57:$Y$63,I$57,$C$70:$D97)</f>
        <v>0.12404571863350641</v>
      </c>
      <c r="J97" s="35">
        <f>DSUM($B$57:$Y$63,J$57,$C$70:$D97)</f>
        <v>0.16233120962425968</v>
      </c>
      <c r="K97" s="35">
        <f>DSUM($B$57:$Y$63,K$57,$C$70:$D97)</f>
        <v>0.20417530322022398</v>
      </c>
      <c r="L97" s="35">
        <f>DSUM($B$57:$Y$63,L$57,$C$70:$D97)</f>
        <v>0.24673700961265913</v>
      </c>
      <c r="M97" s="35">
        <f>DSUM($B$57:$Y$63,M$57,$C$70:$D97)</f>
        <v>0.28663087529097375</v>
      </c>
      <c r="N97" s="35">
        <f>DSUM($B$57:$Y$63,N$57,$C$70:$D97)</f>
        <v>0.32067480540327647</v>
      </c>
      <c r="O97" s="35">
        <f>DSUM($B$57:$Y$63,O$57,$C$70:$D97)</f>
        <v>0.34673396223874392</v>
      </c>
      <c r="P97" s="35">
        <f>DSUM($B$57:$Y$63,P$57,$C$70:$D97)</f>
        <v>0.36428842570531922</v>
      </c>
      <c r="Q97" s="35">
        <f>DSUM($B$57:$Y$63,Q$57,$C$70:$D97)</f>
        <v>0.37441216777892816</v>
      </c>
      <c r="R97" s="35">
        <f>DSUM($B$57:$Y$63,R$57,$C$70:$D97)</f>
        <v>0.3791563458378896</v>
      </c>
      <c r="S97" s="35">
        <f>DSUM($B$57:$Y$63,S$57,$C$70:$D97)</f>
        <v>0.38069009671761211</v>
      </c>
      <c r="T97" s="35">
        <f>DSUM($B$57:$Y$63,T$57,$C$70:$D97)</f>
        <v>0.46592944811664805</v>
      </c>
      <c r="U97" s="35">
        <f>DSUM($B$57:$Y$63,U$57,$C$70:$D97)</f>
        <v>0.45830743897367443</v>
      </c>
      <c r="V97" s="35">
        <f>DSUM($B$57:$Y$63,V$57,$C$70:$D97)</f>
        <v>0.44955062864692991</v>
      </c>
      <c r="W97" s="35">
        <f>DSUM($B$57:$Y$63,W$57,$C$70:$D97)</f>
        <v>0.44206291747164278</v>
      </c>
      <c r="X97" s="35">
        <f>DSUM($B$57:$Y$63,X$57,$C$70:$D97)</f>
        <v>0.43466620648381571</v>
      </c>
      <c r="Y97" s="35">
        <f>DSUM($B$57:$Y$63,Y$57,$C$70:$D97)</f>
        <v>5.9540791552856289</v>
      </c>
      <c r="Z97" s="7"/>
      <c r="AA97" s="7"/>
      <c r="AB97" s="7"/>
      <c r="AC97" s="7"/>
    </row>
    <row r="98" spans="1:29" customFormat="1">
      <c r="A98" s="7"/>
      <c r="B98" s="7" t="s">
        <v>378</v>
      </c>
      <c r="C98" s="50" t="s">
        <v>357</v>
      </c>
      <c r="D98" s="50" t="s">
        <v>368</v>
      </c>
      <c r="E98" s="35">
        <f>DSUM($B$57:$Y$63,E$57,$C$70:$D98)</f>
        <v>1.6770996029083704E-2</v>
      </c>
      <c r="F98" s="35">
        <f>DSUM($B$57:$Y$63,F$57,$C$70:$D98)</f>
        <v>3.7278261044220717E-2</v>
      </c>
      <c r="G98" s="35">
        <f>DSUM($B$57:$Y$63,G$57,$C$70:$D98)</f>
        <v>6.2278013285361283E-2</v>
      </c>
      <c r="H98" s="35">
        <f>DSUM($B$57:$Y$63,H$57,$C$70:$D98)</f>
        <v>9.1189510065911999E-2</v>
      </c>
      <c r="I98" s="35">
        <f>DSUM($B$57:$Y$63,I$57,$C$70:$D98)</f>
        <v>0.12404571863350641</v>
      </c>
      <c r="J98" s="35">
        <f>DSUM($B$57:$Y$63,J$57,$C$70:$D98)</f>
        <v>0.16233120962425968</v>
      </c>
      <c r="K98" s="35">
        <f>DSUM($B$57:$Y$63,K$57,$C$70:$D98)</f>
        <v>0.20417530322022398</v>
      </c>
      <c r="L98" s="35">
        <f>DSUM($B$57:$Y$63,L$57,$C$70:$D98)</f>
        <v>0.24673700961265913</v>
      </c>
      <c r="M98" s="35">
        <f>DSUM($B$57:$Y$63,M$57,$C$70:$D98)</f>
        <v>0.28663087529097375</v>
      </c>
      <c r="N98" s="35">
        <f>DSUM($B$57:$Y$63,N$57,$C$70:$D98)</f>
        <v>0.32067480540327647</v>
      </c>
      <c r="O98" s="35">
        <f>DSUM($B$57:$Y$63,O$57,$C$70:$D98)</f>
        <v>0.34673396223874392</v>
      </c>
      <c r="P98" s="35">
        <f>DSUM($B$57:$Y$63,P$57,$C$70:$D98)</f>
        <v>0.36428842570531922</v>
      </c>
      <c r="Q98" s="35">
        <f>DSUM($B$57:$Y$63,Q$57,$C$70:$D98)</f>
        <v>0.37441216777892816</v>
      </c>
      <c r="R98" s="35">
        <f>DSUM($B$57:$Y$63,R$57,$C$70:$D98)</f>
        <v>0.3791563458378896</v>
      </c>
      <c r="S98" s="35">
        <f>DSUM($B$57:$Y$63,S$57,$C$70:$D98)</f>
        <v>0.38069009671761211</v>
      </c>
      <c r="T98" s="35">
        <f>DSUM($B$57:$Y$63,T$57,$C$70:$D98)</f>
        <v>0.46592944811664805</v>
      </c>
      <c r="U98" s="35">
        <f>DSUM($B$57:$Y$63,U$57,$C$70:$D98)</f>
        <v>0.45830743897367443</v>
      </c>
      <c r="V98" s="35">
        <f>DSUM($B$57:$Y$63,V$57,$C$70:$D98)</f>
        <v>0.44955062864692991</v>
      </c>
      <c r="W98" s="35">
        <f>DSUM($B$57:$Y$63,W$57,$C$70:$D98)</f>
        <v>0.44206291747164278</v>
      </c>
      <c r="X98" s="35">
        <f>DSUM($B$57:$Y$63,X$57,$C$70:$D98)</f>
        <v>0.43466620648381571</v>
      </c>
      <c r="Y98" s="35">
        <f>DSUM($B$57:$Y$63,Y$57,$C$70:$D98)</f>
        <v>5.9540791552856289</v>
      </c>
      <c r="Z98" s="7"/>
      <c r="AA98" s="7"/>
      <c r="AB98" s="7"/>
      <c r="AC98" s="7"/>
    </row>
    <row r="99" spans="1:29" customFormat="1">
      <c r="A99" s="7"/>
      <c r="B99" s="7" t="s">
        <v>379</v>
      </c>
      <c r="C99" s="50" t="s">
        <v>358</v>
      </c>
      <c r="D99" s="50" t="s">
        <v>369</v>
      </c>
      <c r="E99" s="35">
        <f>DSUM($B$57:$Y$63,E$57,$C$70:$D99)</f>
        <v>1.6770996029083704E-2</v>
      </c>
      <c r="F99" s="35">
        <f>DSUM($B$57:$Y$63,F$57,$C$70:$D99)</f>
        <v>3.7278261044220717E-2</v>
      </c>
      <c r="G99" s="35">
        <f>DSUM($B$57:$Y$63,G$57,$C$70:$D99)</f>
        <v>6.2278013285361283E-2</v>
      </c>
      <c r="H99" s="35">
        <f>DSUM($B$57:$Y$63,H$57,$C$70:$D99)</f>
        <v>9.1189510065911999E-2</v>
      </c>
      <c r="I99" s="35">
        <f>DSUM($B$57:$Y$63,I$57,$C$70:$D99)</f>
        <v>0.12404571863350641</v>
      </c>
      <c r="J99" s="35">
        <f>DSUM($B$57:$Y$63,J$57,$C$70:$D99)</f>
        <v>0.16233120962425968</v>
      </c>
      <c r="K99" s="35">
        <f>DSUM($B$57:$Y$63,K$57,$C$70:$D99)</f>
        <v>0.20417530322022398</v>
      </c>
      <c r="L99" s="35">
        <f>DSUM($B$57:$Y$63,L$57,$C$70:$D99)</f>
        <v>0.24673700961265913</v>
      </c>
      <c r="M99" s="35">
        <f>DSUM($B$57:$Y$63,M$57,$C$70:$D99)</f>
        <v>0.28663087529097375</v>
      </c>
      <c r="N99" s="35">
        <f>DSUM($B$57:$Y$63,N$57,$C$70:$D99)</f>
        <v>0.32067480540327647</v>
      </c>
      <c r="O99" s="35">
        <f>DSUM($B$57:$Y$63,O$57,$C$70:$D99)</f>
        <v>0.34673396223874392</v>
      </c>
      <c r="P99" s="35">
        <f>DSUM($B$57:$Y$63,P$57,$C$70:$D99)</f>
        <v>0.36428842570531922</v>
      </c>
      <c r="Q99" s="35">
        <f>DSUM($B$57:$Y$63,Q$57,$C$70:$D99)</f>
        <v>0.37441216777892816</v>
      </c>
      <c r="R99" s="35">
        <f>DSUM($B$57:$Y$63,R$57,$C$70:$D99)</f>
        <v>0.3791563458378896</v>
      </c>
      <c r="S99" s="35">
        <f>DSUM($B$57:$Y$63,S$57,$C$70:$D99)</f>
        <v>0.38069009671761211</v>
      </c>
      <c r="T99" s="35">
        <f>DSUM($B$57:$Y$63,T$57,$C$70:$D99)</f>
        <v>0.46592944811664805</v>
      </c>
      <c r="U99" s="35">
        <f>DSUM($B$57:$Y$63,U$57,$C$70:$D99)</f>
        <v>0.45830743897367443</v>
      </c>
      <c r="V99" s="35">
        <f>DSUM($B$57:$Y$63,V$57,$C$70:$D99)</f>
        <v>0.44955062864692991</v>
      </c>
      <c r="W99" s="35">
        <f>DSUM($B$57:$Y$63,W$57,$C$70:$D99)</f>
        <v>0.44206291747164278</v>
      </c>
      <c r="X99" s="35">
        <f>DSUM($B$57:$Y$63,X$57,$C$70:$D99)</f>
        <v>0.43466620648381571</v>
      </c>
      <c r="Y99" s="35">
        <f>DSUM($B$57:$Y$63,Y$57,$C$70:$D99)</f>
        <v>5.9540791552856289</v>
      </c>
      <c r="Z99" s="7"/>
      <c r="AA99" s="7"/>
      <c r="AB99" s="7"/>
      <c r="AC99" s="7"/>
    </row>
    <row r="100" spans="1:29" customFormat="1">
      <c r="A100" s="7"/>
      <c r="B100" s="7" t="s">
        <v>380</v>
      </c>
      <c r="C100" s="50" t="s">
        <v>359</v>
      </c>
      <c r="D100" s="50" t="s">
        <v>370</v>
      </c>
      <c r="E100" s="35">
        <f>DSUM($B$57:$Y$63,E$57,$C$70:$D100)</f>
        <v>1.6770996029083704E-2</v>
      </c>
      <c r="F100" s="35">
        <f>DSUM($B$57:$Y$63,F$57,$C$70:$D100)</f>
        <v>3.7278261044220717E-2</v>
      </c>
      <c r="G100" s="35">
        <f>DSUM($B$57:$Y$63,G$57,$C$70:$D100)</f>
        <v>6.2278013285361283E-2</v>
      </c>
      <c r="H100" s="35">
        <f>DSUM($B$57:$Y$63,H$57,$C$70:$D100)</f>
        <v>9.1189510065911999E-2</v>
      </c>
      <c r="I100" s="35">
        <f>DSUM($B$57:$Y$63,I$57,$C$70:$D100)</f>
        <v>0.12404571863350641</v>
      </c>
      <c r="J100" s="35">
        <f>DSUM($B$57:$Y$63,J$57,$C$70:$D100)</f>
        <v>0.16233120962425968</v>
      </c>
      <c r="K100" s="35">
        <f>DSUM($B$57:$Y$63,K$57,$C$70:$D100)</f>
        <v>0.20417530322022398</v>
      </c>
      <c r="L100" s="35">
        <f>DSUM($B$57:$Y$63,L$57,$C$70:$D100)</f>
        <v>0.24673700961265913</v>
      </c>
      <c r="M100" s="35">
        <f>DSUM($B$57:$Y$63,M$57,$C$70:$D100)</f>
        <v>0.28663087529097375</v>
      </c>
      <c r="N100" s="35">
        <f>DSUM($B$57:$Y$63,N$57,$C$70:$D100)</f>
        <v>0.32067480540327647</v>
      </c>
      <c r="O100" s="35">
        <f>DSUM($B$57:$Y$63,O$57,$C$70:$D100)</f>
        <v>0.34673396223874392</v>
      </c>
      <c r="P100" s="35">
        <f>DSUM($B$57:$Y$63,P$57,$C$70:$D100)</f>
        <v>0.36428842570531922</v>
      </c>
      <c r="Q100" s="35">
        <f>DSUM($B$57:$Y$63,Q$57,$C$70:$D100)</f>
        <v>0.37441216777892816</v>
      </c>
      <c r="R100" s="35">
        <f>DSUM($B$57:$Y$63,R$57,$C$70:$D100)</f>
        <v>0.3791563458378896</v>
      </c>
      <c r="S100" s="35">
        <f>DSUM($B$57:$Y$63,S$57,$C$70:$D100)</f>
        <v>0.38069009671761211</v>
      </c>
      <c r="T100" s="35">
        <f>DSUM($B$57:$Y$63,T$57,$C$70:$D100)</f>
        <v>0.46592944811664805</v>
      </c>
      <c r="U100" s="35">
        <f>DSUM($B$57:$Y$63,U$57,$C$70:$D100)</f>
        <v>0.45830743897367443</v>
      </c>
      <c r="V100" s="35">
        <f>DSUM($B$57:$Y$63,V$57,$C$70:$D100)</f>
        <v>0.44955062864692991</v>
      </c>
      <c r="W100" s="35">
        <f>DSUM($B$57:$Y$63,W$57,$C$70:$D100)</f>
        <v>0.44206291747164278</v>
      </c>
      <c r="X100" s="35">
        <f>DSUM($B$57:$Y$63,X$57,$C$70:$D100)</f>
        <v>0.43466620648381571</v>
      </c>
      <c r="Y100" s="35">
        <f>DSUM($B$57:$Y$63,Y$57,$C$70:$D100)</f>
        <v>5.9540791552856289</v>
      </c>
      <c r="Z100" s="7"/>
      <c r="AA100" s="7"/>
      <c r="AB100" s="7"/>
      <c r="AC100" s="7"/>
    </row>
    <row r="101" spans="1:29" customFormat="1">
      <c r="A101" s="7"/>
      <c r="B101" s="7" t="s">
        <v>381</v>
      </c>
      <c r="C101" s="50" t="s">
        <v>360</v>
      </c>
      <c r="D101" s="50" t="s">
        <v>371</v>
      </c>
      <c r="E101" s="35">
        <f>DSUM($B$57:$Y$63,E$57,$C$70:$D101)</f>
        <v>1.6770996029083704E-2</v>
      </c>
      <c r="F101" s="35">
        <f>DSUM($B$57:$Y$63,F$57,$C$70:$D101)</f>
        <v>3.7278261044220717E-2</v>
      </c>
      <c r="G101" s="35">
        <f>DSUM($B$57:$Y$63,G$57,$C$70:$D101)</f>
        <v>6.2278013285361283E-2</v>
      </c>
      <c r="H101" s="35">
        <f>DSUM($B$57:$Y$63,H$57,$C$70:$D101)</f>
        <v>9.1189510065911999E-2</v>
      </c>
      <c r="I101" s="35">
        <f>DSUM($B$57:$Y$63,I$57,$C$70:$D101)</f>
        <v>0.12404571863350641</v>
      </c>
      <c r="J101" s="35">
        <f>DSUM($B$57:$Y$63,J$57,$C$70:$D101)</f>
        <v>0.16233120962425968</v>
      </c>
      <c r="K101" s="35">
        <f>DSUM($B$57:$Y$63,K$57,$C$70:$D101)</f>
        <v>0.20417530322022398</v>
      </c>
      <c r="L101" s="35">
        <f>DSUM($B$57:$Y$63,L$57,$C$70:$D101)</f>
        <v>0.24673700961265913</v>
      </c>
      <c r="M101" s="35">
        <f>DSUM($B$57:$Y$63,M$57,$C$70:$D101)</f>
        <v>0.28663087529097375</v>
      </c>
      <c r="N101" s="35">
        <f>DSUM($B$57:$Y$63,N$57,$C$70:$D101)</f>
        <v>0.32067480540327647</v>
      </c>
      <c r="O101" s="35">
        <f>DSUM($B$57:$Y$63,O$57,$C$70:$D101)</f>
        <v>0.34673396223874392</v>
      </c>
      <c r="P101" s="35">
        <f>DSUM($B$57:$Y$63,P$57,$C$70:$D101)</f>
        <v>0.36428842570531922</v>
      </c>
      <c r="Q101" s="35">
        <f>DSUM($B$57:$Y$63,Q$57,$C$70:$D101)</f>
        <v>0.37441216777892816</v>
      </c>
      <c r="R101" s="35">
        <f>DSUM($B$57:$Y$63,R$57,$C$70:$D101)</f>
        <v>0.3791563458378896</v>
      </c>
      <c r="S101" s="35">
        <f>DSUM($B$57:$Y$63,S$57,$C$70:$D101)</f>
        <v>0.38069009671761211</v>
      </c>
      <c r="T101" s="35">
        <f>DSUM($B$57:$Y$63,T$57,$C$70:$D101)</f>
        <v>0.46592944811664805</v>
      </c>
      <c r="U101" s="35">
        <f>DSUM($B$57:$Y$63,U$57,$C$70:$D101)</f>
        <v>0.45830743897367443</v>
      </c>
      <c r="V101" s="35">
        <f>DSUM($B$57:$Y$63,V$57,$C$70:$D101)</f>
        <v>0.44955062864692991</v>
      </c>
      <c r="W101" s="35">
        <f>DSUM($B$57:$Y$63,W$57,$C$70:$D101)</f>
        <v>0.44206291747164278</v>
      </c>
      <c r="X101" s="35">
        <f>DSUM($B$57:$Y$63,X$57,$C$70:$D101)</f>
        <v>0.43466620648381571</v>
      </c>
      <c r="Y101" s="35">
        <f>DSUM($B$57:$Y$63,Y$57,$C$70:$D101)</f>
        <v>5.9540791552856289</v>
      </c>
      <c r="Z101" s="7"/>
      <c r="AA101" s="7"/>
      <c r="AB101" s="7"/>
      <c r="AC101" s="7"/>
    </row>
    <row r="102" spans="1:29" customFormat="1">
      <c r="A102" s="7"/>
      <c r="B102" s="7" t="s">
        <v>382</v>
      </c>
      <c r="C102" s="50" t="s">
        <v>361</v>
      </c>
      <c r="D102" s="50" t="s">
        <v>133</v>
      </c>
      <c r="E102" s="35">
        <f>DSUM($B$57:$Y$63,E$57,$C$70:$D102)</f>
        <v>0.14165225946042409</v>
      </c>
      <c r="F102" s="35">
        <f>DSUM($B$57:$Y$63,F$57,$C$70:$D102)</f>
        <v>0.31486203303083599</v>
      </c>
      <c r="G102" s="35">
        <f>DSUM($B$57:$Y$63,G$57,$C$70:$D102)</f>
        <v>0.52601653958293393</v>
      </c>
      <c r="H102" s="35">
        <f>DSUM($B$57:$Y$63,H$57,$C$70:$D102)</f>
        <v>0.77021067308852387</v>
      </c>
      <c r="I102" s="35">
        <f>DSUM($B$57:$Y$63,I$57,$C$70:$D102)</f>
        <v>1.0477228836234027</v>
      </c>
      <c r="J102" s="35">
        <f>DSUM($B$57:$Y$63,J$57,$C$70:$D102)</f>
        <v>1.3710922466586768</v>
      </c>
      <c r="K102" s="35">
        <f>DSUM($B$57:$Y$63,K$57,$C$70:$D102)</f>
        <v>1.7245185066531854</v>
      </c>
      <c r="L102" s="35">
        <f>DSUM($B$57:$Y$63,L$57,$C$70:$D102)</f>
        <v>2.0840059137531801</v>
      </c>
      <c r="M102" s="35">
        <f>DSUM($B$57:$Y$63,M$57,$C$70:$D102)</f>
        <v>2.4209600339583282</v>
      </c>
      <c r="N102" s="35">
        <f>DSUM($B$57:$Y$63,N$57,$C$70:$D102)</f>
        <v>2.7085040541797629</v>
      </c>
      <c r="O102" s="35">
        <f>DSUM($B$57:$Y$63,O$57,$C$70:$D102)</f>
        <v>2.9286065715839844</v>
      </c>
      <c r="P102" s="35">
        <f>DSUM($B$57:$Y$63,P$57,$C$70:$D102)</f>
        <v>3.076876203831445</v>
      </c>
      <c r="Q102" s="35">
        <f>DSUM($B$57:$Y$63,Q$57,$C$70:$D102)</f>
        <v>3.1623840017245679</v>
      </c>
      <c r="R102" s="35">
        <f>DSUM($B$57:$Y$63,R$57,$C$70:$D102)</f>
        <v>3.2024545819196302</v>
      </c>
      <c r="S102" s="35">
        <f>DSUM($B$57:$Y$63,S$57,$C$70:$D102)</f>
        <v>3.2154090467102323</v>
      </c>
      <c r="T102" s="35">
        <f>DSUM($B$57:$Y$63,T$57,$C$70:$D102)</f>
        <v>3.9353631090494985</v>
      </c>
      <c r="U102" s="35">
        <f>DSUM($B$57:$Y$63,U$57,$C$70:$D102)</f>
        <v>3.8709856078648408</v>
      </c>
      <c r="V102" s="35">
        <f>DSUM($B$57:$Y$63,V$57,$C$70:$D102)</f>
        <v>3.7970232763313625</v>
      </c>
      <c r="W102" s="35">
        <f>DSUM($B$57:$Y$63,W$57,$C$70:$D102)</f>
        <v>3.7337800912320915</v>
      </c>
      <c r="X102" s="35">
        <f>DSUM($B$57:$Y$63,X$57,$C$70:$D102)</f>
        <v>3.6713055177372045</v>
      </c>
      <c r="Y102" s="35">
        <f>DSUM($B$57:$Y$63,Y$57,$C$70:$D102)</f>
        <v>50.28972422924739</v>
      </c>
      <c r="Z102" s="7"/>
      <c r="AA102" s="7"/>
      <c r="AB102" s="7"/>
      <c r="AC102" s="7"/>
    </row>
    <row r="103" spans="1:29" customForma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row>
    <row r="104" spans="1:29" customForma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row>
    <row r="105" spans="1:29" customFormat="1" ht="15">
      <c r="A105" s="55" t="s">
        <v>134</v>
      </c>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row>
    <row r="106" spans="1:29" customFormat="1" ht="15">
      <c r="A106" s="7"/>
      <c r="B106" s="7"/>
      <c r="C106" s="7"/>
      <c r="D106" s="129" t="str">
        <f>C8</f>
        <v>ASHP</v>
      </c>
      <c r="E106" s="58">
        <f t="shared" ref="E106:X106" si="19">E11</f>
        <v>2016</v>
      </c>
      <c r="F106" s="59">
        <f t="shared" si="19"/>
        <v>2017</v>
      </c>
      <c r="G106" s="59">
        <f t="shared" si="19"/>
        <v>2018</v>
      </c>
      <c r="H106" s="59">
        <f t="shared" si="19"/>
        <v>2019</v>
      </c>
      <c r="I106" s="59">
        <f t="shared" si="19"/>
        <v>2020</v>
      </c>
      <c r="J106" s="59">
        <f t="shared" si="19"/>
        <v>2021</v>
      </c>
      <c r="K106" s="59">
        <f t="shared" si="19"/>
        <v>2022</v>
      </c>
      <c r="L106" s="59">
        <f t="shared" si="19"/>
        <v>2023</v>
      </c>
      <c r="M106" s="59">
        <f t="shared" si="19"/>
        <v>2024</v>
      </c>
      <c r="N106" s="59">
        <f t="shared" si="19"/>
        <v>2025</v>
      </c>
      <c r="O106" s="59">
        <f t="shared" si="19"/>
        <v>2026</v>
      </c>
      <c r="P106" s="59">
        <f t="shared" si="19"/>
        <v>2027</v>
      </c>
      <c r="Q106" s="59">
        <f t="shared" si="19"/>
        <v>2028</v>
      </c>
      <c r="R106" s="59">
        <f t="shared" si="19"/>
        <v>2029</v>
      </c>
      <c r="S106" s="59">
        <f t="shared" si="19"/>
        <v>2030</v>
      </c>
      <c r="T106" s="59">
        <f t="shared" si="19"/>
        <v>2031</v>
      </c>
      <c r="U106" s="59">
        <f t="shared" si="19"/>
        <v>2032</v>
      </c>
      <c r="V106" s="59">
        <f t="shared" si="19"/>
        <v>2033</v>
      </c>
      <c r="W106" s="59">
        <f t="shared" si="19"/>
        <v>2034</v>
      </c>
      <c r="X106" s="59">
        <f t="shared" si="19"/>
        <v>2035</v>
      </c>
      <c r="Y106" s="60" t="s">
        <v>60</v>
      </c>
      <c r="Z106" s="7"/>
      <c r="AA106" s="7"/>
      <c r="AB106" s="7"/>
      <c r="AC106" s="7"/>
    </row>
    <row r="107" spans="1:29" customFormat="1" ht="15">
      <c r="A107" s="7"/>
      <c r="B107" s="7"/>
      <c r="C107" s="7"/>
      <c r="D107" s="7" t="str">
        <f>C8</f>
        <v>ASHP</v>
      </c>
      <c r="E107" s="61" t="str">
        <f>CONCATENATE("aMW_",E$11)</f>
        <v>aMW_2016</v>
      </c>
      <c r="F107" s="62" t="str">
        <f t="shared" ref="F107:X107" si="20">CONCATENATE("aMW_",F$11)</f>
        <v>aMW_2017</v>
      </c>
      <c r="G107" s="62" t="str">
        <f t="shared" si="20"/>
        <v>aMW_2018</v>
      </c>
      <c r="H107" s="62" t="str">
        <f t="shared" si="20"/>
        <v>aMW_2019</v>
      </c>
      <c r="I107" s="62" t="str">
        <f t="shared" si="20"/>
        <v>aMW_2020</v>
      </c>
      <c r="J107" s="62" t="str">
        <f t="shared" si="20"/>
        <v>aMW_2021</v>
      </c>
      <c r="K107" s="62" t="str">
        <f t="shared" si="20"/>
        <v>aMW_2022</v>
      </c>
      <c r="L107" s="62" t="str">
        <f t="shared" si="20"/>
        <v>aMW_2023</v>
      </c>
      <c r="M107" s="62" t="str">
        <f t="shared" si="20"/>
        <v>aMW_2024</v>
      </c>
      <c r="N107" s="62" t="str">
        <f t="shared" si="20"/>
        <v>aMW_2025</v>
      </c>
      <c r="O107" s="62" t="str">
        <f t="shared" si="20"/>
        <v>aMW_2026</v>
      </c>
      <c r="P107" s="62" t="str">
        <f t="shared" si="20"/>
        <v>aMW_2027</v>
      </c>
      <c r="Q107" s="62" t="str">
        <f t="shared" si="20"/>
        <v>aMW_2028</v>
      </c>
      <c r="R107" s="62" t="str">
        <f t="shared" si="20"/>
        <v>aMW_2029</v>
      </c>
      <c r="S107" s="62" t="str">
        <f t="shared" si="20"/>
        <v>aMW_2030</v>
      </c>
      <c r="T107" s="62" t="str">
        <f t="shared" si="20"/>
        <v>aMW_2031</v>
      </c>
      <c r="U107" s="62" t="str">
        <f t="shared" si="20"/>
        <v>aMW_2032</v>
      </c>
      <c r="V107" s="62" t="str">
        <f t="shared" si="20"/>
        <v>aMW_2033</v>
      </c>
      <c r="W107" s="62" t="str">
        <f t="shared" si="20"/>
        <v>aMW_2034</v>
      </c>
      <c r="X107" s="62" t="str">
        <f t="shared" si="20"/>
        <v>aMW_2035</v>
      </c>
      <c r="Y107" s="63" t="s">
        <v>60</v>
      </c>
      <c r="Z107" s="7"/>
      <c r="AA107" s="7"/>
      <c r="AB107" s="7"/>
      <c r="AC107" s="7"/>
    </row>
    <row r="108" spans="1:29" customFormat="1">
      <c r="A108" s="7"/>
      <c r="B108" s="7"/>
      <c r="C108" s="7"/>
      <c r="D108" s="7" t="s">
        <v>68</v>
      </c>
      <c r="E108" s="29">
        <f t="shared" ref="E108:Y108" si="21">E71</f>
        <v>0</v>
      </c>
      <c r="F108" s="29">
        <f t="shared" si="21"/>
        <v>0</v>
      </c>
      <c r="G108" s="29">
        <f t="shared" si="21"/>
        <v>0</v>
      </c>
      <c r="H108" s="29">
        <f t="shared" si="21"/>
        <v>0</v>
      </c>
      <c r="I108" s="29">
        <f t="shared" si="21"/>
        <v>0</v>
      </c>
      <c r="J108" s="29">
        <f t="shared" si="21"/>
        <v>0</v>
      </c>
      <c r="K108" s="29">
        <f t="shared" si="21"/>
        <v>0</v>
      </c>
      <c r="L108" s="29">
        <f t="shared" si="21"/>
        <v>0</v>
      </c>
      <c r="M108" s="29">
        <f t="shared" si="21"/>
        <v>0</v>
      </c>
      <c r="N108" s="29">
        <f t="shared" si="21"/>
        <v>0</v>
      </c>
      <c r="O108" s="29">
        <f t="shared" si="21"/>
        <v>0</v>
      </c>
      <c r="P108" s="29">
        <f t="shared" si="21"/>
        <v>0</v>
      </c>
      <c r="Q108" s="29">
        <f t="shared" si="21"/>
        <v>0</v>
      </c>
      <c r="R108" s="29">
        <f t="shared" si="21"/>
        <v>0</v>
      </c>
      <c r="S108" s="29">
        <f t="shared" si="21"/>
        <v>0</v>
      </c>
      <c r="T108" s="29">
        <f t="shared" si="21"/>
        <v>0</v>
      </c>
      <c r="U108" s="29">
        <f t="shared" si="21"/>
        <v>0</v>
      </c>
      <c r="V108" s="29">
        <f t="shared" si="21"/>
        <v>0</v>
      </c>
      <c r="W108" s="29">
        <f t="shared" si="21"/>
        <v>0</v>
      </c>
      <c r="X108" s="29">
        <f t="shared" si="21"/>
        <v>0</v>
      </c>
      <c r="Y108" s="29">
        <f t="shared" si="21"/>
        <v>0</v>
      </c>
      <c r="Z108" s="7"/>
      <c r="AA108" s="7"/>
      <c r="AB108" s="7"/>
      <c r="AC108" s="7"/>
    </row>
    <row r="109" spans="1:29" customFormat="1">
      <c r="A109" s="7"/>
      <c r="B109" s="7"/>
      <c r="C109" s="7"/>
      <c r="D109" s="7" t="s">
        <v>544</v>
      </c>
      <c r="E109" s="29">
        <f t="shared" ref="E109:Y121" si="22">E72-E71</f>
        <v>0</v>
      </c>
      <c r="F109" s="29">
        <f t="shared" si="22"/>
        <v>0</v>
      </c>
      <c r="G109" s="29">
        <f t="shared" si="22"/>
        <v>0</v>
      </c>
      <c r="H109" s="29">
        <f t="shared" si="22"/>
        <v>0</v>
      </c>
      <c r="I109" s="29">
        <f t="shared" si="22"/>
        <v>0</v>
      </c>
      <c r="J109" s="29">
        <f t="shared" si="22"/>
        <v>0</v>
      </c>
      <c r="K109" s="29">
        <f t="shared" si="22"/>
        <v>0</v>
      </c>
      <c r="L109" s="29">
        <f t="shared" si="22"/>
        <v>0</v>
      </c>
      <c r="M109" s="29">
        <f t="shared" si="22"/>
        <v>0</v>
      </c>
      <c r="N109" s="29">
        <f t="shared" si="22"/>
        <v>0</v>
      </c>
      <c r="O109" s="29">
        <f t="shared" si="22"/>
        <v>0</v>
      </c>
      <c r="P109" s="29">
        <f t="shared" si="22"/>
        <v>0</v>
      </c>
      <c r="Q109" s="29">
        <f t="shared" si="22"/>
        <v>0</v>
      </c>
      <c r="R109" s="29">
        <f t="shared" si="22"/>
        <v>0</v>
      </c>
      <c r="S109" s="29">
        <f t="shared" si="22"/>
        <v>0</v>
      </c>
      <c r="T109" s="29">
        <f t="shared" si="22"/>
        <v>0</v>
      </c>
      <c r="U109" s="29">
        <f t="shared" si="22"/>
        <v>0</v>
      </c>
      <c r="V109" s="29">
        <f t="shared" si="22"/>
        <v>0</v>
      </c>
      <c r="W109" s="29">
        <f t="shared" si="22"/>
        <v>0</v>
      </c>
      <c r="X109" s="29">
        <f t="shared" si="22"/>
        <v>0</v>
      </c>
      <c r="Y109" s="29">
        <f t="shared" si="22"/>
        <v>0</v>
      </c>
      <c r="Z109" s="7"/>
      <c r="AA109" s="7"/>
      <c r="AB109" s="7"/>
      <c r="AC109" s="7"/>
    </row>
    <row r="110" spans="1:29" customFormat="1">
      <c r="A110" s="7"/>
      <c r="B110" s="7"/>
      <c r="C110" s="7"/>
      <c r="D110" s="7" t="s">
        <v>74</v>
      </c>
      <c r="E110" s="29">
        <f t="shared" si="22"/>
        <v>0</v>
      </c>
      <c r="F110" s="29">
        <f t="shared" si="22"/>
        <v>0</v>
      </c>
      <c r="G110" s="29">
        <f t="shared" si="22"/>
        <v>0</v>
      </c>
      <c r="H110" s="29">
        <f t="shared" si="22"/>
        <v>0</v>
      </c>
      <c r="I110" s="29">
        <f t="shared" si="22"/>
        <v>0</v>
      </c>
      <c r="J110" s="29">
        <f t="shared" si="22"/>
        <v>0</v>
      </c>
      <c r="K110" s="29">
        <f t="shared" si="22"/>
        <v>0</v>
      </c>
      <c r="L110" s="29">
        <f t="shared" si="22"/>
        <v>0</v>
      </c>
      <c r="M110" s="29">
        <f t="shared" si="22"/>
        <v>0</v>
      </c>
      <c r="N110" s="29">
        <f t="shared" si="22"/>
        <v>0</v>
      </c>
      <c r="O110" s="29">
        <f t="shared" si="22"/>
        <v>0</v>
      </c>
      <c r="P110" s="29">
        <f t="shared" si="22"/>
        <v>0</v>
      </c>
      <c r="Q110" s="29">
        <f t="shared" si="22"/>
        <v>0</v>
      </c>
      <c r="R110" s="29">
        <f t="shared" si="22"/>
        <v>0</v>
      </c>
      <c r="S110" s="29">
        <f t="shared" si="22"/>
        <v>0</v>
      </c>
      <c r="T110" s="29">
        <f t="shared" si="22"/>
        <v>0</v>
      </c>
      <c r="U110" s="29">
        <f t="shared" si="22"/>
        <v>0</v>
      </c>
      <c r="V110" s="29">
        <f t="shared" si="22"/>
        <v>0</v>
      </c>
      <c r="W110" s="29">
        <f t="shared" si="22"/>
        <v>0</v>
      </c>
      <c r="X110" s="29">
        <f t="shared" si="22"/>
        <v>0</v>
      </c>
      <c r="Y110" s="29">
        <f t="shared" si="22"/>
        <v>0</v>
      </c>
      <c r="Z110" s="7"/>
      <c r="AA110" s="7"/>
      <c r="AB110" s="7"/>
      <c r="AC110" s="7"/>
    </row>
    <row r="111" spans="1:29" customFormat="1">
      <c r="A111" s="7"/>
      <c r="B111" s="7"/>
      <c r="C111" s="7"/>
      <c r="D111" s="7" t="s">
        <v>77</v>
      </c>
      <c r="E111" s="29">
        <f t="shared" si="22"/>
        <v>0</v>
      </c>
      <c r="F111" s="29">
        <f t="shared" si="22"/>
        <v>0</v>
      </c>
      <c r="G111" s="29">
        <f t="shared" si="22"/>
        <v>0</v>
      </c>
      <c r="H111" s="29">
        <f t="shared" si="22"/>
        <v>0</v>
      </c>
      <c r="I111" s="29">
        <f t="shared" si="22"/>
        <v>0</v>
      </c>
      <c r="J111" s="29">
        <f t="shared" si="22"/>
        <v>0</v>
      </c>
      <c r="K111" s="29">
        <f t="shared" si="22"/>
        <v>0</v>
      </c>
      <c r="L111" s="29">
        <f t="shared" si="22"/>
        <v>0</v>
      </c>
      <c r="M111" s="29">
        <f t="shared" si="22"/>
        <v>0</v>
      </c>
      <c r="N111" s="29">
        <f t="shared" si="22"/>
        <v>0</v>
      </c>
      <c r="O111" s="29">
        <f t="shared" si="22"/>
        <v>0</v>
      </c>
      <c r="P111" s="29">
        <f t="shared" si="22"/>
        <v>0</v>
      </c>
      <c r="Q111" s="29">
        <f t="shared" si="22"/>
        <v>0</v>
      </c>
      <c r="R111" s="29">
        <f t="shared" si="22"/>
        <v>0</v>
      </c>
      <c r="S111" s="29">
        <f t="shared" si="22"/>
        <v>0</v>
      </c>
      <c r="T111" s="29">
        <f t="shared" si="22"/>
        <v>0</v>
      </c>
      <c r="U111" s="29">
        <f t="shared" si="22"/>
        <v>0</v>
      </c>
      <c r="V111" s="29">
        <f t="shared" si="22"/>
        <v>0</v>
      </c>
      <c r="W111" s="29">
        <f t="shared" si="22"/>
        <v>0</v>
      </c>
      <c r="X111" s="29">
        <f t="shared" si="22"/>
        <v>0</v>
      </c>
      <c r="Y111" s="29">
        <f t="shared" si="22"/>
        <v>0</v>
      </c>
      <c r="Z111" s="7"/>
      <c r="AA111" s="7"/>
      <c r="AB111" s="7"/>
      <c r="AC111" s="7"/>
    </row>
    <row r="112" spans="1:29" customFormat="1">
      <c r="A112" s="7"/>
      <c r="B112" s="7"/>
      <c r="C112" s="7"/>
      <c r="D112" s="7" t="s">
        <v>80</v>
      </c>
      <c r="E112" s="29">
        <f t="shared" si="22"/>
        <v>0</v>
      </c>
      <c r="F112" s="29">
        <f t="shared" si="22"/>
        <v>0</v>
      </c>
      <c r="G112" s="29">
        <f t="shared" si="22"/>
        <v>0</v>
      </c>
      <c r="H112" s="29">
        <f t="shared" si="22"/>
        <v>0</v>
      </c>
      <c r="I112" s="29">
        <f t="shared" si="22"/>
        <v>0</v>
      </c>
      <c r="J112" s="29">
        <f t="shared" si="22"/>
        <v>0</v>
      </c>
      <c r="K112" s="29">
        <f t="shared" si="22"/>
        <v>0</v>
      </c>
      <c r="L112" s="29">
        <f t="shared" si="22"/>
        <v>0</v>
      </c>
      <c r="M112" s="29">
        <f t="shared" si="22"/>
        <v>0</v>
      </c>
      <c r="N112" s="29">
        <f t="shared" si="22"/>
        <v>0</v>
      </c>
      <c r="O112" s="29">
        <f t="shared" si="22"/>
        <v>0</v>
      </c>
      <c r="P112" s="29">
        <f t="shared" si="22"/>
        <v>0</v>
      </c>
      <c r="Q112" s="29">
        <f t="shared" si="22"/>
        <v>0</v>
      </c>
      <c r="R112" s="29">
        <f t="shared" si="22"/>
        <v>0</v>
      </c>
      <c r="S112" s="29">
        <f t="shared" si="22"/>
        <v>0</v>
      </c>
      <c r="T112" s="29">
        <f t="shared" si="22"/>
        <v>0</v>
      </c>
      <c r="U112" s="29">
        <f t="shared" si="22"/>
        <v>0</v>
      </c>
      <c r="V112" s="29">
        <f t="shared" si="22"/>
        <v>0</v>
      </c>
      <c r="W112" s="29">
        <f t="shared" si="22"/>
        <v>0</v>
      </c>
      <c r="X112" s="29">
        <f t="shared" si="22"/>
        <v>0</v>
      </c>
      <c r="Y112" s="29">
        <f t="shared" si="22"/>
        <v>0</v>
      </c>
      <c r="Z112" s="7"/>
      <c r="AA112" s="7"/>
      <c r="AB112" s="7"/>
      <c r="AC112" s="7"/>
    </row>
    <row r="113" spans="1:29" customFormat="1">
      <c r="A113" s="7"/>
      <c r="B113" s="7"/>
      <c r="C113" s="7"/>
      <c r="D113" s="7" t="s">
        <v>83</v>
      </c>
      <c r="E113" s="29">
        <f t="shared" si="22"/>
        <v>1.4736942487670303E-2</v>
      </c>
      <c r="F113" s="29">
        <f>F76-F75</f>
        <v>3.2757004300540404E-2</v>
      </c>
      <c r="G113" s="29">
        <f t="shared" si="22"/>
        <v>5.4724686502885075E-2</v>
      </c>
      <c r="H113" s="29">
        <f t="shared" si="22"/>
        <v>8.0129681206155517E-2</v>
      </c>
      <c r="I113" s="29">
        <f t="shared" si="22"/>
        <v>0.10900095725820726</v>
      </c>
      <c r="J113" s="29">
        <f t="shared" si="22"/>
        <v>0.14264303062490022</v>
      </c>
      <c r="K113" s="29">
        <f t="shared" si="22"/>
        <v>0.17941210502591004</v>
      </c>
      <c r="L113" s="29">
        <f t="shared" si="22"/>
        <v>0.21681175727045807</v>
      </c>
      <c r="M113" s="29">
        <f t="shared" si="22"/>
        <v>0.25186713520344584</v>
      </c>
      <c r="N113" s="29">
        <f t="shared" si="22"/>
        <v>0.28178208117619757</v>
      </c>
      <c r="O113" s="29">
        <f t="shared" si="22"/>
        <v>0.30468067914232244</v>
      </c>
      <c r="P113" s="29">
        <f t="shared" si="22"/>
        <v>0.32010606700003835</v>
      </c>
      <c r="Q113" s="29">
        <f t="shared" si="22"/>
        <v>0.32900196110436331</v>
      </c>
      <c r="R113" s="29">
        <f t="shared" si="22"/>
        <v>0.33317074625492549</v>
      </c>
      <c r="S113" s="29">
        <f t="shared" si="22"/>
        <v>0.33451847768755405</v>
      </c>
      <c r="T113" s="29">
        <f t="shared" si="22"/>
        <v>0.40941965929152724</v>
      </c>
      <c r="U113" s="29">
        <f t="shared" si="22"/>
        <v>0.4027220779322741</v>
      </c>
      <c r="V113" s="29">
        <f t="shared" si="22"/>
        <v>0.39502732862001622</v>
      </c>
      <c r="W113" s="29">
        <f t="shared" si="22"/>
        <v>0.38844775703326406</v>
      </c>
      <c r="X113" s="29">
        <f t="shared" si="22"/>
        <v>0.3819481487669158</v>
      </c>
      <c r="Y113" s="29">
        <f t="shared" si="22"/>
        <v>5.2319445980618298</v>
      </c>
      <c r="Z113" s="7"/>
      <c r="AA113" s="7"/>
      <c r="AB113" s="7"/>
      <c r="AC113" s="7"/>
    </row>
    <row r="114" spans="1:29" customFormat="1">
      <c r="A114" s="7"/>
      <c r="B114" s="7"/>
      <c r="C114" s="7"/>
      <c r="D114" s="7" t="s">
        <v>86</v>
      </c>
      <c r="E114" s="29">
        <f t="shared" si="22"/>
        <v>0</v>
      </c>
      <c r="F114" s="29">
        <f t="shared" si="22"/>
        <v>0</v>
      </c>
      <c r="G114" s="29">
        <f t="shared" si="22"/>
        <v>0</v>
      </c>
      <c r="H114" s="29">
        <f t="shared" si="22"/>
        <v>0</v>
      </c>
      <c r="I114" s="29">
        <f t="shared" si="22"/>
        <v>0</v>
      </c>
      <c r="J114" s="29">
        <f t="shared" si="22"/>
        <v>0</v>
      </c>
      <c r="K114" s="29">
        <f t="shared" si="22"/>
        <v>0</v>
      </c>
      <c r="L114" s="29">
        <f t="shared" si="22"/>
        <v>0</v>
      </c>
      <c r="M114" s="29">
        <f t="shared" si="22"/>
        <v>0</v>
      </c>
      <c r="N114" s="29">
        <f t="shared" si="22"/>
        <v>0</v>
      </c>
      <c r="O114" s="29">
        <f t="shared" si="22"/>
        <v>0</v>
      </c>
      <c r="P114" s="29">
        <f t="shared" si="22"/>
        <v>0</v>
      </c>
      <c r="Q114" s="29">
        <f t="shared" si="22"/>
        <v>0</v>
      </c>
      <c r="R114" s="29">
        <f t="shared" si="22"/>
        <v>0</v>
      </c>
      <c r="S114" s="29">
        <f t="shared" si="22"/>
        <v>0</v>
      </c>
      <c r="T114" s="29">
        <f t="shared" si="22"/>
        <v>0</v>
      </c>
      <c r="U114" s="29">
        <f t="shared" si="22"/>
        <v>0</v>
      </c>
      <c r="V114" s="29">
        <f t="shared" si="22"/>
        <v>0</v>
      </c>
      <c r="W114" s="29">
        <f t="shared" si="22"/>
        <v>0</v>
      </c>
      <c r="X114" s="29">
        <f t="shared" si="22"/>
        <v>0</v>
      </c>
      <c r="Y114" s="29">
        <f t="shared" si="22"/>
        <v>0</v>
      </c>
      <c r="Z114" s="7"/>
      <c r="AA114" s="7"/>
      <c r="AB114" s="7"/>
      <c r="AC114" s="7"/>
    </row>
    <row r="115" spans="1:29" customFormat="1">
      <c r="A115" s="7"/>
      <c r="B115" s="7"/>
      <c r="C115" s="7"/>
      <c r="D115" s="7" t="s">
        <v>89</v>
      </c>
      <c r="E115" s="29">
        <f t="shared" si="22"/>
        <v>0</v>
      </c>
      <c r="F115" s="29">
        <f t="shared" si="22"/>
        <v>0</v>
      </c>
      <c r="G115" s="29">
        <f t="shared" si="22"/>
        <v>0</v>
      </c>
      <c r="H115" s="29">
        <f t="shared" si="22"/>
        <v>0</v>
      </c>
      <c r="I115" s="29">
        <f t="shared" si="22"/>
        <v>0</v>
      </c>
      <c r="J115" s="29">
        <f t="shared" si="22"/>
        <v>0</v>
      </c>
      <c r="K115" s="29">
        <f t="shared" si="22"/>
        <v>0</v>
      </c>
      <c r="L115" s="29">
        <f t="shared" si="22"/>
        <v>0</v>
      </c>
      <c r="M115" s="29">
        <f t="shared" si="22"/>
        <v>0</v>
      </c>
      <c r="N115" s="29">
        <f t="shared" si="22"/>
        <v>0</v>
      </c>
      <c r="O115" s="29">
        <f t="shared" si="22"/>
        <v>0</v>
      </c>
      <c r="P115" s="29">
        <f t="shared" si="22"/>
        <v>0</v>
      </c>
      <c r="Q115" s="29">
        <f t="shared" si="22"/>
        <v>0</v>
      </c>
      <c r="R115" s="29">
        <f t="shared" si="22"/>
        <v>0</v>
      </c>
      <c r="S115" s="29">
        <f t="shared" si="22"/>
        <v>0</v>
      </c>
      <c r="T115" s="29">
        <f t="shared" si="22"/>
        <v>0</v>
      </c>
      <c r="U115" s="29">
        <f t="shared" si="22"/>
        <v>0</v>
      </c>
      <c r="V115" s="29">
        <f t="shared" si="22"/>
        <v>0</v>
      </c>
      <c r="W115" s="29">
        <f t="shared" si="22"/>
        <v>0</v>
      </c>
      <c r="X115" s="29">
        <f t="shared" si="22"/>
        <v>0</v>
      </c>
      <c r="Y115" s="29">
        <f t="shared" si="22"/>
        <v>0</v>
      </c>
      <c r="Z115" s="7"/>
      <c r="AA115" s="7"/>
      <c r="AB115" s="7"/>
      <c r="AC115" s="7"/>
    </row>
    <row r="116" spans="1:29" customFormat="1">
      <c r="A116" s="7"/>
      <c r="B116" s="7"/>
      <c r="C116" s="7"/>
      <c r="D116" s="7" t="s">
        <v>92</v>
      </c>
      <c r="E116" s="29">
        <f t="shared" si="22"/>
        <v>2.0340535414134012E-3</v>
      </c>
      <c r="F116" s="29">
        <f t="shared" si="22"/>
        <v>4.5212567436803131E-3</v>
      </c>
      <c r="G116" s="29">
        <f t="shared" si="22"/>
        <v>7.5533267824762079E-3</v>
      </c>
      <c r="H116" s="29">
        <f t="shared" si="22"/>
        <v>1.1059828859756482E-2</v>
      </c>
      <c r="I116" s="29">
        <f t="shared" si="22"/>
        <v>1.5044761375299157E-2</v>
      </c>
      <c r="J116" s="29">
        <f t="shared" si="22"/>
        <v>1.9688178999359457E-2</v>
      </c>
      <c r="K116" s="29">
        <f t="shared" si="22"/>
        <v>2.476319819431394E-2</v>
      </c>
      <c r="L116" s="29">
        <f t="shared" si="22"/>
        <v>2.9925252342201059E-2</v>
      </c>
      <c r="M116" s="29">
        <f t="shared" si="22"/>
        <v>3.4763740087527917E-2</v>
      </c>
      <c r="N116" s="29">
        <f t="shared" si="22"/>
        <v>3.8892724227078901E-2</v>
      </c>
      <c r="O116" s="29">
        <f t="shared" si="22"/>
        <v>4.2053283096421479E-2</v>
      </c>
      <c r="P116" s="29">
        <f t="shared" si="22"/>
        <v>4.4182358705280866E-2</v>
      </c>
      <c r="Q116" s="29">
        <f t="shared" si="22"/>
        <v>4.5410206674564857E-2</v>
      </c>
      <c r="R116" s="29">
        <f t="shared" si="22"/>
        <v>4.598559958296411E-2</v>
      </c>
      <c r="S116" s="29">
        <f t="shared" si="22"/>
        <v>4.6171619030058064E-2</v>
      </c>
      <c r="T116" s="29">
        <f t="shared" si="22"/>
        <v>5.650978882512081E-2</v>
      </c>
      <c r="U116" s="29">
        <f t="shared" si="22"/>
        <v>5.5585361041400327E-2</v>
      </c>
      <c r="V116" s="29">
        <f t="shared" si="22"/>
        <v>5.452330002691369E-2</v>
      </c>
      <c r="W116" s="29">
        <f t="shared" si="22"/>
        <v>5.3615160438378717E-2</v>
      </c>
      <c r="X116" s="29">
        <f t="shared" si="22"/>
        <v>5.2718057716899913E-2</v>
      </c>
      <c r="Y116" s="29">
        <f t="shared" si="22"/>
        <v>0.72213455722379916</v>
      </c>
      <c r="Z116" s="7"/>
      <c r="AA116" s="7"/>
      <c r="AB116" s="7"/>
      <c r="AC116" s="7"/>
    </row>
    <row r="117" spans="1:29" customFormat="1">
      <c r="A117" s="7"/>
      <c r="B117" s="7"/>
      <c r="C117" s="7"/>
      <c r="D117" s="7" t="s">
        <v>95</v>
      </c>
      <c r="E117" s="29">
        <f t="shared" si="22"/>
        <v>0</v>
      </c>
      <c r="F117" s="29">
        <f t="shared" si="22"/>
        <v>0</v>
      </c>
      <c r="G117" s="29">
        <f t="shared" si="22"/>
        <v>0</v>
      </c>
      <c r="H117" s="29">
        <f t="shared" si="22"/>
        <v>0</v>
      </c>
      <c r="I117" s="29">
        <f t="shared" si="22"/>
        <v>0</v>
      </c>
      <c r="J117" s="29">
        <f t="shared" si="22"/>
        <v>0</v>
      </c>
      <c r="K117" s="29">
        <f t="shared" si="22"/>
        <v>0</v>
      </c>
      <c r="L117" s="29">
        <f t="shared" si="22"/>
        <v>0</v>
      </c>
      <c r="M117" s="29">
        <f t="shared" si="22"/>
        <v>0</v>
      </c>
      <c r="N117" s="29">
        <f t="shared" si="22"/>
        <v>0</v>
      </c>
      <c r="O117" s="29">
        <f t="shared" si="22"/>
        <v>0</v>
      </c>
      <c r="P117" s="29">
        <f t="shared" si="22"/>
        <v>0</v>
      </c>
      <c r="Q117" s="29">
        <f t="shared" si="22"/>
        <v>0</v>
      </c>
      <c r="R117" s="29">
        <f t="shared" si="22"/>
        <v>0</v>
      </c>
      <c r="S117" s="29">
        <f t="shared" si="22"/>
        <v>0</v>
      </c>
      <c r="T117" s="29">
        <f t="shared" si="22"/>
        <v>0</v>
      </c>
      <c r="U117" s="29">
        <f t="shared" si="22"/>
        <v>0</v>
      </c>
      <c r="V117" s="29">
        <f t="shared" si="22"/>
        <v>0</v>
      </c>
      <c r="W117" s="29">
        <f t="shared" si="22"/>
        <v>0</v>
      </c>
      <c r="X117" s="29">
        <f t="shared" si="22"/>
        <v>0</v>
      </c>
      <c r="Y117" s="29">
        <f t="shared" si="22"/>
        <v>0</v>
      </c>
      <c r="Z117" s="7"/>
      <c r="AA117" s="7"/>
      <c r="AB117" s="7"/>
      <c r="AC117" s="7"/>
    </row>
    <row r="118" spans="1:29" customFormat="1">
      <c r="A118" s="7"/>
      <c r="B118" s="7"/>
      <c r="C118" s="7"/>
      <c r="D118" s="7" t="s">
        <v>98</v>
      </c>
      <c r="E118" s="29">
        <f t="shared" si="22"/>
        <v>0</v>
      </c>
      <c r="F118" s="29">
        <f t="shared" si="22"/>
        <v>0</v>
      </c>
      <c r="G118" s="29">
        <f t="shared" si="22"/>
        <v>0</v>
      </c>
      <c r="H118" s="29">
        <f t="shared" si="22"/>
        <v>0</v>
      </c>
      <c r="I118" s="29">
        <f t="shared" si="22"/>
        <v>0</v>
      </c>
      <c r="J118" s="29">
        <f t="shared" si="22"/>
        <v>0</v>
      </c>
      <c r="K118" s="29">
        <f t="shared" si="22"/>
        <v>0</v>
      </c>
      <c r="L118" s="29">
        <f t="shared" si="22"/>
        <v>0</v>
      </c>
      <c r="M118" s="29">
        <f t="shared" si="22"/>
        <v>0</v>
      </c>
      <c r="N118" s="29">
        <f t="shared" si="22"/>
        <v>0</v>
      </c>
      <c r="O118" s="29">
        <f t="shared" si="22"/>
        <v>0</v>
      </c>
      <c r="P118" s="29">
        <f t="shared" si="22"/>
        <v>0</v>
      </c>
      <c r="Q118" s="29">
        <f t="shared" si="22"/>
        <v>0</v>
      </c>
      <c r="R118" s="29">
        <f t="shared" si="22"/>
        <v>0</v>
      </c>
      <c r="S118" s="29">
        <f t="shared" si="22"/>
        <v>0</v>
      </c>
      <c r="T118" s="29">
        <f t="shared" si="22"/>
        <v>0</v>
      </c>
      <c r="U118" s="29">
        <f t="shared" si="22"/>
        <v>0</v>
      </c>
      <c r="V118" s="29">
        <f t="shared" si="22"/>
        <v>0</v>
      </c>
      <c r="W118" s="29">
        <f t="shared" si="22"/>
        <v>0</v>
      </c>
      <c r="X118" s="29">
        <f t="shared" si="22"/>
        <v>0</v>
      </c>
      <c r="Y118" s="29">
        <f t="shared" si="22"/>
        <v>0</v>
      </c>
      <c r="Z118" s="7"/>
      <c r="AA118" s="7"/>
      <c r="AB118" s="7"/>
      <c r="AC118" s="7"/>
    </row>
    <row r="119" spans="1:29" customFormat="1">
      <c r="A119" s="7"/>
      <c r="B119" s="7"/>
      <c r="C119" s="7"/>
      <c r="D119" s="7" t="s">
        <v>101</v>
      </c>
      <c r="E119" s="29">
        <f t="shared" si="22"/>
        <v>0</v>
      </c>
      <c r="F119" s="29">
        <f t="shared" si="22"/>
        <v>0</v>
      </c>
      <c r="G119" s="29">
        <f t="shared" si="22"/>
        <v>0</v>
      </c>
      <c r="H119" s="29">
        <f t="shared" si="22"/>
        <v>0</v>
      </c>
      <c r="I119" s="29">
        <f t="shared" si="22"/>
        <v>0</v>
      </c>
      <c r="J119" s="29">
        <f t="shared" si="22"/>
        <v>0</v>
      </c>
      <c r="K119" s="29">
        <f t="shared" si="22"/>
        <v>0</v>
      </c>
      <c r="L119" s="29">
        <f t="shared" si="22"/>
        <v>0</v>
      </c>
      <c r="M119" s="29">
        <f t="shared" si="22"/>
        <v>0</v>
      </c>
      <c r="N119" s="29">
        <f t="shared" si="22"/>
        <v>0</v>
      </c>
      <c r="O119" s="29">
        <f t="shared" si="22"/>
        <v>0</v>
      </c>
      <c r="P119" s="29">
        <f t="shared" si="22"/>
        <v>0</v>
      </c>
      <c r="Q119" s="29">
        <f t="shared" si="22"/>
        <v>0</v>
      </c>
      <c r="R119" s="29">
        <f t="shared" si="22"/>
        <v>0</v>
      </c>
      <c r="S119" s="29">
        <f t="shared" si="22"/>
        <v>0</v>
      </c>
      <c r="T119" s="29">
        <f t="shared" si="22"/>
        <v>0</v>
      </c>
      <c r="U119" s="29">
        <f t="shared" si="22"/>
        <v>0</v>
      </c>
      <c r="V119" s="29">
        <f t="shared" si="22"/>
        <v>0</v>
      </c>
      <c r="W119" s="29">
        <f t="shared" si="22"/>
        <v>0</v>
      </c>
      <c r="X119" s="29">
        <f t="shared" si="22"/>
        <v>0</v>
      </c>
      <c r="Y119" s="29">
        <f t="shared" si="22"/>
        <v>0</v>
      </c>
      <c r="Z119" s="7"/>
      <c r="AA119" s="7"/>
      <c r="AB119" s="7"/>
      <c r="AC119" s="7"/>
    </row>
    <row r="120" spans="1:29" customFormat="1">
      <c r="A120" s="7"/>
      <c r="B120" s="7"/>
      <c r="C120" s="7"/>
      <c r="D120" s="7" t="s">
        <v>104</v>
      </c>
      <c r="E120" s="29">
        <f t="shared" si="22"/>
        <v>0</v>
      </c>
      <c r="F120" s="29">
        <f t="shared" si="22"/>
        <v>0</v>
      </c>
      <c r="G120" s="29">
        <f t="shared" si="22"/>
        <v>0</v>
      </c>
      <c r="H120" s="29">
        <f t="shared" si="22"/>
        <v>0</v>
      </c>
      <c r="I120" s="29">
        <f t="shared" si="22"/>
        <v>0</v>
      </c>
      <c r="J120" s="29">
        <f t="shared" si="22"/>
        <v>0</v>
      </c>
      <c r="K120" s="29">
        <f t="shared" si="22"/>
        <v>0</v>
      </c>
      <c r="L120" s="29">
        <f t="shared" si="22"/>
        <v>0</v>
      </c>
      <c r="M120" s="29">
        <f t="shared" si="22"/>
        <v>0</v>
      </c>
      <c r="N120" s="29">
        <f t="shared" si="22"/>
        <v>0</v>
      </c>
      <c r="O120" s="29">
        <f t="shared" si="22"/>
        <v>0</v>
      </c>
      <c r="P120" s="29">
        <f t="shared" si="22"/>
        <v>0</v>
      </c>
      <c r="Q120" s="29">
        <f t="shared" si="22"/>
        <v>0</v>
      </c>
      <c r="R120" s="29">
        <f t="shared" si="22"/>
        <v>0</v>
      </c>
      <c r="S120" s="29">
        <f t="shared" si="22"/>
        <v>0</v>
      </c>
      <c r="T120" s="29">
        <f t="shared" si="22"/>
        <v>0</v>
      </c>
      <c r="U120" s="29">
        <f t="shared" si="22"/>
        <v>0</v>
      </c>
      <c r="V120" s="29">
        <f t="shared" si="22"/>
        <v>0</v>
      </c>
      <c r="W120" s="29">
        <f t="shared" si="22"/>
        <v>0</v>
      </c>
      <c r="X120" s="29">
        <f t="shared" si="22"/>
        <v>0</v>
      </c>
      <c r="Y120" s="29">
        <f t="shared" si="22"/>
        <v>0</v>
      </c>
      <c r="Z120" s="7"/>
      <c r="AA120" s="7"/>
      <c r="AB120" s="7"/>
      <c r="AC120" s="7"/>
    </row>
    <row r="121" spans="1:29" customFormat="1">
      <c r="A121" s="7"/>
      <c r="B121" s="7"/>
      <c r="C121" s="7"/>
      <c r="D121" s="7" t="s">
        <v>107</v>
      </c>
      <c r="E121" s="29">
        <f t="shared" si="22"/>
        <v>0</v>
      </c>
      <c r="F121" s="29">
        <f t="shared" si="22"/>
        <v>0</v>
      </c>
      <c r="G121" s="29">
        <f t="shared" si="22"/>
        <v>0</v>
      </c>
      <c r="H121" s="29">
        <f t="shared" si="22"/>
        <v>0</v>
      </c>
      <c r="I121" s="29">
        <f t="shared" ref="E121:Y133" si="23">I84-I83</f>
        <v>0</v>
      </c>
      <c r="J121" s="29">
        <f t="shared" si="23"/>
        <v>0</v>
      </c>
      <c r="K121" s="29">
        <f t="shared" si="23"/>
        <v>0</v>
      </c>
      <c r="L121" s="29">
        <f t="shared" si="23"/>
        <v>0</v>
      </c>
      <c r="M121" s="29">
        <f t="shared" si="23"/>
        <v>0</v>
      </c>
      <c r="N121" s="29">
        <f t="shared" si="23"/>
        <v>0</v>
      </c>
      <c r="O121" s="29">
        <f t="shared" si="23"/>
        <v>0</v>
      </c>
      <c r="P121" s="29">
        <f t="shared" si="23"/>
        <v>0</v>
      </c>
      <c r="Q121" s="29">
        <f t="shared" si="23"/>
        <v>0</v>
      </c>
      <c r="R121" s="29">
        <f t="shared" si="23"/>
        <v>0</v>
      </c>
      <c r="S121" s="29">
        <f t="shared" si="23"/>
        <v>0</v>
      </c>
      <c r="T121" s="29">
        <f t="shared" si="23"/>
        <v>0</v>
      </c>
      <c r="U121" s="29">
        <f t="shared" si="23"/>
        <v>0</v>
      </c>
      <c r="V121" s="29">
        <f t="shared" si="23"/>
        <v>0</v>
      </c>
      <c r="W121" s="29">
        <f t="shared" si="23"/>
        <v>0</v>
      </c>
      <c r="X121" s="29">
        <f t="shared" si="23"/>
        <v>0</v>
      </c>
      <c r="Y121" s="29">
        <f t="shared" si="23"/>
        <v>0</v>
      </c>
      <c r="Z121" s="7"/>
      <c r="AA121" s="7"/>
      <c r="AB121" s="7"/>
      <c r="AC121" s="7"/>
    </row>
    <row r="122" spans="1:29" customFormat="1">
      <c r="A122" s="7"/>
      <c r="B122" s="7"/>
      <c r="C122" s="7"/>
      <c r="D122" s="7" t="s">
        <v>110</v>
      </c>
      <c r="E122" s="29">
        <f t="shared" si="23"/>
        <v>0</v>
      </c>
      <c r="F122" s="29">
        <f t="shared" si="23"/>
        <v>0</v>
      </c>
      <c r="G122" s="29">
        <f t="shared" si="23"/>
        <v>0</v>
      </c>
      <c r="H122" s="29">
        <f t="shared" si="23"/>
        <v>0</v>
      </c>
      <c r="I122" s="29">
        <f t="shared" si="23"/>
        <v>0</v>
      </c>
      <c r="J122" s="29">
        <f t="shared" si="23"/>
        <v>0</v>
      </c>
      <c r="K122" s="29">
        <f t="shared" si="23"/>
        <v>0</v>
      </c>
      <c r="L122" s="29">
        <f t="shared" si="23"/>
        <v>0</v>
      </c>
      <c r="M122" s="29">
        <f t="shared" si="23"/>
        <v>0</v>
      </c>
      <c r="N122" s="29">
        <f t="shared" si="23"/>
        <v>0</v>
      </c>
      <c r="O122" s="29">
        <f t="shared" si="23"/>
        <v>0</v>
      </c>
      <c r="P122" s="29">
        <f t="shared" si="23"/>
        <v>0</v>
      </c>
      <c r="Q122" s="29">
        <f t="shared" si="23"/>
        <v>0</v>
      </c>
      <c r="R122" s="29">
        <f t="shared" si="23"/>
        <v>0</v>
      </c>
      <c r="S122" s="29">
        <f t="shared" si="23"/>
        <v>0</v>
      </c>
      <c r="T122" s="29">
        <f t="shared" si="23"/>
        <v>0</v>
      </c>
      <c r="U122" s="29">
        <f t="shared" si="23"/>
        <v>0</v>
      </c>
      <c r="V122" s="29">
        <f t="shared" si="23"/>
        <v>0</v>
      </c>
      <c r="W122" s="29">
        <f t="shared" si="23"/>
        <v>0</v>
      </c>
      <c r="X122" s="29">
        <f t="shared" si="23"/>
        <v>0</v>
      </c>
      <c r="Y122" s="29">
        <f t="shared" si="23"/>
        <v>0</v>
      </c>
      <c r="Z122" s="7"/>
      <c r="AA122" s="7"/>
      <c r="AB122" s="7"/>
      <c r="AC122" s="7"/>
    </row>
    <row r="123" spans="1:29" customFormat="1">
      <c r="A123" s="7"/>
      <c r="B123" s="7"/>
      <c r="C123" s="7"/>
      <c r="D123" s="7" t="s">
        <v>113</v>
      </c>
      <c r="E123" s="29">
        <f t="shared" si="23"/>
        <v>0</v>
      </c>
      <c r="F123" s="29">
        <f t="shared" si="23"/>
        <v>0</v>
      </c>
      <c r="G123" s="29">
        <f t="shared" si="23"/>
        <v>0</v>
      </c>
      <c r="H123" s="29">
        <f t="shared" si="23"/>
        <v>0</v>
      </c>
      <c r="I123" s="29">
        <f t="shared" si="23"/>
        <v>0</v>
      </c>
      <c r="J123" s="29">
        <f t="shared" si="23"/>
        <v>0</v>
      </c>
      <c r="K123" s="29">
        <f t="shared" si="23"/>
        <v>0</v>
      </c>
      <c r="L123" s="29">
        <f t="shared" si="23"/>
        <v>0</v>
      </c>
      <c r="M123" s="29">
        <f t="shared" si="23"/>
        <v>0</v>
      </c>
      <c r="N123" s="29">
        <f t="shared" si="23"/>
        <v>0</v>
      </c>
      <c r="O123" s="29">
        <f t="shared" si="23"/>
        <v>0</v>
      </c>
      <c r="P123" s="29">
        <f t="shared" si="23"/>
        <v>0</v>
      </c>
      <c r="Q123" s="29">
        <f t="shared" si="23"/>
        <v>0</v>
      </c>
      <c r="R123" s="29">
        <f t="shared" si="23"/>
        <v>0</v>
      </c>
      <c r="S123" s="29">
        <f t="shared" si="23"/>
        <v>0</v>
      </c>
      <c r="T123" s="29">
        <f t="shared" si="23"/>
        <v>0</v>
      </c>
      <c r="U123" s="29">
        <f t="shared" si="23"/>
        <v>0</v>
      </c>
      <c r="V123" s="29">
        <f t="shared" si="23"/>
        <v>0</v>
      </c>
      <c r="W123" s="29">
        <f t="shared" si="23"/>
        <v>0</v>
      </c>
      <c r="X123" s="29">
        <f t="shared" si="23"/>
        <v>0</v>
      </c>
      <c r="Y123" s="29">
        <f t="shared" si="23"/>
        <v>0</v>
      </c>
      <c r="Z123" s="7"/>
      <c r="AA123" s="7"/>
      <c r="AB123" s="7"/>
      <c r="AC123" s="7"/>
    </row>
    <row r="124" spans="1:29" customFormat="1">
      <c r="A124" s="7"/>
      <c r="B124" s="7"/>
      <c r="C124" s="7"/>
      <c r="D124" s="7" t="s">
        <v>116</v>
      </c>
      <c r="E124" s="29">
        <f t="shared" si="23"/>
        <v>0</v>
      </c>
      <c r="F124" s="29">
        <f t="shared" si="23"/>
        <v>0</v>
      </c>
      <c r="G124" s="29">
        <f t="shared" si="23"/>
        <v>0</v>
      </c>
      <c r="H124" s="29">
        <f t="shared" si="23"/>
        <v>0</v>
      </c>
      <c r="I124" s="29">
        <f t="shared" si="23"/>
        <v>0</v>
      </c>
      <c r="J124" s="29">
        <f t="shared" si="23"/>
        <v>0</v>
      </c>
      <c r="K124" s="29">
        <f t="shared" si="23"/>
        <v>0</v>
      </c>
      <c r="L124" s="29">
        <f t="shared" si="23"/>
        <v>0</v>
      </c>
      <c r="M124" s="29">
        <f t="shared" si="23"/>
        <v>0</v>
      </c>
      <c r="N124" s="29">
        <f t="shared" si="23"/>
        <v>0</v>
      </c>
      <c r="O124" s="29">
        <f t="shared" si="23"/>
        <v>0</v>
      </c>
      <c r="P124" s="29">
        <f t="shared" si="23"/>
        <v>0</v>
      </c>
      <c r="Q124" s="29">
        <f t="shared" si="23"/>
        <v>0</v>
      </c>
      <c r="R124" s="29">
        <f t="shared" si="23"/>
        <v>0</v>
      </c>
      <c r="S124" s="29">
        <f t="shared" si="23"/>
        <v>0</v>
      </c>
      <c r="T124" s="29">
        <f t="shared" si="23"/>
        <v>0</v>
      </c>
      <c r="U124" s="29">
        <f t="shared" si="23"/>
        <v>0</v>
      </c>
      <c r="V124" s="29">
        <f t="shared" si="23"/>
        <v>0</v>
      </c>
      <c r="W124" s="29">
        <f t="shared" si="23"/>
        <v>0</v>
      </c>
      <c r="X124" s="29">
        <f t="shared" si="23"/>
        <v>0</v>
      </c>
      <c r="Y124" s="29">
        <f t="shared" si="23"/>
        <v>0</v>
      </c>
      <c r="Z124" s="7"/>
      <c r="AA124" s="7"/>
      <c r="AB124" s="7"/>
      <c r="AC124" s="7"/>
    </row>
    <row r="125" spans="1:29" customFormat="1">
      <c r="A125" s="7"/>
      <c r="B125" s="7"/>
      <c r="C125" s="7"/>
      <c r="D125" s="7" t="s">
        <v>119</v>
      </c>
      <c r="E125" s="29">
        <f t="shared" si="23"/>
        <v>0</v>
      </c>
      <c r="F125" s="29">
        <f t="shared" si="23"/>
        <v>0</v>
      </c>
      <c r="G125" s="29">
        <f t="shared" si="23"/>
        <v>0</v>
      </c>
      <c r="H125" s="29">
        <f t="shared" si="23"/>
        <v>0</v>
      </c>
      <c r="I125" s="29">
        <f t="shared" si="23"/>
        <v>0</v>
      </c>
      <c r="J125" s="29">
        <f t="shared" si="23"/>
        <v>0</v>
      </c>
      <c r="K125" s="29">
        <f t="shared" si="23"/>
        <v>0</v>
      </c>
      <c r="L125" s="29">
        <f t="shared" si="23"/>
        <v>0</v>
      </c>
      <c r="M125" s="29">
        <f t="shared" si="23"/>
        <v>0</v>
      </c>
      <c r="N125" s="29">
        <f t="shared" si="23"/>
        <v>0</v>
      </c>
      <c r="O125" s="29">
        <f t="shared" si="23"/>
        <v>0</v>
      </c>
      <c r="P125" s="29">
        <f t="shared" si="23"/>
        <v>0</v>
      </c>
      <c r="Q125" s="29">
        <f t="shared" si="23"/>
        <v>0</v>
      </c>
      <c r="R125" s="29">
        <f t="shared" si="23"/>
        <v>0</v>
      </c>
      <c r="S125" s="29">
        <f t="shared" si="23"/>
        <v>0</v>
      </c>
      <c r="T125" s="29">
        <f t="shared" si="23"/>
        <v>0</v>
      </c>
      <c r="U125" s="29">
        <f t="shared" si="23"/>
        <v>0</v>
      </c>
      <c r="V125" s="29">
        <f t="shared" si="23"/>
        <v>0</v>
      </c>
      <c r="W125" s="29">
        <f t="shared" si="23"/>
        <v>0</v>
      </c>
      <c r="X125" s="29">
        <f t="shared" si="23"/>
        <v>0</v>
      </c>
      <c r="Y125" s="29">
        <f t="shared" si="23"/>
        <v>0</v>
      </c>
      <c r="Z125" s="7"/>
      <c r="AA125" s="7"/>
      <c r="AB125" s="7"/>
      <c r="AC125" s="7"/>
    </row>
    <row r="126" spans="1:29" customFormat="1">
      <c r="A126" s="7"/>
      <c r="B126" s="7"/>
      <c r="C126" s="7"/>
      <c r="D126" s="7" t="s">
        <v>122</v>
      </c>
      <c r="E126" s="29">
        <f t="shared" si="23"/>
        <v>0</v>
      </c>
      <c r="F126" s="29">
        <f t="shared" si="23"/>
        <v>0</v>
      </c>
      <c r="G126" s="29">
        <f t="shared" si="23"/>
        <v>0</v>
      </c>
      <c r="H126" s="29">
        <f t="shared" si="23"/>
        <v>0</v>
      </c>
      <c r="I126" s="29">
        <f t="shared" si="23"/>
        <v>0</v>
      </c>
      <c r="J126" s="29">
        <f t="shared" si="23"/>
        <v>0</v>
      </c>
      <c r="K126" s="29">
        <f t="shared" si="23"/>
        <v>0</v>
      </c>
      <c r="L126" s="29">
        <f t="shared" si="23"/>
        <v>0</v>
      </c>
      <c r="M126" s="29">
        <f t="shared" si="23"/>
        <v>0</v>
      </c>
      <c r="N126" s="29">
        <f t="shared" si="23"/>
        <v>0</v>
      </c>
      <c r="O126" s="29">
        <f t="shared" si="23"/>
        <v>0</v>
      </c>
      <c r="P126" s="29">
        <f t="shared" si="23"/>
        <v>0</v>
      </c>
      <c r="Q126" s="29">
        <f t="shared" si="23"/>
        <v>0</v>
      </c>
      <c r="R126" s="29">
        <f t="shared" si="23"/>
        <v>0</v>
      </c>
      <c r="S126" s="29">
        <f t="shared" si="23"/>
        <v>0</v>
      </c>
      <c r="T126" s="29">
        <f t="shared" si="23"/>
        <v>0</v>
      </c>
      <c r="U126" s="29">
        <f t="shared" si="23"/>
        <v>0</v>
      </c>
      <c r="V126" s="29">
        <f t="shared" si="23"/>
        <v>0</v>
      </c>
      <c r="W126" s="29">
        <f t="shared" si="23"/>
        <v>0</v>
      </c>
      <c r="X126" s="29">
        <f t="shared" si="23"/>
        <v>0</v>
      </c>
      <c r="Y126" s="29">
        <f t="shared" si="23"/>
        <v>0</v>
      </c>
      <c r="Z126" s="7"/>
      <c r="AA126" s="7"/>
      <c r="AB126" s="7"/>
      <c r="AC126" s="7"/>
    </row>
    <row r="127" spans="1:29" customFormat="1">
      <c r="A127" s="7"/>
      <c r="B127" s="7"/>
      <c r="C127" s="7"/>
      <c r="D127" s="7" t="s">
        <v>125</v>
      </c>
      <c r="E127" s="29">
        <f t="shared" si="23"/>
        <v>0</v>
      </c>
      <c r="F127" s="29">
        <f t="shared" si="23"/>
        <v>0</v>
      </c>
      <c r="G127" s="29">
        <f t="shared" si="23"/>
        <v>0</v>
      </c>
      <c r="H127" s="29">
        <f t="shared" si="23"/>
        <v>0</v>
      </c>
      <c r="I127" s="29">
        <f t="shared" si="23"/>
        <v>0</v>
      </c>
      <c r="J127" s="29">
        <f t="shared" si="23"/>
        <v>0</v>
      </c>
      <c r="K127" s="29">
        <f t="shared" si="23"/>
        <v>0</v>
      </c>
      <c r="L127" s="29">
        <f t="shared" si="23"/>
        <v>0</v>
      </c>
      <c r="M127" s="29">
        <f t="shared" si="23"/>
        <v>0</v>
      </c>
      <c r="N127" s="29">
        <f t="shared" si="23"/>
        <v>0</v>
      </c>
      <c r="O127" s="29">
        <f t="shared" si="23"/>
        <v>0</v>
      </c>
      <c r="P127" s="29">
        <f t="shared" si="23"/>
        <v>0</v>
      </c>
      <c r="Q127" s="29">
        <f t="shared" si="23"/>
        <v>0</v>
      </c>
      <c r="R127" s="29">
        <f t="shared" si="23"/>
        <v>0</v>
      </c>
      <c r="S127" s="29">
        <f t="shared" si="23"/>
        <v>0</v>
      </c>
      <c r="T127" s="29">
        <f t="shared" si="23"/>
        <v>0</v>
      </c>
      <c r="U127" s="29">
        <f t="shared" si="23"/>
        <v>0</v>
      </c>
      <c r="V127" s="29">
        <f t="shared" si="23"/>
        <v>0</v>
      </c>
      <c r="W127" s="29">
        <f t="shared" si="23"/>
        <v>0</v>
      </c>
      <c r="X127" s="29">
        <f t="shared" si="23"/>
        <v>0</v>
      </c>
      <c r="Y127" s="29">
        <f t="shared" si="23"/>
        <v>0</v>
      </c>
      <c r="Z127" s="7"/>
      <c r="AA127" s="7"/>
      <c r="AB127" s="7"/>
      <c r="AC127" s="7"/>
    </row>
    <row r="128" spans="1:29" customFormat="1">
      <c r="A128" s="7"/>
      <c r="B128" s="7"/>
      <c r="C128" s="7"/>
      <c r="D128" s="7" t="s">
        <v>128</v>
      </c>
      <c r="E128" s="29">
        <f t="shared" si="23"/>
        <v>0</v>
      </c>
      <c r="F128" s="29">
        <f t="shared" si="23"/>
        <v>0</v>
      </c>
      <c r="G128" s="29">
        <f t="shared" si="23"/>
        <v>0</v>
      </c>
      <c r="H128" s="29">
        <f t="shared" si="23"/>
        <v>0</v>
      </c>
      <c r="I128" s="29">
        <f t="shared" si="23"/>
        <v>0</v>
      </c>
      <c r="J128" s="29">
        <f t="shared" si="23"/>
        <v>0</v>
      </c>
      <c r="K128" s="29">
        <f t="shared" si="23"/>
        <v>0</v>
      </c>
      <c r="L128" s="29">
        <f t="shared" si="23"/>
        <v>0</v>
      </c>
      <c r="M128" s="29">
        <f t="shared" si="23"/>
        <v>0</v>
      </c>
      <c r="N128" s="29">
        <f t="shared" si="23"/>
        <v>0</v>
      </c>
      <c r="O128" s="29">
        <f t="shared" si="23"/>
        <v>0</v>
      </c>
      <c r="P128" s="29">
        <f t="shared" si="23"/>
        <v>0</v>
      </c>
      <c r="Q128" s="29">
        <f t="shared" si="23"/>
        <v>0</v>
      </c>
      <c r="R128" s="29">
        <f t="shared" si="23"/>
        <v>0</v>
      </c>
      <c r="S128" s="29">
        <f t="shared" si="23"/>
        <v>0</v>
      </c>
      <c r="T128" s="29">
        <f t="shared" si="23"/>
        <v>0</v>
      </c>
      <c r="U128" s="29">
        <f t="shared" si="23"/>
        <v>0</v>
      </c>
      <c r="V128" s="29">
        <f t="shared" si="23"/>
        <v>0</v>
      </c>
      <c r="W128" s="29">
        <f t="shared" si="23"/>
        <v>0</v>
      </c>
      <c r="X128" s="29">
        <f t="shared" si="23"/>
        <v>0</v>
      </c>
      <c r="Y128" s="29">
        <f t="shared" si="23"/>
        <v>0</v>
      </c>
      <c r="Z128" s="7"/>
      <c r="AA128" s="7"/>
      <c r="AB128" s="7"/>
      <c r="AC128" s="7"/>
    </row>
    <row r="129" spans="1:29" customFormat="1">
      <c r="A129" s="7"/>
      <c r="B129" s="7"/>
      <c r="C129" s="7"/>
      <c r="D129" s="7" t="s">
        <v>372</v>
      </c>
      <c r="E129" s="29">
        <f t="shared" si="23"/>
        <v>0</v>
      </c>
      <c r="F129" s="29">
        <f t="shared" si="23"/>
        <v>0</v>
      </c>
      <c r="G129" s="29">
        <f t="shared" si="23"/>
        <v>0</v>
      </c>
      <c r="H129" s="29">
        <f t="shared" si="23"/>
        <v>0</v>
      </c>
      <c r="I129" s="29">
        <f t="shared" si="23"/>
        <v>0</v>
      </c>
      <c r="J129" s="29">
        <f t="shared" si="23"/>
        <v>0</v>
      </c>
      <c r="K129" s="29">
        <f t="shared" si="23"/>
        <v>0</v>
      </c>
      <c r="L129" s="29">
        <f t="shared" si="23"/>
        <v>0</v>
      </c>
      <c r="M129" s="29">
        <f t="shared" si="23"/>
        <v>0</v>
      </c>
      <c r="N129" s="29">
        <f t="shared" si="23"/>
        <v>0</v>
      </c>
      <c r="O129" s="29">
        <f t="shared" si="23"/>
        <v>0</v>
      </c>
      <c r="P129" s="29">
        <f t="shared" si="23"/>
        <v>0</v>
      </c>
      <c r="Q129" s="29">
        <f t="shared" si="23"/>
        <v>0</v>
      </c>
      <c r="R129" s="29">
        <f t="shared" si="23"/>
        <v>0</v>
      </c>
      <c r="S129" s="29">
        <f t="shared" si="23"/>
        <v>0</v>
      </c>
      <c r="T129" s="29">
        <f t="shared" si="23"/>
        <v>0</v>
      </c>
      <c r="U129" s="29">
        <f t="shared" si="23"/>
        <v>0</v>
      </c>
      <c r="V129" s="29">
        <f t="shared" si="23"/>
        <v>0</v>
      </c>
      <c r="W129" s="29">
        <f t="shared" si="23"/>
        <v>0</v>
      </c>
      <c r="X129" s="29">
        <f t="shared" si="23"/>
        <v>0</v>
      </c>
      <c r="Y129" s="29">
        <f t="shared" si="23"/>
        <v>0</v>
      </c>
      <c r="Z129" s="7"/>
      <c r="AA129" s="7"/>
      <c r="AB129" s="7"/>
      <c r="AC129" s="7"/>
    </row>
    <row r="130" spans="1:29" customFormat="1">
      <c r="A130" s="7"/>
      <c r="B130" s="7"/>
      <c r="C130" s="7"/>
      <c r="D130" s="7" t="s">
        <v>373</v>
      </c>
      <c r="E130" s="29">
        <f t="shared" si="23"/>
        <v>0</v>
      </c>
      <c r="F130" s="29">
        <f t="shared" si="23"/>
        <v>0</v>
      </c>
      <c r="G130" s="29">
        <f t="shared" si="23"/>
        <v>0</v>
      </c>
      <c r="H130" s="29">
        <f t="shared" si="23"/>
        <v>0</v>
      </c>
      <c r="I130" s="29">
        <f t="shared" si="23"/>
        <v>0</v>
      </c>
      <c r="J130" s="29">
        <f t="shared" si="23"/>
        <v>0</v>
      </c>
      <c r="K130" s="29">
        <f t="shared" si="23"/>
        <v>0</v>
      </c>
      <c r="L130" s="29">
        <f t="shared" si="23"/>
        <v>0</v>
      </c>
      <c r="M130" s="29">
        <f t="shared" si="23"/>
        <v>0</v>
      </c>
      <c r="N130" s="29">
        <f t="shared" si="23"/>
        <v>0</v>
      </c>
      <c r="O130" s="29">
        <f t="shared" si="23"/>
        <v>0</v>
      </c>
      <c r="P130" s="29">
        <f t="shared" si="23"/>
        <v>0</v>
      </c>
      <c r="Q130" s="29">
        <f t="shared" si="23"/>
        <v>0</v>
      </c>
      <c r="R130" s="29">
        <f t="shared" si="23"/>
        <v>0</v>
      </c>
      <c r="S130" s="29">
        <f t="shared" si="23"/>
        <v>0</v>
      </c>
      <c r="T130" s="29">
        <f t="shared" si="23"/>
        <v>0</v>
      </c>
      <c r="U130" s="29">
        <f t="shared" si="23"/>
        <v>0</v>
      </c>
      <c r="V130" s="29">
        <f t="shared" si="23"/>
        <v>0</v>
      </c>
      <c r="W130" s="29">
        <f t="shared" si="23"/>
        <v>0</v>
      </c>
      <c r="X130" s="29">
        <f t="shared" si="23"/>
        <v>0</v>
      </c>
      <c r="Y130" s="29">
        <f t="shared" si="23"/>
        <v>0</v>
      </c>
      <c r="Z130" s="7"/>
      <c r="AA130" s="7"/>
      <c r="AB130" s="7"/>
      <c r="AC130" s="7"/>
    </row>
    <row r="131" spans="1:29" customFormat="1">
      <c r="A131" s="7"/>
      <c r="B131" s="7"/>
      <c r="C131" s="7"/>
      <c r="D131" s="7" t="s">
        <v>374</v>
      </c>
      <c r="E131" s="29">
        <f t="shared" si="23"/>
        <v>0</v>
      </c>
      <c r="F131" s="29">
        <f t="shared" si="23"/>
        <v>0</v>
      </c>
      <c r="G131" s="29">
        <f t="shared" si="23"/>
        <v>0</v>
      </c>
      <c r="H131" s="29">
        <f t="shared" si="23"/>
        <v>0</v>
      </c>
      <c r="I131" s="29">
        <f t="shared" si="23"/>
        <v>0</v>
      </c>
      <c r="J131" s="29">
        <f t="shared" si="23"/>
        <v>0</v>
      </c>
      <c r="K131" s="29">
        <f t="shared" si="23"/>
        <v>0</v>
      </c>
      <c r="L131" s="29">
        <f t="shared" si="23"/>
        <v>0</v>
      </c>
      <c r="M131" s="29">
        <f t="shared" si="23"/>
        <v>0</v>
      </c>
      <c r="N131" s="29">
        <f t="shared" si="23"/>
        <v>0</v>
      </c>
      <c r="O131" s="29">
        <f t="shared" si="23"/>
        <v>0</v>
      </c>
      <c r="P131" s="29">
        <f t="shared" si="23"/>
        <v>0</v>
      </c>
      <c r="Q131" s="29">
        <f t="shared" si="23"/>
        <v>0</v>
      </c>
      <c r="R131" s="29">
        <f t="shared" si="23"/>
        <v>0</v>
      </c>
      <c r="S131" s="29">
        <f t="shared" si="23"/>
        <v>0</v>
      </c>
      <c r="T131" s="29">
        <f t="shared" si="23"/>
        <v>0</v>
      </c>
      <c r="U131" s="29">
        <f t="shared" si="23"/>
        <v>0</v>
      </c>
      <c r="V131" s="29">
        <f t="shared" si="23"/>
        <v>0</v>
      </c>
      <c r="W131" s="29">
        <f t="shared" si="23"/>
        <v>0</v>
      </c>
      <c r="X131" s="29">
        <f t="shared" si="23"/>
        <v>0</v>
      </c>
      <c r="Y131" s="29">
        <f t="shared" si="23"/>
        <v>0</v>
      </c>
      <c r="Z131" s="7"/>
      <c r="AA131" s="7"/>
      <c r="AB131" s="7"/>
      <c r="AC131" s="7"/>
    </row>
    <row r="132" spans="1:29" customFormat="1">
      <c r="A132" s="7"/>
      <c r="B132" s="7"/>
      <c r="C132" s="7"/>
      <c r="D132" s="7" t="s">
        <v>375</v>
      </c>
      <c r="E132" s="29">
        <f t="shared" si="23"/>
        <v>0</v>
      </c>
      <c r="F132" s="29">
        <f t="shared" si="23"/>
        <v>0</v>
      </c>
      <c r="G132" s="29">
        <f t="shared" si="23"/>
        <v>0</v>
      </c>
      <c r="H132" s="29">
        <f t="shared" si="23"/>
        <v>0</v>
      </c>
      <c r="I132" s="29">
        <f t="shared" si="23"/>
        <v>0</v>
      </c>
      <c r="J132" s="29">
        <f t="shared" si="23"/>
        <v>0</v>
      </c>
      <c r="K132" s="29">
        <f t="shared" si="23"/>
        <v>0</v>
      </c>
      <c r="L132" s="29">
        <f t="shared" si="23"/>
        <v>0</v>
      </c>
      <c r="M132" s="29">
        <f t="shared" si="23"/>
        <v>0</v>
      </c>
      <c r="N132" s="29">
        <f t="shared" si="23"/>
        <v>0</v>
      </c>
      <c r="O132" s="29">
        <f t="shared" si="23"/>
        <v>0</v>
      </c>
      <c r="P132" s="29">
        <f t="shared" si="23"/>
        <v>0</v>
      </c>
      <c r="Q132" s="29">
        <f t="shared" si="23"/>
        <v>0</v>
      </c>
      <c r="R132" s="29">
        <f t="shared" si="23"/>
        <v>0</v>
      </c>
      <c r="S132" s="29">
        <f t="shared" si="23"/>
        <v>0</v>
      </c>
      <c r="T132" s="29">
        <f t="shared" si="23"/>
        <v>0</v>
      </c>
      <c r="U132" s="29">
        <f t="shared" si="23"/>
        <v>0</v>
      </c>
      <c r="V132" s="29">
        <f t="shared" si="23"/>
        <v>0</v>
      </c>
      <c r="W132" s="29">
        <f t="shared" si="23"/>
        <v>0</v>
      </c>
      <c r="X132" s="29">
        <f t="shared" si="23"/>
        <v>0</v>
      </c>
      <c r="Y132" s="29">
        <f t="shared" si="23"/>
        <v>0</v>
      </c>
      <c r="Z132" s="7"/>
      <c r="AA132" s="7"/>
      <c r="AB132" s="7"/>
      <c r="AC132" s="7"/>
    </row>
    <row r="133" spans="1:29" customFormat="1">
      <c r="A133" s="7"/>
      <c r="B133" s="7"/>
      <c r="C133" s="7"/>
      <c r="D133" s="7" t="s">
        <v>376</v>
      </c>
      <c r="E133" s="29">
        <f t="shared" si="23"/>
        <v>0</v>
      </c>
      <c r="F133" s="29">
        <f t="shared" si="23"/>
        <v>0</v>
      </c>
      <c r="G133" s="29">
        <f t="shared" si="23"/>
        <v>0</v>
      </c>
      <c r="H133" s="29">
        <f t="shared" si="23"/>
        <v>0</v>
      </c>
      <c r="I133" s="29">
        <f t="shared" si="23"/>
        <v>0</v>
      </c>
      <c r="J133" s="29">
        <f t="shared" si="23"/>
        <v>0</v>
      </c>
      <c r="K133" s="29">
        <f t="shared" si="23"/>
        <v>0</v>
      </c>
      <c r="L133" s="29">
        <f t="shared" ref="F133:Y139" si="24">L96-L95</f>
        <v>0</v>
      </c>
      <c r="M133" s="29">
        <f t="shared" si="24"/>
        <v>0</v>
      </c>
      <c r="N133" s="29">
        <f t="shared" si="24"/>
        <v>0</v>
      </c>
      <c r="O133" s="29">
        <f t="shared" si="24"/>
        <v>0</v>
      </c>
      <c r="P133" s="29">
        <f t="shared" si="24"/>
        <v>0</v>
      </c>
      <c r="Q133" s="29">
        <f t="shared" si="24"/>
        <v>0</v>
      </c>
      <c r="R133" s="29">
        <f t="shared" si="24"/>
        <v>0</v>
      </c>
      <c r="S133" s="29">
        <f t="shared" si="24"/>
        <v>0</v>
      </c>
      <c r="T133" s="29">
        <f t="shared" si="24"/>
        <v>0</v>
      </c>
      <c r="U133" s="29">
        <f t="shared" si="24"/>
        <v>0</v>
      </c>
      <c r="V133" s="29">
        <f t="shared" si="24"/>
        <v>0</v>
      </c>
      <c r="W133" s="29">
        <f t="shared" si="24"/>
        <v>0</v>
      </c>
      <c r="X133" s="29">
        <f t="shared" si="24"/>
        <v>0</v>
      </c>
      <c r="Y133" s="29">
        <f t="shared" si="24"/>
        <v>0</v>
      </c>
      <c r="Z133" s="7"/>
      <c r="AA133" s="7"/>
      <c r="AB133" s="7"/>
      <c r="AC133" s="7"/>
    </row>
    <row r="134" spans="1:29" customFormat="1">
      <c r="A134" s="7"/>
      <c r="B134" s="7"/>
      <c r="C134" s="7"/>
      <c r="D134" s="7" t="s">
        <v>377</v>
      </c>
      <c r="E134" s="29">
        <f t="shared" ref="E134:E139" si="25">E97-E96</f>
        <v>0</v>
      </c>
      <c r="F134" s="29">
        <f t="shared" si="24"/>
        <v>0</v>
      </c>
      <c r="G134" s="29">
        <f t="shared" si="24"/>
        <v>0</v>
      </c>
      <c r="H134" s="29">
        <f t="shared" si="24"/>
        <v>0</v>
      </c>
      <c r="I134" s="29">
        <f t="shared" si="24"/>
        <v>0</v>
      </c>
      <c r="J134" s="29">
        <f t="shared" si="24"/>
        <v>0</v>
      </c>
      <c r="K134" s="29">
        <f t="shared" si="24"/>
        <v>0</v>
      </c>
      <c r="L134" s="29">
        <f t="shared" si="24"/>
        <v>0</v>
      </c>
      <c r="M134" s="29">
        <f t="shared" si="24"/>
        <v>0</v>
      </c>
      <c r="N134" s="29">
        <f t="shared" si="24"/>
        <v>0</v>
      </c>
      <c r="O134" s="29">
        <f t="shared" si="24"/>
        <v>0</v>
      </c>
      <c r="P134" s="29">
        <f t="shared" si="24"/>
        <v>0</v>
      </c>
      <c r="Q134" s="29">
        <f t="shared" si="24"/>
        <v>0</v>
      </c>
      <c r="R134" s="29">
        <f t="shared" si="24"/>
        <v>0</v>
      </c>
      <c r="S134" s="29">
        <f t="shared" si="24"/>
        <v>0</v>
      </c>
      <c r="T134" s="29">
        <f t="shared" si="24"/>
        <v>0</v>
      </c>
      <c r="U134" s="29">
        <f t="shared" si="24"/>
        <v>0</v>
      </c>
      <c r="V134" s="29">
        <f t="shared" si="24"/>
        <v>0</v>
      </c>
      <c r="W134" s="29">
        <f t="shared" si="24"/>
        <v>0</v>
      </c>
      <c r="X134" s="29">
        <f t="shared" si="24"/>
        <v>0</v>
      </c>
      <c r="Y134" s="29">
        <f t="shared" si="24"/>
        <v>0</v>
      </c>
      <c r="Z134" s="7"/>
      <c r="AA134" s="7"/>
      <c r="AB134" s="7"/>
      <c r="AC134" s="7"/>
    </row>
    <row r="135" spans="1:29" customFormat="1">
      <c r="A135" s="7"/>
      <c r="B135" s="7"/>
      <c r="C135" s="7"/>
      <c r="D135" s="7" t="s">
        <v>378</v>
      </c>
      <c r="E135" s="29">
        <f t="shared" si="25"/>
        <v>0</v>
      </c>
      <c r="F135" s="29">
        <f t="shared" si="24"/>
        <v>0</v>
      </c>
      <c r="G135" s="29">
        <f t="shared" si="24"/>
        <v>0</v>
      </c>
      <c r="H135" s="29">
        <f t="shared" si="24"/>
        <v>0</v>
      </c>
      <c r="I135" s="29">
        <f t="shared" si="24"/>
        <v>0</v>
      </c>
      <c r="J135" s="29">
        <f t="shared" si="24"/>
        <v>0</v>
      </c>
      <c r="K135" s="29">
        <f t="shared" si="24"/>
        <v>0</v>
      </c>
      <c r="L135" s="29">
        <f t="shared" si="24"/>
        <v>0</v>
      </c>
      <c r="M135" s="29">
        <f t="shared" si="24"/>
        <v>0</v>
      </c>
      <c r="N135" s="29">
        <f t="shared" si="24"/>
        <v>0</v>
      </c>
      <c r="O135" s="29">
        <f t="shared" si="24"/>
        <v>0</v>
      </c>
      <c r="P135" s="29">
        <f t="shared" si="24"/>
        <v>0</v>
      </c>
      <c r="Q135" s="29">
        <f t="shared" si="24"/>
        <v>0</v>
      </c>
      <c r="R135" s="29">
        <f t="shared" si="24"/>
        <v>0</v>
      </c>
      <c r="S135" s="29">
        <f t="shared" si="24"/>
        <v>0</v>
      </c>
      <c r="T135" s="29">
        <f t="shared" si="24"/>
        <v>0</v>
      </c>
      <c r="U135" s="29">
        <f t="shared" si="24"/>
        <v>0</v>
      </c>
      <c r="V135" s="29">
        <f t="shared" si="24"/>
        <v>0</v>
      </c>
      <c r="W135" s="29">
        <f t="shared" si="24"/>
        <v>0</v>
      </c>
      <c r="X135" s="29">
        <f t="shared" si="24"/>
        <v>0</v>
      </c>
      <c r="Y135" s="29">
        <f t="shared" si="24"/>
        <v>0</v>
      </c>
      <c r="Z135" s="7"/>
      <c r="AA135" s="7"/>
      <c r="AB135" s="7"/>
      <c r="AC135" s="7"/>
    </row>
    <row r="136" spans="1:29" customFormat="1">
      <c r="A136" s="7"/>
      <c r="B136" s="7"/>
      <c r="C136" s="7"/>
      <c r="D136" s="7" t="s">
        <v>379</v>
      </c>
      <c r="E136" s="29">
        <f t="shared" si="25"/>
        <v>0</v>
      </c>
      <c r="F136" s="29">
        <f t="shared" si="24"/>
        <v>0</v>
      </c>
      <c r="G136" s="29">
        <f t="shared" si="24"/>
        <v>0</v>
      </c>
      <c r="H136" s="29">
        <f t="shared" si="24"/>
        <v>0</v>
      </c>
      <c r="I136" s="29">
        <f t="shared" si="24"/>
        <v>0</v>
      </c>
      <c r="J136" s="29">
        <f t="shared" si="24"/>
        <v>0</v>
      </c>
      <c r="K136" s="29">
        <f t="shared" si="24"/>
        <v>0</v>
      </c>
      <c r="L136" s="29">
        <f t="shared" si="24"/>
        <v>0</v>
      </c>
      <c r="M136" s="29">
        <f t="shared" si="24"/>
        <v>0</v>
      </c>
      <c r="N136" s="29">
        <f t="shared" si="24"/>
        <v>0</v>
      </c>
      <c r="O136" s="29">
        <f t="shared" si="24"/>
        <v>0</v>
      </c>
      <c r="P136" s="29">
        <f t="shared" si="24"/>
        <v>0</v>
      </c>
      <c r="Q136" s="29">
        <f t="shared" si="24"/>
        <v>0</v>
      </c>
      <c r="R136" s="29">
        <f t="shared" si="24"/>
        <v>0</v>
      </c>
      <c r="S136" s="29">
        <f t="shared" si="24"/>
        <v>0</v>
      </c>
      <c r="T136" s="29">
        <f t="shared" si="24"/>
        <v>0</v>
      </c>
      <c r="U136" s="29">
        <f t="shared" si="24"/>
        <v>0</v>
      </c>
      <c r="V136" s="29">
        <f t="shared" si="24"/>
        <v>0</v>
      </c>
      <c r="W136" s="29">
        <f t="shared" si="24"/>
        <v>0</v>
      </c>
      <c r="X136" s="29">
        <f t="shared" si="24"/>
        <v>0</v>
      </c>
      <c r="Y136" s="29">
        <f t="shared" si="24"/>
        <v>0</v>
      </c>
      <c r="Z136" s="7"/>
      <c r="AA136" s="7"/>
      <c r="AB136" s="7"/>
      <c r="AC136" s="7"/>
    </row>
    <row r="137" spans="1:29" customFormat="1">
      <c r="A137" s="7"/>
      <c r="B137" s="7"/>
      <c r="C137" s="7"/>
      <c r="D137" s="7" t="s">
        <v>380</v>
      </c>
      <c r="E137" s="29">
        <f t="shared" si="25"/>
        <v>0</v>
      </c>
      <c r="F137" s="29">
        <f t="shared" si="24"/>
        <v>0</v>
      </c>
      <c r="G137" s="29">
        <f t="shared" si="24"/>
        <v>0</v>
      </c>
      <c r="H137" s="29">
        <f t="shared" si="24"/>
        <v>0</v>
      </c>
      <c r="I137" s="29">
        <f t="shared" si="24"/>
        <v>0</v>
      </c>
      <c r="J137" s="29">
        <f t="shared" si="24"/>
        <v>0</v>
      </c>
      <c r="K137" s="29">
        <f t="shared" si="24"/>
        <v>0</v>
      </c>
      <c r="L137" s="29">
        <f t="shared" si="24"/>
        <v>0</v>
      </c>
      <c r="M137" s="29">
        <f t="shared" si="24"/>
        <v>0</v>
      </c>
      <c r="N137" s="29">
        <f t="shared" si="24"/>
        <v>0</v>
      </c>
      <c r="O137" s="29">
        <f t="shared" si="24"/>
        <v>0</v>
      </c>
      <c r="P137" s="29">
        <f t="shared" si="24"/>
        <v>0</v>
      </c>
      <c r="Q137" s="29">
        <f t="shared" si="24"/>
        <v>0</v>
      </c>
      <c r="R137" s="29">
        <f t="shared" si="24"/>
        <v>0</v>
      </c>
      <c r="S137" s="29">
        <f t="shared" si="24"/>
        <v>0</v>
      </c>
      <c r="T137" s="29">
        <f t="shared" si="24"/>
        <v>0</v>
      </c>
      <c r="U137" s="29">
        <f t="shared" si="24"/>
        <v>0</v>
      </c>
      <c r="V137" s="29">
        <f t="shared" si="24"/>
        <v>0</v>
      </c>
      <c r="W137" s="29">
        <f t="shared" si="24"/>
        <v>0</v>
      </c>
      <c r="X137" s="29">
        <f t="shared" si="24"/>
        <v>0</v>
      </c>
      <c r="Y137" s="29">
        <f t="shared" si="24"/>
        <v>0</v>
      </c>
      <c r="Z137" s="7"/>
      <c r="AA137" s="7"/>
      <c r="AB137" s="7"/>
      <c r="AC137" s="7"/>
    </row>
    <row r="138" spans="1:29" customFormat="1">
      <c r="A138" s="7"/>
      <c r="B138" s="7"/>
      <c r="C138" s="7"/>
      <c r="D138" s="7" t="s">
        <v>381</v>
      </c>
      <c r="E138" s="29">
        <f t="shared" si="25"/>
        <v>0</v>
      </c>
      <c r="F138" s="29">
        <f t="shared" si="24"/>
        <v>0</v>
      </c>
      <c r="G138" s="29">
        <f t="shared" si="24"/>
        <v>0</v>
      </c>
      <c r="H138" s="29">
        <f t="shared" si="24"/>
        <v>0</v>
      </c>
      <c r="I138" s="29">
        <f t="shared" si="24"/>
        <v>0</v>
      </c>
      <c r="J138" s="29">
        <f t="shared" si="24"/>
        <v>0</v>
      </c>
      <c r="K138" s="29">
        <f t="shared" si="24"/>
        <v>0</v>
      </c>
      <c r="L138" s="29">
        <f t="shared" si="24"/>
        <v>0</v>
      </c>
      <c r="M138" s="29">
        <f t="shared" si="24"/>
        <v>0</v>
      </c>
      <c r="N138" s="29">
        <f t="shared" si="24"/>
        <v>0</v>
      </c>
      <c r="O138" s="29">
        <f t="shared" si="24"/>
        <v>0</v>
      </c>
      <c r="P138" s="29">
        <f t="shared" si="24"/>
        <v>0</v>
      </c>
      <c r="Q138" s="29">
        <f t="shared" si="24"/>
        <v>0</v>
      </c>
      <c r="R138" s="29">
        <f t="shared" si="24"/>
        <v>0</v>
      </c>
      <c r="S138" s="29">
        <f t="shared" si="24"/>
        <v>0</v>
      </c>
      <c r="T138" s="29">
        <f t="shared" si="24"/>
        <v>0</v>
      </c>
      <c r="U138" s="29">
        <f t="shared" si="24"/>
        <v>0</v>
      </c>
      <c r="V138" s="29">
        <f t="shared" si="24"/>
        <v>0</v>
      </c>
      <c r="W138" s="29">
        <f t="shared" si="24"/>
        <v>0</v>
      </c>
      <c r="X138" s="29">
        <f t="shared" si="24"/>
        <v>0</v>
      </c>
      <c r="Y138" s="29">
        <f t="shared" si="24"/>
        <v>0</v>
      </c>
      <c r="Z138" s="7"/>
      <c r="AA138" s="7"/>
      <c r="AB138" s="7"/>
      <c r="AC138" s="7"/>
    </row>
    <row r="139" spans="1:29" customFormat="1">
      <c r="A139" s="7"/>
      <c r="B139" s="7"/>
      <c r="C139" s="7"/>
      <c r="D139" s="7" t="s">
        <v>382</v>
      </c>
      <c r="E139" s="29">
        <f t="shared" si="25"/>
        <v>0.12488126343134039</v>
      </c>
      <c r="F139" s="29">
        <f t="shared" si="24"/>
        <v>0.27758377198661527</v>
      </c>
      <c r="G139" s="29">
        <f t="shared" si="24"/>
        <v>0.46373852629757262</v>
      </c>
      <c r="H139" s="29">
        <f t="shared" si="24"/>
        <v>0.67902116302261184</v>
      </c>
      <c r="I139" s="29">
        <f t="shared" si="24"/>
        <v>0.92367716498989627</v>
      </c>
      <c r="J139" s="29">
        <f t="shared" si="24"/>
        <v>1.2087610370344171</v>
      </c>
      <c r="K139" s="29">
        <f t="shared" si="24"/>
        <v>1.5203432034329614</v>
      </c>
      <c r="L139" s="29">
        <f t="shared" si="24"/>
        <v>1.837268904140521</v>
      </c>
      <c r="M139" s="29">
        <f t="shared" si="24"/>
        <v>2.1343291586673545</v>
      </c>
      <c r="N139" s="29">
        <f t="shared" si="24"/>
        <v>2.3878292487764865</v>
      </c>
      <c r="O139" s="29">
        <f t="shared" si="24"/>
        <v>2.5818726093452407</v>
      </c>
      <c r="P139" s="29">
        <f t="shared" si="24"/>
        <v>2.7125877781261258</v>
      </c>
      <c r="Q139" s="29">
        <f t="shared" si="24"/>
        <v>2.7879718339456399</v>
      </c>
      <c r="R139" s="29">
        <f t="shared" si="24"/>
        <v>2.8232982360817407</v>
      </c>
      <c r="S139" s="29">
        <f t="shared" si="24"/>
        <v>2.8347189499926202</v>
      </c>
      <c r="T139" s="29">
        <f t="shared" si="24"/>
        <v>3.4694336609328502</v>
      </c>
      <c r="U139" s="29">
        <f t="shared" si="24"/>
        <v>3.4126781688911665</v>
      </c>
      <c r="V139" s="29">
        <f t="shared" si="24"/>
        <v>3.3474726476844325</v>
      </c>
      <c r="W139" s="29">
        <f t="shared" si="24"/>
        <v>3.2917171737604489</v>
      </c>
      <c r="X139" s="29">
        <f t="shared" si="24"/>
        <v>3.2366393112533887</v>
      </c>
      <c r="Y139" s="29">
        <f t="shared" si="24"/>
        <v>44.335645073961764</v>
      </c>
      <c r="Z139" s="7"/>
      <c r="AA139" s="7"/>
      <c r="AB139" s="7"/>
      <c r="AC139" s="7"/>
    </row>
    <row r="140" spans="1:29" customForma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row>
    <row r="141" spans="1:29" customFormat="1" ht="15">
      <c r="A141" s="7"/>
      <c r="B141" s="7"/>
      <c r="C141" s="7"/>
      <c r="D141" s="65" t="s">
        <v>135</v>
      </c>
      <c r="E141" s="66">
        <f t="shared" ref="E141:W141" si="26">SUM(E108:E139)</f>
        <v>0.14165225946042409</v>
      </c>
      <c r="F141" s="66">
        <f t="shared" si="26"/>
        <v>0.31486203303083599</v>
      </c>
      <c r="G141" s="66">
        <f t="shared" si="26"/>
        <v>0.52601653958293393</v>
      </c>
      <c r="H141" s="66">
        <f t="shared" si="26"/>
        <v>0.77021067308852387</v>
      </c>
      <c r="I141" s="66">
        <f t="shared" si="26"/>
        <v>1.0477228836234027</v>
      </c>
      <c r="J141" s="66">
        <f t="shared" si="26"/>
        <v>1.3710922466586768</v>
      </c>
      <c r="K141" s="66">
        <f t="shared" si="26"/>
        <v>1.7245185066531854</v>
      </c>
      <c r="L141" s="66">
        <f t="shared" si="26"/>
        <v>2.0840059137531801</v>
      </c>
      <c r="M141" s="66">
        <f t="shared" si="26"/>
        <v>2.4209600339583282</v>
      </c>
      <c r="N141" s="66">
        <f t="shared" si="26"/>
        <v>2.7085040541797629</v>
      </c>
      <c r="O141" s="66">
        <f t="shared" si="26"/>
        <v>2.9286065715839844</v>
      </c>
      <c r="P141" s="66">
        <f t="shared" si="26"/>
        <v>3.076876203831445</v>
      </c>
      <c r="Q141" s="66">
        <f t="shared" si="26"/>
        <v>3.1623840017245679</v>
      </c>
      <c r="R141" s="66">
        <f t="shared" si="26"/>
        <v>3.2024545819196302</v>
      </c>
      <c r="S141" s="66">
        <f t="shared" si="26"/>
        <v>3.2154090467102323</v>
      </c>
      <c r="T141" s="66">
        <f t="shared" si="26"/>
        <v>3.935363109049498</v>
      </c>
      <c r="U141" s="66">
        <f t="shared" si="26"/>
        <v>3.8709856078648408</v>
      </c>
      <c r="V141" s="66">
        <f t="shared" si="26"/>
        <v>3.7970232763313625</v>
      </c>
      <c r="W141" s="66">
        <f t="shared" si="26"/>
        <v>3.7337800912320915</v>
      </c>
      <c r="X141" s="66">
        <f>SUM(X108:X139)</f>
        <v>3.6713055177372045</v>
      </c>
      <c r="Y141" s="66"/>
      <c r="AA141" s="7"/>
      <c r="AB141" s="7"/>
      <c r="AC141" s="7"/>
    </row>
    <row r="142" spans="1:29" ht="15">
      <c r="D142" s="65" t="s">
        <v>136</v>
      </c>
      <c r="E142" s="66">
        <f>E141</f>
        <v>0.14165225946042409</v>
      </c>
      <c r="F142" s="66">
        <f t="shared" ref="F142:X142" si="27">E142+F141</f>
        <v>0.45651429249126008</v>
      </c>
      <c r="G142" s="66">
        <f t="shared" si="27"/>
        <v>0.982530832074194</v>
      </c>
      <c r="H142" s="66">
        <f t="shared" si="27"/>
        <v>1.7527415051627178</v>
      </c>
      <c r="I142" s="66">
        <f t="shared" si="27"/>
        <v>2.8004643887861205</v>
      </c>
      <c r="J142" s="66">
        <f t="shared" si="27"/>
        <v>4.171556635444797</v>
      </c>
      <c r="K142" s="66">
        <f t="shared" si="27"/>
        <v>5.8960751420979829</v>
      </c>
      <c r="L142" s="66">
        <f t="shared" si="27"/>
        <v>7.980081055851163</v>
      </c>
      <c r="M142" s="66">
        <f t="shared" si="27"/>
        <v>10.401041089809491</v>
      </c>
      <c r="N142" s="66">
        <f t="shared" si="27"/>
        <v>13.109545143989253</v>
      </c>
      <c r="O142" s="66">
        <f t="shared" si="27"/>
        <v>16.038151715573239</v>
      </c>
      <c r="P142" s="66">
        <f t="shared" si="27"/>
        <v>19.115027919404685</v>
      </c>
      <c r="Q142" s="66">
        <f t="shared" si="27"/>
        <v>22.277411921129254</v>
      </c>
      <c r="R142" s="66">
        <f t="shared" si="27"/>
        <v>25.479866503048882</v>
      </c>
      <c r="S142" s="66">
        <f t="shared" si="27"/>
        <v>28.695275549759113</v>
      </c>
      <c r="T142" s="66">
        <f t="shared" si="27"/>
        <v>32.630638658808614</v>
      </c>
      <c r="U142" s="66">
        <f t="shared" si="27"/>
        <v>36.501624266673453</v>
      </c>
      <c r="V142" s="66">
        <f t="shared" si="27"/>
        <v>40.298647543004819</v>
      </c>
      <c r="W142" s="66">
        <f t="shared" si="27"/>
        <v>44.03242763423691</v>
      </c>
      <c r="X142" s="66">
        <f t="shared" si="27"/>
        <v>47.703733151974113</v>
      </c>
      <c r="Y142" s="66">
        <f>SUM(Y108:Y139)</f>
        <v>50.28972422924739</v>
      </c>
      <c r="Z142"/>
    </row>
    <row r="143" spans="1:29">
      <c r="E143" s="53"/>
      <c r="F143" s="131"/>
      <c r="G143" s="131"/>
      <c r="H143" s="131"/>
      <c r="I143" s="131"/>
      <c r="J143" s="131"/>
      <c r="K143" s="131"/>
      <c r="L143" s="131"/>
      <c r="M143" s="131"/>
      <c r="N143" s="131"/>
      <c r="O143" s="131"/>
      <c r="P143" s="131"/>
      <c r="Q143" s="131"/>
      <c r="R143" s="131"/>
      <c r="S143" s="131"/>
      <c r="T143" s="131"/>
      <c r="U143" s="131"/>
      <c r="V143" s="131"/>
      <c r="W143" s="131"/>
      <c r="X143" s="131"/>
      <c r="Y143" s="131"/>
      <c r="Z143" s="131"/>
    </row>
    <row r="144" spans="1:29">
      <c r="E144" s="53"/>
      <c r="F144" s="131"/>
      <c r="G144" s="131"/>
      <c r="H144" s="131"/>
      <c r="I144" s="131"/>
      <c r="J144" s="131"/>
      <c r="K144" s="131"/>
      <c r="L144" s="131"/>
      <c r="M144" s="131"/>
      <c r="N144" s="131"/>
      <c r="O144" s="131"/>
      <c r="P144" s="131"/>
      <c r="Q144" s="131"/>
      <c r="R144" s="131"/>
      <c r="S144" s="131"/>
      <c r="T144" s="131"/>
      <c r="U144" s="131"/>
      <c r="V144" s="131"/>
      <c r="W144" s="131"/>
      <c r="X144" s="131"/>
      <c r="Y144" s="131"/>
      <c r="Z144" s="131"/>
    </row>
    <row r="145" spans="1:25" ht="15">
      <c r="A145" s="55" t="str">
        <f>CONCATENATE("ACHIEVABLE SAVINGS - CUMULATIVE BY MILL BIN - FOR MEASURE - ",D146)</f>
        <v>ACHIEVABLE SAVINGS - CUMULATIVE BY MILL BIN - FOR MEASURE - ASHP</v>
      </c>
      <c r="D145" s="7" t="s">
        <v>157</v>
      </c>
      <c r="E145" s="58">
        <f>E106</f>
        <v>2016</v>
      </c>
      <c r="F145" s="59">
        <f t="shared" ref="F145:X145" si="28">F106</f>
        <v>2017</v>
      </c>
      <c r="G145" s="59">
        <f t="shared" si="28"/>
        <v>2018</v>
      </c>
      <c r="H145" s="59">
        <f t="shared" si="28"/>
        <v>2019</v>
      </c>
      <c r="I145" s="59">
        <f t="shared" si="28"/>
        <v>2020</v>
      </c>
      <c r="J145" s="59">
        <f t="shared" si="28"/>
        <v>2021</v>
      </c>
      <c r="K145" s="59">
        <f t="shared" si="28"/>
        <v>2022</v>
      </c>
      <c r="L145" s="59">
        <f t="shared" si="28"/>
        <v>2023</v>
      </c>
      <c r="M145" s="59">
        <f t="shared" si="28"/>
        <v>2024</v>
      </c>
      <c r="N145" s="59">
        <f t="shared" si="28"/>
        <v>2025</v>
      </c>
      <c r="O145" s="59">
        <f t="shared" si="28"/>
        <v>2026</v>
      </c>
      <c r="P145" s="59">
        <f t="shared" si="28"/>
        <v>2027</v>
      </c>
      <c r="Q145" s="59">
        <f t="shared" si="28"/>
        <v>2028</v>
      </c>
      <c r="R145" s="59">
        <f t="shared" si="28"/>
        <v>2029</v>
      </c>
      <c r="S145" s="59">
        <f t="shared" si="28"/>
        <v>2030</v>
      </c>
      <c r="T145" s="59">
        <f t="shared" si="28"/>
        <v>2031</v>
      </c>
      <c r="U145" s="59">
        <f t="shared" si="28"/>
        <v>2032</v>
      </c>
      <c r="V145" s="59">
        <f t="shared" si="28"/>
        <v>2033</v>
      </c>
      <c r="W145" s="59">
        <f t="shared" si="28"/>
        <v>2034</v>
      </c>
      <c r="X145" s="59">
        <f t="shared" si="28"/>
        <v>2035</v>
      </c>
      <c r="Y145" s="60"/>
    </row>
    <row r="146" spans="1:25" ht="15">
      <c r="D146" s="129" t="str">
        <f>$C$8</f>
        <v>ASHP</v>
      </c>
      <c r="E146" s="61" t="str">
        <f>CONCATENATE("aMW_",E$11)</f>
        <v>aMW_2016</v>
      </c>
      <c r="F146" s="62" t="str">
        <f t="shared" ref="F146:X146" si="29">CONCATENATE("aMW_",F$11)</f>
        <v>aMW_2017</v>
      </c>
      <c r="G146" s="62" t="str">
        <f t="shared" si="29"/>
        <v>aMW_2018</v>
      </c>
      <c r="H146" s="62" t="str">
        <f t="shared" si="29"/>
        <v>aMW_2019</v>
      </c>
      <c r="I146" s="62" t="str">
        <f t="shared" si="29"/>
        <v>aMW_2020</v>
      </c>
      <c r="J146" s="62" t="str">
        <f t="shared" si="29"/>
        <v>aMW_2021</v>
      </c>
      <c r="K146" s="62" t="str">
        <f t="shared" si="29"/>
        <v>aMW_2022</v>
      </c>
      <c r="L146" s="62" t="str">
        <f t="shared" si="29"/>
        <v>aMW_2023</v>
      </c>
      <c r="M146" s="62" t="str">
        <f t="shared" si="29"/>
        <v>aMW_2024</v>
      </c>
      <c r="N146" s="62" t="str">
        <f t="shared" si="29"/>
        <v>aMW_2025</v>
      </c>
      <c r="O146" s="62" t="str">
        <f t="shared" si="29"/>
        <v>aMW_2026</v>
      </c>
      <c r="P146" s="62" t="str">
        <f t="shared" si="29"/>
        <v>aMW_2027</v>
      </c>
      <c r="Q146" s="62" t="str">
        <f t="shared" si="29"/>
        <v>aMW_2028</v>
      </c>
      <c r="R146" s="62" t="str">
        <f t="shared" si="29"/>
        <v>aMW_2029</v>
      </c>
      <c r="S146" s="62" t="str">
        <f t="shared" si="29"/>
        <v>aMW_2030</v>
      </c>
      <c r="T146" s="62" t="str">
        <f t="shared" si="29"/>
        <v>aMW_2031</v>
      </c>
      <c r="U146" s="62" t="str">
        <f t="shared" si="29"/>
        <v>aMW_2032</v>
      </c>
      <c r="V146" s="62" t="str">
        <f t="shared" si="29"/>
        <v>aMW_2033</v>
      </c>
      <c r="W146" s="62" t="str">
        <f t="shared" si="29"/>
        <v>aMW_2034</v>
      </c>
      <c r="X146" s="62" t="str">
        <f t="shared" si="29"/>
        <v>aMW_2035</v>
      </c>
      <c r="Y146" s="63"/>
    </row>
    <row r="147" spans="1:25">
      <c r="D147" s="7" t="s">
        <v>68</v>
      </c>
      <c r="E147" s="132">
        <f t="shared" ref="E147:E178" si="30">E108</f>
        <v>0</v>
      </c>
      <c r="F147" s="133">
        <f t="shared" ref="F147:X160" si="31">E147+F108</f>
        <v>0</v>
      </c>
      <c r="G147" s="133">
        <f t="shared" si="31"/>
        <v>0</v>
      </c>
      <c r="H147" s="133">
        <f t="shared" si="31"/>
        <v>0</v>
      </c>
      <c r="I147" s="133">
        <f t="shared" si="31"/>
        <v>0</v>
      </c>
      <c r="J147" s="133">
        <f t="shared" si="31"/>
        <v>0</v>
      </c>
      <c r="K147" s="133">
        <f t="shared" si="31"/>
        <v>0</v>
      </c>
      <c r="L147" s="133">
        <f t="shared" si="31"/>
        <v>0</v>
      </c>
      <c r="M147" s="133">
        <f t="shared" si="31"/>
        <v>0</v>
      </c>
      <c r="N147" s="133">
        <f t="shared" si="31"/>
        <v>0</v>
      </c>
      <c r="O147" s="133">
        <f t="shared" si="31"/>
        <v>0</v>
      </c>
      <c r="P147" s="133">
        <f t="shared" si="31"/>
        <v>0</v>
      </c>
      <c r="Q147" s="133">
        <f t="shared" si="31"/>
        <v>0</v>
      </c>
      <c r="R147" s="133">
        <f t="shared" si="31"/>
        <v>0</v>
      </c>
      <c r="S147" s="133">
        <f t="shared" si="31"/>
        <v>0</v>
      </c>
      <c r="T147" s="133">
        <f t="shared" si="31"/>
        <v>0</v>
      </c>
      <c r="U147" s="133">
        <f t="shared" si="31"/>
        <v>0</v>
      </c>
      <c r="V147" s="133">
        <f t="shared" si="31"/>
        <v>0</v>
      </c>
      <c r="W147" s="133">
        <f t="shared" si="31"/>
        <v>0</v>
      </c>
      <c r="X147" s="133">
        <f t="shared" si="31"/>
        <v>0</v>
      </c>
      <c r="Y147" s="133"/>
    </row>
    <row r="148" spans="1:25">
      <c r="D148" s="7" t="s">
        <v>544</v>
      </c>
      <c r="E148" s="132">
        <f t="shared" si="30"/>
        <v>0</v>
      </c>
      <c r="F148" s="133">
        <f t="shared" si="31"/>
        <v>0</v>
      </c>
      <c r="G148" s="133">
        <f t="shared" si="31"/>
        <v>0</v>
      </c>
      <c r="H148" s="133">
        <f t="shared" si="31"/>
        <v>0</v>
      </c>
      <c r="I148" s="133">
        <f t="shared" si="31"/>
        <v>0</v>
      </c>
      <c r="J148" s="133">
        <f t="shared" si="31"/>
        <v>0</v>
      </c>
      <c r="K148" s="133">
        <f t="shared" si="31"/>
        <v>0</v>
      </c>
      <c r="L148" s="133">
        <f t="shared" si="31"/>
        <v>0</v>
      </c>
      <c r="M148" s="133">
        <f t="shared" si="31"/>
        <v>0</v>
      </c>
      <c r="N148" s="133">
        <f t="shared" si="31"/>
        <v>0</v>
      </c>
      <c r="O148" s="133">
        <f t="shared" si="31"/>
        <v>0</v>
      </c>
      <c r="P148" s="133">
        <f t="shared" si="31"/>
        <v>0</v>
      </c>
      <c r="Q148" s="133">
        <f t="shared" si="31"/>
        <v>0</v>
      </c>
      <c r="R148" s="133">
        <f t="shared" si="31"/>
        <v>0</v>
      </c>
      <c r="S148" s="133">
        <f t="shared" si="31"/>
        <v>0</v>
      </c>
      <c r="T148" s="133">
        <f t="shared" si="31"/>
        <v>0</v>
      </c>
      <c r="U148" s="133">
        <f t="shared" si="31"/>
        <v>0</v>
      </c>
      <c r="V148" s="133">
        <f t="shared" si="31"/>
        <v>0</v>
      </c>
      <c r="W148" s="133">
        <f t="shared" si="31"/>
        <v>0</v>
      </c>
      <c r="X148" s="133">
        <f t="shared" si="31"/>
        <v>0</v>
      </c>
      <c r="Y148" s="133"/>
    </row>
    <row r="149" spans="1:25">
      <c r="D149" s="7" t="s">
        <v>74</v>
      </c>
      <c r="E149" s="132">
        <f t="shared" si="30"/>
        <v>0</v>
      </c>
      <c r="F149" s="133">
        <f t="shared" si="31"/>
        <v>0</v>
      </c>
      <c r="G149" s="133">
        <f t="shared" si="31"/>
        <v>0</v>
      </c>
      <c r="H149" s="133">
        <f t="shared" si="31"/>
        <v>0</v>
      </c>
      <c r="I149" s="133">
        <f t="shared" si="31"/>
        <v>0</v>
      </c>
      <c r="J149" s="133">
        <f t="shared" si="31"/>
        <v>0</v>
      </c>
      <c r="K149" s="133">
        <f t="shared" si="31"/>
        <v>0</v>
      </c>
      <c r="L149" s="133">
        <f t="shared" si="31"/>
        <v>0</v>
      </c>
      <c r="M149" s="133">
        <f t="shared" si="31"/>
        <v>0</v>
      </c>
      <c r="N149" s="133">
        <f t="shared" si="31"/>
        <v>0</v>
      </c>
      <c r="O149" s="133">
        <f t="shared" si="31"/>
        <v>0</v>
      </c>
      <c r="P149" s="133">
        <f t="shared" si="31"/>
        <v>0</v>
      </c>
      <c r="Q149" s="133">
        <f t="shared" si="31"/>
        <v>0</v>
      </c>
      <c r="R149" s="133">
        <f t="shared" si="31"/>
        <v>0</v>
      </c>
      <c r="S149" s="133">
        <f t="shared" si="31"/>
        <v>0</v>
      </c>
      <c r="T149" s="133">
        <f t="shared" si="31"/>
        <v>0</v>
      </c>
      <c r="U149" s="133">
        <f t="shared" si="31"/>
        <v>0</v>
      </c>
      <c r="V149" s="133">
        <f t="shared" si="31"/>
        <v>0</v>
      </c>
      <c r="W149" s="133">
        <f t="shared" si="31"/>
        <v>0</v>
      </c>
      <c r="X149" s="133">
        <f t="shared" si="31"/>
        <v>0</v>
      </c>
      <c r="Y149" s="133"/>
    </row>
    <row r="150" spans="1:25">
      <c r="D150" s="7" t="s">
        <v>77</v>
      </c>
      <c r="E150" s="132">
        <f t="shared" si="30"/>
        <v>0</v>
      </c>
      <c r="F150" s="133">
        <f t="shared" si="31"/>
        <v>0</v>
      </c>
      <c r="G150" s="133">
        <f t="shared" si="31"/>
        <v>0</v>
      </c>
      <c r="H150" s="133">
        <f t="shared" si="31"/>
        <v>0</v>
      </c>
      <c r="I150" s="133">
        <f t="shared" si="31"/>
        <v>0</v>
      </c>
      <c r="J150" s="133">
        <f t="shared" si="31"/>
        <v>0</v>
      </c>
      <c r="K150" s="133">
        <f t="shared" si="31"/>
        <v>0</v>
      </c>
      <c r="L150" s="133">
        <f t="shared" si="31"/>
        <v>0</v>
      </c>
      <c r="M150" s="133">
        <f t="shared" si="31"/>
        <v>0</v>
      </c>
      <c r="N150" s="133">
        <f t="shared" si="31"/>
        <v>0</v>
      </c>
      <c r="O150" s="133">
        <f t="shared" si="31"/>
        <v>0</v>
      </c>
      <c r="P150" s="133">
        <f t="shared" si="31"/>
        <v>0</v>
      </c>
      <c r="Q150" s="133">
        <f t="shared" si="31"/>
        <v>0</v>
      </c>
      <c r="R150" s="133">
        <f t="shared" si="31"/>
        <v>0</v>
      </c>
      <c r="S150" s="133">
        <f t="shared" si="31"/>
        <v>0</v>
      </c>
      <c r="T150" s="133">
        <f t="shared" si="31"/>
        <v>0</v>
      </c>
      <c r="U150" s="133">
        <f t="shared" si="31"/>
        <v>0</v>
      </c>
      <c r="V150" s="133">
        <f t="shared" si="31"/>
        <v>0</v>
      </c>
      <c r="W150" s="133">
        <f t="shared" si="31"/>
        <v>0</v>
      </c>
      <c r="X150" s="133">
        <f t="shared" si="31"/>
        <v>0</v>
      </c>
      <c r="Y150" s="133"/>
    </row>
    <row r="151" spans="1:25">
      <c r="D151" s="7" t="s">
        <v>80</v>
      </c>
      <c r="E151" s="132">
        <f t="shared" si="30"/>
        <v>0</v>
      </c>
      <c r="F151" s="133">
        <f t="shared" si="31"/>
        <v>0</v>
      </c>
      <c r="G151" s="133">
        <f t="shared" si="31"/>
        <v>0</v>
      </c>
      <c r="H151" s="133">
        <f t="shared" si="31"/>
        <v>0</v>
      </c>
      <c r="I151" s="133">
        <f t="shared" si="31"/>
        <v>0</v>
      </c>
      <c r="J151" s="133">
        <f t="shared" si="31"/>
        <v>0</v>
      </c>
      <c r="K151" s="133">
        <f t="shared" si="31"/>
        <v>0</v>
      </c>
      <c r="L151" s="133">
        <f t="shared" si="31"/>
        <v>0</v>
      </c>
      <c r="M151" s="133">
        <f t="shared" si="31"/>
        <v>0</v>
      </c>
      <c r="N151" s="133">
        <f t="shared" si="31"/>
        <v>0</v>
      </c>
      <c r="O151" s="133">
        <f t="shared" si="31"/>
        <v>0</v>
      </c>
      <c r="P151" s="133">
        <f t="shared" si="31"/>
        <v>0</v>
      </c>
      <c r="Q151" s="133">
        <f t="shared" si="31"/>
        <v>0</v>
      </c>
      <c r="R151" s="133">
        <f t="shared" si="31"/>
        <v>0</v>
      </c>
      <c r="S151" s="133">
        <f t="shared" si="31"/>
        <v>0</v>
      </c>
      <c r="T151" s="133">
        <f t="shared" si="31"/>
        <v>0</v>
      </c>
      <c r="U151" s="133">
        <f t="shared" si="31"/>
        <v>0</v>
      </c>
      <c r="V151" s="133">
        <f t="shared" si="31"/>
        <v>0</v>
      </c>
      <c r="W151" s="133">
        <f t="shared" si="31"/>
        <v>0</v>
      </c>
      <c r="X151" s="133">
        <f t="shared" si="31"/>
        <v>0</v>
      </c>
      <c r="Y151" s="133"/>
    </row>
    <row r="152" spans="1:25">
      <c r="D152" s="7" t="s">
        <v>83</v>
      </c>
      <c r="E152" s="132">
        <f t="shared" si="30"/>
        <v>1.4736942487670303E-2</v>
      </c>
      <c r="F152" s="133">
        <f t="shared" si="31"/>
        <v>4.7493946788210707E-2</v>
      </c>
      <c r="G152" s="133">
        <f t="shared" si="31"/>
        <v>0.10221863329109579</v>
      </c>
      <c r="H152" s="133">
        <f t="shared" si="31"/>
        <v>0.18234831449725131</v>
      </c>
      <c r="I152" s="133">
        <f t="shared" si="31"/>
        <v>0.29134927175545855</v>
      </c>
      <c r="J152" s="133">
        <f t="shared" si="31"/>
        <v>0.4339923023803588</v>
      </c>
      <c r="K152" s="133">
        <f t="shared" si="31"/>
        <v>0.61340440740626878</v>
      </c>
      <c r="L152" s="133">
        <f t="shared" si="31"/>
        <v>0.83021616467672688</v>
      </c>
      <c r="M152" s="133">
        <f t="shared" si="31"/>
        <v>1.0820832998801726</v>
      </c>
      <c r="N152" s="133">
        <f t="shared" si="31"/>
        <v>1.3638653810563701</v>
      </c>
      <c r="O152" s="133">
        <f t="shared" si="31"/>
        <v>1.6685460601986926</v>
      </c>
      <c r="P152" s="133">
        <f t="shared" si="31"/>
        <v>1.988652127198731</v>
      </c>
      <c r="Q152" s="133">
        <f t="shared" si="31"/>
        <v>2.3176540883030943</v>
      </c>
      <c r="R152" s="133">
        <f t="shared" si="31"/>
        <v>2.6508248345580196</v>
      </c>
      <c r="S152" s="133">
        <f t="shared" si="31"/>
        <v>2.9853433122455737</v>
      </c>
      <c r="T152" s="133">
        <f t="shared" si="31"/>
        <v>3.394762971537101</v>
      </c>
      <c r="U152" s="133">
        <f t="shared" si="31"/>
        <v>3.7974850494693753</v>
      </c>
      <c r="V152" s="133">
        <f t="shared" si="31"/>
        <v>4.1925123780893916</v>
      </c>
      <c r="W152" s="133">
        <f t="shared" si="31"/>
        <v>4.5809601351226554</v>
      </c>
      <c r="X152" s="133">
        <f t="shared" si="31"/>
        <v>4.9629082838895711</v>
      </c>
      <c r="Y152" s="133"/>
    </row>
    <row r="153" spans="1:25">
      <c r="D153" s="7" t="s">
        <v>86</v>
      </c>
      <c r="E153" s="132">
        <f t="shared" si="30"/>
        <v>0</v>
      </c>
      <c r="F153" s="133">
        <f t="shared" si="31"/>
        <v>0</v>
      </c>
      <c r="G153" s="133">
        <f t="shared" si="31"/>
        <v>0</v>
      </c>
      <c r="H153" s="133">
        <f t="shared" si="31"/>
        <v>0</v>
      </c>
      <c r="I153" s="133">
        <f t="shared" si="31"/>
        <v>0</v>
      </c>
      <c r="J153" s="133">
        <f t="shared" si="31"/>
        <v>0</v>
      </c>
      <c r="K153" s="133">
        <f t="shared" si="31"/>
        <v>0</v>
      </c>
      <c r="L153" s="133">
        <f t="shared" si="31"/>
        <v>0</v>
      </c>
      <c r="M153" s="133">
        <f t="shared" si="31"/>
        <v>0</v>
      </c>
      <c r="N153" s="133">
        <f t="shared" si="31"/>
        <v>0</v>
      </c>
      <c r="O153" s="133">
        <f t="shared" si="31"/>
        <v>0</v>
      </c>
      <c r="P153" s="133">
        <f t="shared" si="31"/>
        <v>0</v>
      </c>
      <c r="Q153" s="133">
        <f t="shared" si="31"/>
        <v>0</v>
      </c>
      <c r="R153" s="133">
        <f t="shared" si="31"/>
        <v>0</v>
      </c>
      <c r="S153" s="133">
        <f t="shared" si="31"/>
        <v>0</v>
      </c>
      <c r="T153" s="133">
        <f t="shared" si="31"/>
        <v>0</v>
      </c>
      <c r="U153" s="133">
        <f t="shared" si="31"/>
        <v>0</v>
      </c>
      <c r="V153" s="133">
        <f t="shared" si="31"/>
        <v>0</v>
      </c>
      <c r="W153" s="133">
        <f t="shared" si="31"/>
        <v>0</v>
      </c>
      <c r="X153" s="133">
        <f t="shared" si="31"/>
        <v>0</v>
      </c>
      <c r="Y153" s="133"/>
    </row>
    <row r="154" spans="1:25">
      <c r="D154" s="7" t="s">
        <v>89</v>
      </c>
      <c r="E154" s="132">
        <f t="shared" si="30"/>
        <v>0</v>
      </c>
      <c r="F154" s="133">
        <f t="shared" si="31"/>
        <v>0</v>
      </c>
      <c r="G154" s="133">
        <f t="shared" si="31"/>
        <v>0</v>
      </c>
      <c r="H154" s="133">
        <f t="shared" si="31"/>
        <v>0</v>
      </c>
      <c r="I154" s="133">
        <f t="shared" si="31"/>
        <v>0</v>
      </c>
      <c r="J154" s="133">
        <f t="shared" si="31"/>
        <v>0</v>
      </c>
      <c r="K154" s="133">
        <f t="shared" si="31"/>
        <v>0</v>
      </c>
      <c r="L154" s="133">
        <f t="shared" si="31"/>
        <v>0</v>
      </c>
      <c r="M154" s="133">
        <f t="shared" si="31"/>
        <v>0</v>
      </c>
      <c r="N154" s="133">
        <f t="shared" si="31"/>
        <v>0</v>
      </c>
      <c r="O154" s="133">
        <f t="shared" si="31"/>
        <v>0</v>
      </c>
      <c r="P154" s="133">
        <f t="shared" si="31"/>
        <v>0</v>
      </c>
      <c r="Q154" s="133">
        <f t="shared" si="31"/>
        <v>0</v>
      </c>
      <c r="R154" s="133">
        <f t="shared" si="31"/>
        <v>0</v>
      </c>
      <c r="S154" s="133">
        <f t="shared" si="31"/>
        <v>0</v>
      </c>
      <c r="T154" s="133">
        <f t="shared" si="31"/>
        <v>0</v>
      </c>
      <c r="U154" s="133">
        <f t="shared" si="31"/>
        <v>0</v>
      </c>
      <c r="V154" s="133">
        <f t="shared" si="31"/>
        <v>0</v>
      </c>
      <c r="W154" s="133">
        <f t="shared" si="31"/>
        <v>0</v>
      </c>
      <c r="X154" s="133">
        <f t="shared" si="31"/>
        <v>0</v>
      </c>
      <c r="Y154" s="133"/>
    </row>
    <row r="155" spans="1:25">
      <c r="D155" s="7" t="s">
        <v>92</v>
      </c>
      <c r="E155" s="132">
        <f t="shared" si="30"/>
        <v>2.0340535414134012E-3</v>
      </c>
      <c r="F155" s="133">
        <f t="shared" si="31"/>
        <v>6.5553102850937142E-3</v>
      </c>
      <c r="G155" s="133">
        <f t="shared" si="31"/>
        <v>1.4108637067569922E-2</v>
      </c>
      <c r="H155" s="133">
        <f t="shared" si="31"/>
        <v>2.5168465927326404E-2</v>
      </c>
      <c r="I155" s="133">
        <f t="shared" si="31"/>
        <v>4.0213227302625561E-2</v>
      </c>
      <c r="J155" s="133">
        <f t="shared" si="31"/>
        <v>5.9901406301985018E-2</v>
      </c>
      <c r="K155" s="133">
        <f t="shared" si="31"/>
        <v>8.4664604496298951E-2</v>
      </c>
      <c r="L155" s="133">
        <f t="shared" si="31"/>
        <v>0.11458985683850001</v>
      </c>
      <c r="M155" s="133">
        <f t="shared" si="31"/>
        <v>0.14935359692602793</v>
      </c>
      <c r="N155" s="133">
        <f t="shared" si="31"/>
        <v>0.18824632115310683</v>
      </c>
      <c r="O155" s="133">
        <f t="shared" si="31"/>
        <v>0.23029960424952831</v>
      </c>
      <c r="P155" s="133">
        <f t="shared" si="31"/>
        <v>0.2744819629548092</v>
      </c>
      <c r="Q155" s="133">
        <f t="shared" si="31"/>
        <v>0.31989216962937406</v>
      </c>
      <c r="R155" s="133">
        <f t="shared" si="31"/>
        <v>0.36587776921233817</v>
      </c>
      <c r="S155" s="133">
        <f t="shared" si="31"/>
        <v>0.41204938824239623</v>
      </c>
      <c r="T155" s="133">
        <f t="shared" si="31"/>
        <v>0.46855917706751704</v>
      </c>
      <c r="U155" s="133">
        <f t="shared" si="31"/>
        <v>0.52414453810891737</v>
      </c>
      <c r="V155" s="133">
        <f t="shared" si="31"/>
        <v>0.578667838135831</v>
      </c>
      <c r="W155" s="133">
        <f t="shared" si="31"/>
        <v>0.63228299857420978</v>
      </c>
      <c r="X155" s="133">
        <f t="shared" si="31"/>
        <v>0.68500105629110974</v>
      </c>
      <c r="Y155" s="133"/>
    </row>
    <row r="156" spans="1:25">
      <c r="D156" s="7" t="s">
        <v>95</v>
      </c>
      <c r="E156" s="132">
        <f t="shared" si="30"/>
        <v>0</v>
      </c>
      <c r="F156" s="133">
        <f t="shared" si="31"/>
        <v>0</v>
      </c>
      <c r="G156" s="133">
        <f t="shared" si="31"/>
        <v>0</v>
      </c>
      <c r="H156" s="133">
        <f t="shared" si="31"/>
        <v>0</v>
      </c>
      <c r="I156" s="133">
        <f t="shared" si="31"/>
        <v>0</v>
      </c>
      <c r="J156" s="133">
        <f t="shared" si="31"/>
        <v>0</v>
      </c>
      <c r="K156" s="133">
        <f t="shared" si="31"/>
        <v>0</v>
      </c>
      <c r="L156" s="133">
        <f t="shared" si="31"/>
        <v>0</v>
      </c>
      <c r="M156" s="133">
        <f t="shared" si="31"/>
        <v>0</v>
      </c>
      <c r="N156" s="133">
        <f t="shared" si="31"/>
        <v>0</v>
      </c>
      <c r="O156" s="133">
        <f t="shared" si="31"/>
        <v>0</v>
      </c>
      <c r="P156" s="133">
        <f t="shared" si="31"/>
        <v>0</v>
      </c>
      <c r="Q156" s="133">
        <f t="shared" si="31"/>
        <v>0</v>
      </c>
      <c r="R156" s="133">
        <f t="shared" si="31"/>
        <v>0</v>
      </c>
      <c r="S156" s="133">
        <f t="shared" si="31"/>
        <v>0</v>
      </c>
      <c r="T156" s="133">
        <f t="shared" si="31"/>
        <v>0</v>
      </c>
      <c r="U156" s="133">
        <f t="shared" si="31"/>
        <v>0</v>
      </c>
      <c r="V156" s="133">
        <f t="shared" si="31"/>
        <v>0</v>
      </c>
      <c r="W156" s="133">
        <f t="shared" si="31"/>
        <v>0</v>
      </c>
      <c r="X156" s="133">
        <f t="shared" si="31"/>
        <v>0</v>
      </c>
      <c r="Y156" s="133"/>
    </row>
    <row r="157" spans="1:25">
      <c r="D157" s="7" t="s">
        <v>98</v>
      </c>
      <c r="E157" s="132">
        <f t="shared" si="30"/>
        <v>0</v>
      </c>
      <c r="F157" s="133">
        <f t="shared" si="31"/>
        <v>0</v>
      </c>
      <c r="G157" s="133">
        <f t="shared" si="31"/>
        <v>0</v>
      </c>
      <c r="H157" s="133">
        <f t="shared" si="31"/>
        <v>0</v>
      </c>
      <c r="I157" s="133">
        <f t="shared" si="31"/>
        <v>0</v>
      </c>
      <c r="J157" s="133">
        <f t="shared" si="31"/>
        <v>0</v>
      </c>
      <c r="K157" s="133">
        <f t="shared" si="31"/>
        <v>0</v>
      </c>
      <c r="L157" s="133">
        <f t="shared" si="31"/>
        <v>0</v>
      </c>
      <c r="M157" s="133">
        <f t="shared" si="31"/>
        <v>0</v>
      </c>
      <c r="N157" s="133">
        <f t="shared" si="31"/>
        <v>0</v>
      </c>
      <c r="O157" s="133">
        <f t="shared" si="31"/>
        <v>0</v>
      </c>
      <c r="P157" s="133">
        <f t="shared" si="31"/>
        <v>0</v>
      </c>
      <c r="Q157" s="133">
        <f t="shared" si="31"/>
        <v>0</v>
      </c>
      <c r="R157" s="133">
        <f t="shared" si="31"/>
        <v>0</v>
      </c>
      <c r="S157" s="133">
        <f t="shared" si="31"/>
        <v>0</v>
      </c>
      <c r="T157" s="133">
        <f t="shared" si="31"/>
        <v>0</v>
      </c>
      <c r="U157" s="133">
        <f t="shared" si="31"/>
        <v>0</v>
      </c>
      <c r="V157" s="133">
        <f t="shared" si="31"/>
        <v>0</v>
      </c>
      <c r="W157" s="133">
        <f t="shared" si="31"/>
        <v>0</v>
      </c>
      <c r="X157" s="133">
        <f t="shared" si="31"/>
        <v>0</v>
      </c>
      <c r="Y157" s="133"/>
    </row>
    <row r="158" spans="1:25">
      <c r="D158" s="7" t="s">
        <v>101</v>
      </c>
      <c r="E158" s="132">
        <f t="shared" si="30"/>
        <v>0</v>
      </c>
      <c r="F158" s="133">
        <f t="shared" si="31"/>
        <v>0</v>
      </c>
      <c r="G158" s="133">
        <f t="shared" si="31"/>
        <v>0</v>
      </c>
      <c r="H158" s="133">
        <f t="shared" si="31"/>
        <v>0</v>
      </c>
      <c r="I158" s="133">
        <f t="shared" si="31"/>
        <v>0</v>
      </c>
      <c r="J158" s="133">
        <f t="shared" si="31"/>
        <v>0</v>
      </c>
      <c r="K158" s="133">
        <f t="shared" si="31"/>
        <v>0</v>
      </c>
      <c r="L158" s="133">
        <f t="shared" si="31"/>
        <v>0</v>
      </c>
      <c r="M158" s="133">
        <f t="shared" si="31"/>
        <v>0</v>
      </c>
      <c r="N158" s="133">
        <f t="shared" si="31"/>
        <v>0</v>
      </c>
      <c r="O158" s="133">
        <f t="shared" si="31"/>
        <v>0</v>
      </c>
      <c r="P158" s="133">
        <f t="shared" si="31"/>
        <v>0</v>
      </c>
      <c r="Q158" s="133">
        <f t="shared" si="31"/>
        <v>0</v>
      </c>
      <c r="R158" s="133">
        <f t="shared" si="31"/>
        <v>0</v>
      </c>
      <c r="S158" s="133">
        <f t="shared" si="31"/>
        <v>0</v>
      </c>
      <c r="T158" s="133">
        <f t="shared" si="31"/>
        <v>0</v>
      </c>
      <c r="U158" s="133">
        <f t="shared" si="31"/>
        <v>0</v>
      </c>
      <c r="V158" s="133">
        <f t="shared" si="31"/>
        <v>0</v>
      </c>
      <c r="W158" s="133">
        <f t="shared" si="31"/>
        <v>0</v>
      </c>
      <c r="X158" s="133">
        <f t="shared" si="31"/>
        <v>0</v>
      </c>
      <c r="Y158" s="133"/>
    </row>
    <row r="159" spans="1:25">
      <c r="D159" s="7" t="s">
        <v>104</v>
      </c>
      <c r="E159" s="132">
        <f t="shared" si="30"/>
        <v>0</v>
      </c>
      <c r="F159" s="133">
        <f t="shared" si="31"/>
        <v>0</v>
      </c>
      <c r="G159" s="133">
        <f t="shared" si="31"/>
        <v>0</v>
      </c>
      <c r="H159" s="133">
        <f t="shared" si="31"/>
        <v>0</v>
      </c>
      <c r="I159" s="133">
        <f t="shared" si="31"/>
        <v>0</v>
      </c>
      <c r="J159" s="133">
        <f t="shared" si="31"/>
        <v>0</v>
      </c>
      <c r="K159" s="133">
        <f t="shared" si="31"/>
        <v>0</v>
      </c>
      <c r="L159" s="133">
        <f t="shared" si="31"/>
        <v>0</v>
      </c>
      <c r="M159" s="133">
        <f t="shared" si="31"/>
        <v>0</v>
      </c>
      <c r="N159" s="133">
        <f t="shared" si="31"/>
        <v>0</v>
      </c>
      <c r="O159" s="133">
        <f t="shared" si="31"/>
        <v>0</v>
      </c>
      <c r="P159" s="133">
        <f t="shared" si="31"/>
        <v>0</v>
      </c>
      <c r="Q159" s="133">
        <f t="shared" si="31"/>
        <v>0</v>
      </c>
      <c r="R159" s="133">
        <f t="shared" si="31"/>
        <v>0</v>
      </c>
      <c r="S159" s="133">
        <f t="shared" si="31"/>
        <v>0</v>
      </c>
      <c r="T159" s="133">
        <f t="shared" si="31"/>
        <v>0</v>
      </c>
      <c r="U159" s="133">
        <f t="shared" si="31"/>
        <v>0</v>
      </c>
      <c r="V159" s="133">
        <f t="shared" si="31"/>
        <v>0</v>
      </c>
      <c r="W159" s="133">
        <f t="shared" si="31"/>
        <v>0</v>
      </c>
      <c r="X159" s="133">
        <f t="shared" si="31"/>
        <v>0</v>
      </c>
      <c r="Y159" s="133"/>
    </row>
    <row r="160" spans="1:25">
      <c r="D160" s="7" t="s">
        <v>107</v>
      </c>
      <c r="E160" s="132">
        <f t="shared" si="30"/>
        <v>0</v>
      </c>
      <c r="F160" s="133">
        <f t="shared" si="31"/>
        <v>0</v>
      </c>
      <c r="G160" s="133">
        <f t="shared" si="31"/>
        <v>0</v>
      </c>
      <c r="H160" s="133">
        <f t="shared" si="31"/>
        <v>0</v>
      </c>
      <c r="I160" s="133">
        <f t="shared" si="31"/>
        <v>0</v>
      </c>
      <c r="J160" s="133">
        <f t="shared" si="31"/>
        <v>0</v>
      </c>
      <c r="K160" s="133">
        <f t="shared" si="31"/>
        <v>0</v>
      </c>
      <c r="L160" s="133">
        <f t="shared" si="31"/>
        <v>0</v>
      </c>
      <c r="M160" s="133">
        <f t="shared" si="31"/>
        <v>0</v>
      </c>
      <c r="N160" s="133">
        <f t="shared" ref="N160:X160" si="32">M160+N121</f>
        <v>0</v>
      </c>
      <c r="O160" s="133">
        <f t="shared" si="32"/>
        <v>0</v>
      </c>
      <c r="P160" s="133">
        <f t="shared" si="32"/>
        <v>0</v>
      </c>
      <c r="Q160" s="133">
        <f t="shared" si="32"/>
        <v>0</v>
      </c>
      <c r="R160" s="133">
        <f t="shared" si="32"/>
        <v>0</v>
      </c>
      <c r="S160" s="133">
        <f t="shared" si="32"/>
        <v>0</v>
      </c>
      <c r="T160" s="133">
        <f t="shared" si="32"/>
        <v>0</v>
      </c>
      <c r="U160" s="133">
        <f t="shared" si="32"/>
        <v>0</v>
      </c>
      <c r="V160" s="133">
        <f t="shared" si="32"/>
        <v>0</v>
      </c>
      <c r="W160" s="133">
        <f t="shared" si="32"/>
        <v>0</v>
      </c>
      <c r="X160" s="133">
        <f t="shared" si="32"/>
        <v>0</v>
      </c>
      <c r="Y160" s="133"/>
    </row>
    <row r="161" spans="4:25">
      <c r="D161" s="7" t="s">
        <v>110</v>
      </c>
      <c r="E161" s="132">
        <f t="shared" si="30"/>
        <v>0</v>
      </c>
      <c r="F161" s="133">
        <f t="shared" ref="F161:X174" si="33">E161+F122</f>
        <v>0</v>
      </c>
      <c r="G161" s="133">
        <f t="shared" si="33"/>
        <v>0</v>
      </c>
      <c r="H161" s="133">
        <f t="shared" si="33"/>
        <v>0</v>
      </c>
      <c r="I161" s="133">
        <f t="shared" si="33"/>
        <v>0</v>
      </c>
      <c r="J161" s="133">
        <f t="shared" si="33"/>
        <v>0</v>
      </c>
      <c r="K161" s="133">
        <f t="shared" si="33"/>
        <v>0</v>
      </c>
      <c r="L161" s="133">
        <f t="shared" si="33"/>
        <v>0</v>
      </c>
      <c r="M161" s="133">
        <f t="shared" si="33"/>
        <v>0</v>
      </c>
      <c r="N161" s="133">
        <f t="shared" si="33"/>
        <v>0</v>
      </c>
      <c r="O161" s="133">
        <f t="shared" si="33"/>
        <v>0</v>
      </c>
      <c r="P161" s="133">
        <f t="shared" si="33"/>
        <v>0</v>
      </c>
      <c r="Q161" s="133">
        <f t="shared" si="33"/>
        <v>0</v>
      </c>
      <c r="R161" s="133">
        <f t="shared" si="33"/>
        <v>0</v>
      </c>
      <c r="S161" s="133">
        <f t="shared" si="33"/>
        <v>0</v>
      </c>
      <c r="T161" s="133">
        <f t="shared" si="33"/>
        <v>0</v>
      </c>
      <c r="U161" s="133">
        <f t="shared" si="33"/>
        <v>0</v>
      </c>
      <c r="V161" s="133">
        <f t="shared" si="33"/>
        <v>0</v>
      </c>
      <c r="W161" s="133">
        <f t="shared" si="33"/>
        <v>0</v>
      </c>
      <c r="X161" s="133">
        <f t="shared" si="33"/>
        <v>0</v>
      </c>
      <c r="Y161" s="133"/>
    </row>
    <row r="162" spans="4:25">
      <c r="D162" s="7" t="s">
        <v>113</v>
      </c>
      <c r="E162" s="132">
        <f t="shared" si="30"/>
        <v>0</v>
      </c>
      <c r="F162" s="133">
        <f t="shared" si="33"/>
        <v>0</v>
      </c>
      <c r="G162" s="133">
        <f t="shared" si="33"/>
        <v>0</v>
      </c>
      <c r="H162" s="133">
        <f t="shared" si="33"/>
        <v>0</v>
      </c>
      <c r="I162" s="133">
        <f t="shared" si="33"/>
        <v>0</v>
      </c>
      <c r="J162" s="133">
        <f t="shared" si="33"/>
        <v>0</v>
      </c>
      <c r="K162" s="133">
        <f t="shared" si="33"/>
        <v>0</v>
      </c>
      <c r="L162" s="133">
        <f t="shared" si="33"/>
        <v>0</v>
      </c>
      <c r="M162" s="133">
        <f t="shared" si="33"/>
        <v>0</v>
      </c>
      <c r="N162" s="133">
        <f t="shared" si="33"/>
        <v>0</v>
      </c>
      <c r="O162" s="133">
        <f t="shared" si="33"/>
        <v>0</v>
      </c>
      <c r="P162" s="133">
        <f t="shared" si="33"/>
        <v>0</v>
      </c>
      <c r="Q162" s="133">
        <f t="shared" si="33"/>
        <v>0</v>
      </c>
      <c r="R162" s="133">
        <f t="shared" si="33"/>
        <v>0</v>
      </c>
      <c r="S162" s="133">
        <f t="shared" si="33"/>
        <v>0</v>
      </c>
      <c r="T162" s="133">
        <f t="shared" si="33"/>
        <v>0</v>
      </c>
      <c r="U162" s="133">
        <f t="shared" si="33"/>
        <v>0</v>
      </c>
      <c r="V162" s="133">
        <f t="shared" si="33"/>
        <v>0</v>
      </c>
      <c r="W162" s="133">
        <f t="shared" si="33"/>
        <v>0</v>
      </c>
      <c r="X162" s="133">
        <f t="shared" si="33"/>
        <v>0</v>
      </c>
      <c r="Y162" s="133"/>
    </row>
    <row r="163" spans="4:25">
      <c r="D163" s="7" t="s">
        <v>116</v>
      </c>
      <c r="E163" s="132">
        <f t="shared" si="30"/>
        <v>0</v>
      </c>
      <c r="F163" s="133">
        <f t="shared" si="33"/>
        <v>0</v>
      </c>
      <c r="G163" s="133">
        <f t="shared" si="33"/>
        <v>0</v>
      </c>
      <c r="H163" s="133">
        <f t="shared" si="33"/>
        <v>0</v>
      </c>
      <c r="I163" s="133">
        <f t="shared" si="33"/>
        <v>0</v>
      </c>
      <c r="J163" s="133">
        <f t="shared" si="33"/>
        <v>0</v>
      </c>
      <c r="K163" s="133">
        <f t="shared" si="33"/>
        <v>0</v>
      </c>
      <c r="L163" s="133">
        <f t="shared" si="33"/>
        <v>0</v>
      </c>
      <c r="M163" s="133">
        <f t="shared" si="33"/>
        <v>0</v>
      </c>
      <c r="N163" s="133">
        <f t="shared" si="33"/>
        <v>0</v>
      </c>
      <c r="O163" s="133">
        <f t="shared" si="33"/>
        <v>0</v>
      </c>
      <c r="P163" s="133">
        <f t="shared" si="33"/>
        <v>0</v>
      </c>
      <c r="Q163" s="133">
        <f t="shared" si="33"/>
        <v>0</v>
      </c>
      <c r="R163" s="133">
        <f t="shared" si="33"/>
        <v>0</v>
      </c>
      <c r="S163" s="133">
        <f t="shared" si="33"/>
        <v>0</v>
      </c>
      <c r="T163" s="133">
        <f t="shared" si="33"/>
        <v>0</v>
      </c>
      <c r="U163" s="133">
        <f t="shared" si="33"/>
        <v>0</v>
      </c>
      <c r="V163" s="133">
        <f t="shared" si="33"/>
        <v>0</v>
      </c>
      <c r="W163" s="133">
        <f t="shared" si="33"/>
        <v>0</v>
      </c>
      <c r="X163" s="133">
        <f t="shared" si="33"/>
        <v>0</v>
      </c>
      <c r="Y163" s="133"/>
    </row>
    <row r="164" spans="4:25">
      <c r="D164" s="7" t="s">
        <v>119</v>
      </c>
      <c r="E164" s="132">
        <f t="shared" si="30"/>
        <v>0</v>
      </c>
      <c r="F164" s="133">
        <f t="shared" si="33"/>
        <v>0</v>
      </c>
      <c r="G164" s="133">
        <f t="shared" si="33"/>
        <v>0</v>
      </c>
      <c r="H164" s="133">
        <f t="shared" si="33"/>
        <v>0</v>
      </c>
      <c r="I164" s="133">
        <f t="shared" si="33"/>
        <v>0</v>
      </c>
      <c r="J164" s="133">
        <f t="shared" si="33"/>
        <v>0</v>
      </c>
      <c r="K164" s="133">
        <f t="shared" si="33"/>
        <v>0</v>
      </c>
      <c r="L164" s="133">
        <f t="shared" si="33"/>
        <v>0</v>
      </c>
      <c r="M164" s="133">
        <f t="shared" si="33"/>
        <v>0</v>
      </c>
      <c r="N164" s="133">
        <f t="shared" si="33"/>
        <v>0</v>
      </c>
      <c r="O164" s="133">
        <f t="shared" si="33"/>
        <v>0</v>
      </c>
      <c r="P164" s="133">
        <f t="shared" si="33"/>
        <v>0</v>
      </c>
      <c r="Q164" s="133">
        <f t="shared" si="33"/>
        <v>0</v>
      </c>
      <c r="R164" s="133">
        <f t="shared" si="33"/>
        <v>0</v>
      </c>
      <c r="S164" s="133">
        <f t="shared" si="33"/>
        <v>0</v>
      </c>
      <c r="T164" s="133">
        <f t="shared" si="33"/>
        <v>0</v>
      </c>
      <c r="U164" s="133">
        <f t="shared" si="33"/>
        <v>0</v>
      </c>
      <c r="V164" s="133">
        <f t="shared" si="33"/>
        <v>0</v>
      </c>
      <c r="W164" s="133">
        <f t="shared" si="33"/>
        <v>0</v>
      </c>
      <c r="X164" s="133">
        <f t="shared" si="33"/>
        <v>0</v>
      </c>
      <c r="Y164" s="133"/>
    </row>
    <row r="165" spans="4:25">
      <c r="D165" s="7" t="s">
        <v>122</v>
      </c>
      <c r="E165" s="132">
        <f t="shared" si="30"/>
        <v>0</v>
      </c>
      <c r="F165" s="133">
        <f t="shared" si="33"/>
        <v>0</v>
      </c>
      <c r="G165" s="133">
        <f t="shared" si="33"/>
        <v>0</v>
      </c>
      <c r="H165" s="133">
        <f t="shared" si="33"/>
        <v>0</v>
      </c>
      <c r="I165" s="133">
        <f t="shared" si="33"/>
        <v>0</v>
      </c>
      <c r="J165" s="133">
        <f t="shared" si="33"/>
        <v>0</v>
      </c>
      <c r="K165" s="133">
        <f t="shared" si="33"/>
        <v>0</v>
      </c>
      <c r="L165" s="133">
        <f t="shared" si="33"/>
        <v>0</v>
      </c>
      <c r="M165" s="133">
        <f t="shared" si="33"/>
        <v>0</v>
      </c>
      <c r="N165" s="133">
        <f t="shared" si="33"/>
        <v>0</v>
      </c>
      <c r="O165" s="133">
        <f t="shared" si="33"/>
        <v>0</v>
      </c>
      <c r="P165" s="133">
        <f t="shared" si="33"/>
        <v>0</v>
      </c>
      <c r="Q165" s="133">
        <f t="shared" si="33"/>
        <v>0</v>
      </c>
      <c r="R165" s="133">
        <f t="shared" si="33"/>
        <v>0</v>
      </c>
      <c r="S165" s="133">
        <f t="shared" si="33"/>
        <v>0</v>
      </c>
      <c r="T165" s="133">
        <f t="shared" si="33"/>
        <v>0</v>
      </c>
      <c r="U165" s="133">
        <f t="shared" si="33"/>
        <v>0</v>
      </c>
      <c r="V165" s="133">
        <f t="shared" si="33"/>
        <v>0</v>
      </c>
      <c r="W165" s="133">
        <f t="shared" si="33"/>
        <v>0</v>
      </c>
      <c r="X165" s="133">
        <f t="shared" si="33"/>
        <v>0</v>
      </c>
      <c r="Y165" s="133"/>
    </row>
    <row r="166" spans="4:25">
      <c r="D166" s="7" t="s">
        <v>125</v>
      </c>
      <c r="E166" s="132">
        <f t="shared" si="30"/>
        <v>0</v>
      </c>
      <c r="F166" s="133">
        <f t="shared" si="33"/>
        <v>0</v>
      </c>
      <c r="G166" s="133">
        <f t="shared" si="33"/>
        <v>0</v>
      </c>
      <c r="H166" s="133">
        <f t="shared" si="33"/>
        <v>0</v>
      </c>
      <c r="I166" s="133">
        <f t="shared" si="33"/>
        <v>0</v>
      </c>
      <c r="J166" s="133">
        <f t="shared" si="33"/>
        <v>0</v>
      </c>
      <c r="K166" s="133">
        <f t="shared" si="33"/>
        <v>0</v>
      </c>
      <c r="L166" s="133">
        <f t="shared" si="33"/>
        <v>0</v>
      </c>
      <c r="M166" s="133">
        <f t="shared" si="33"/>
        <v>0</v>
      </c>
      <c r="N166" s="133">
        <f t="shared" si="33"/>
        <v>0</v>
      </c>
      <c r="O166" s="133">
        <f t="shared" si="33"/>
        <v>0</v>
      </c>
      <c r="P166" s="133">
        <f t="shared" si="33"/>
        <v>0</v>
      </c>
      <c r="Q166" s="133">
        <f t="shared" si="33"/>
        <v>0</v>
      </c>
      <c r="R166" s="133">
        <f t="shared" si="33"/>
        <v>0</v>
      </c>
      <c r="S166" s="133">
        <f t="shared" si="33"/>
        <v>0</v>
      </c>
      <c r="T166" s="133">
        <f t="shared" si="33"/>
        <v>0</v>
      </c>
      <c r="U166" s="133">
        <f t="shared" si="33"/>
        <v>0</v>
      </c>
      <c r="V166" s="133">
        <f t="shared" si="33"/>
        <v>0</v>
      </c>
      <c r="W166" s="133">
        <f t="shared" si="33"/>
        <v>0</v>
      </c>
      <c r="X166" s="133">
        <f t="shared" si="33"/>
        <v>0</v>
      </c>
      <c r="Y166" s="133"/>
    </row>
    <row r="167" spans="4:25">
      <c r="D167" s="7" t="s">
        <v>128</v>
      </c>
      <c r="E167" s="132">
        <f t="shared" si="30"/>
        <v>0</v>
      </c>
      <c r="F167" s="133">
        <f t="shared" si="33"/>
        <v>0</v>
      </c>
      <c r="G167" s="133">
        <f t="shared" si="33"/>
        <v>0</v>
      </c>
      <c r="H167" s="133">
        <f t="shared" si="33"/>
        <v>0</v>
      </c>
      <c r="I167" s="133">
        <f t="shared" si="33"/>
        <v>0</v>
      </c>
      <c r="J167" s="133">
        <f t="shared" si="33"/>
        <v>0</v>
      </c>
      <c r="K167" s="133">
        <f t="shared" si="33"/>
        <v>0</v>
      </c>
      <c r="L167" s="133">
        <f t="shared" si="33"/>
        <v>0</v>
      </c>
      <c r="M167" s="133">
        <f t="shared" si="33"/>
        <v>0</v>
      </c>
      <c r="N167" s="133">
        <f t="shared" si="33"/>
        <v>0</v>
      </c>
      <c r="O167" s="133">
        <f t="shared" si="33"/>
        <v>0</v>
      </c>
      <c r="P167" s="133">
        <f t="shared" si="33"/>
        <v>0</v>
      </c>
      <c r="Q167" s="133">
        <f t="shared" si="33"/>
        <v>0</v>
      </c>
      <c r="R167" s="133">
        <f t="shared" si="33"/>
        <v>0</v>
      </c>
      <c r="S167" s="133">
        <f t="shared" si="33"/>
        <v>0</v>
      </c>
      <c r="T167" s="133">
        <f t="shared" si="33"/>
        <v>0</v>
      </c>
      <c r="U167" s="133">
        <f t="shared" si="33"/>
        <v>0</v>
      </c>
      <c r="V167" s="133">
        <f t="shared" si="33"/>
        <v>0</v>
      </c>
      <c r="W167" s="133">
        <f t="shared" si="33"/>
        <v>0</v>
      </c>
      <c r="X167" s="133">
        <f t="shared" si="33"/>
        <v>0</v>
      </c>
      <c r="Y167" s="133"/>
    </row>
    <row r="168" spans="4:25">
      <c r="D168" s="7" t="s">
        <v>372</v>
      </c>
      <c r="E168" s="132">
        <f t="shared" si="30"/>
        <v>0</v>
      </c>
      <c r="F168" s="133">
        <f t="shared" si="33"/>
        <v>0</v>
      </c>
      <c r="G168" s="133">
        <f t="shared" si="33"/>
        <v>0</v>
      </c>
      <c r="H168" s="133">
        <f t="shared" si="33"/>
        <v>0</v>
      </c>
      <c r="I168" s="133">
        <f t="shared" si="33"/>
        <v>0</v>
      </c>
      <c r="J168" s="133">
        <f t="shared" si="33"/>
        <v>0</v>
      </c>
      <c r="K168" s="133">
        <f t="shared" si="33"/>
        <v>0</v>
      </c>
      <c r="L168" s="133">
        <f t="shared" si="33"/>
        <v>0</v>
      </c>
      <c r="M168" s="133">
        <f t="shared" si="33"/>
        <v>0</v>
      </c>
      <c r="N168" s="133">
        <f t="shared" si="33"/>
        <v>0</v>
      </c>
      <c r="O168" s="133">
        <f t="shared" si="33"/>
        <v>0</v>
      </c>
      <c r="P168" s="133">
        <f t="shared" si="33"/>
        <v>0</v>
      </c>
      <c r="Q168" s="133">
        <f t="shared" si="33"/>
        <v>0</v>
      </c>
      <c r="R168" s="133">
        <f t="shared" si="33"/>
        <v>0</v>
      </c>
      <c r="S168" s="133">
        <f t="shared" si="33"/>
        <v>0</v>
      </c>
      <c r="T168" s="133">
        <f t="shared" si="33"/>
        <v>0</v>
      </c>
      <c r="U168" s="133">
        <f t="shared" si="33"/>
        <v>0</v>
      </c>
      <c r="V168" s="133">
        <f t="shared" si="33"/>
        <v>0</v>
      </c>
      <c r="W168" s="133">
        <f t="shared" si="33"/>
        <v>0</v>
      </c>
      <c r="X168" s="133">
        <f t="shared" si="33"/>
        <v>0</v>
      </c>
      <c r="Y168" s="133"/>
    </row>
    <row r="169" spans="4:25">
      <c r="D169" s="7" t="s">
        <v>373</v>
      </c>
      <c r="E169" s="132">
        <f t="shared" si="30"/>
        <v>0</v>
      </c>
      <c r="F169" s="133">
        <f t="shared" si="33"/>
        <v>0</v>
      </c>
      <c r="G169" s="133">
        <f t="shared" si="33"/>
        <v>0</v>
      </c>
      <c r="H169" s="133">
        <f t="shared" si="33"/>
        <v>0</v>
      </c>
      <c r="I169" s="133">
        <f t="shared" si="33"/>
        <v>0</v>
      </c>
      <c r="J169" s="133">
        <f t="shared" si="33"/>
        <v>0</v>
      </c>
      <c r="K169" s="133">
        <f t="shared" si="33"/>
        <v>0</v>
      </c>
      <c r="L169" s="133">
        <f t="shared" si="33"/>
        <v>0</v>
      </c>
      <c r="M169" s="133">
        <f t="shared" si="33"/>
        <v>0</v>
      </c>
      <c r="N169" s="133">
        <f t="shared" si="33"/>
        <v>0</v>
      </c>
      <c r="O169" s="133">
        <f t="shared" si="33"/>
        <v>0</v>
      </c>
      <c r="P169" s="133">
        <f t="shared" si="33"/>
        <v>0</v>
      </c>
      <c r="Q169" s="133">
        <f t="shared" si="33"/>
        <v>0</v>
      </c>
      <c r="R169" s="133">
        <f t="shared" si="33"/>
        <v>0</v>
      </c>
      <c r="S169" s="133">
        <f t="shared" si="33"/>
        <v>0</v>
      </c>
      <c r="T169" s="133">
        <f t="shared" si="33"/>
        <v>0</v>
      </c>
      <c r="U169" s="133">
        <f t="shared" si="33"/>
        <v>0</v>
      </c>
      <c r="V169" s="133">
        <f t="shared" si="33"/>
        <v>0</v>
      </c>
      <c r="W169" s="133">
        <f t="shared" si="33"/>
        <v>0</v>
      </c>
      <c r="X169" s="133">
        <f t="shared" si="33"/>
        <v>0</v>
      </c>
      <c r="Y169" s="133"/>
    </row>
    <row r="170" spans="4:25">
      <c r="D170" s="7" t="s">
        <v>374</v>
      </c>
      <c r="E170" s="132">
        <f t="shared" si="30"/>
        <v>0</v>
      </c>
      <c r="F170" s="133">
        <f t="shared" si="33"/>
        <v>0</v>
      </c>
      <c r="G170" s="133">
        <f t="shared" si="33"/>
        <v>0</v>
      </c>
      <c r="H170" s="133">
        <f t="shared" si="33"/>
        <v>0</v>
      </c>
      <c r="I170" s="133">
        <f t="shared" si="33"/>
        <v>0</v>
      </c>
      <c r="J170" s="133">
        <f t="shared" si="33"/>
        <v>0</v>
      </c>
      <c r="K170" s="133">
        <f t="shared" si="33"/>
        <v>0</v>
      </c>
      <c r="L170" s="133">
        <f t="shared" si="33"/>
        <v>0</v>
      </c>
      <c r="M170" s="133">
        <f t="shared" si="33"/>
        <v>0</v>
      </c>
      <c r="N170" s="133">
        <f t="shared" si="33"/>
        <v>0</v>
      </c>
      <c r="O170" s="133">
        <f t="shared" si="33"/>
        <v>0</v>
      </c>
      <c r="P170" s="133">
        <f t="shared" si="33"/>
        <v>0</v>
      </c>
      <c r="Q170" s="133">
        <f t="shared" si="33"/>
        <v>0</v>
      </c>
      <c r="R170" s="133">
        <f t="shared" si="33"/>
        <v>0</v>
      </c>
      <c r="S170" s="133">
        <f t="shared" si="33"/>
        <v>0</v>
      </c>
      <c r="T170" s="133">
        <f t="shared" si="33"/>
        <v>0</v>
      </c>
      <c r="U170" s="133">
        <f t="shared" si="33"/>
        <v>0</v>
      </c>
      <c r="V170" s="133">
        <f t="shared" si="33"/>
        <v>0</v>
      </c>
      <c r="W170" s="133">
        <f t="shared" si="33"/>
        <v>0</v>
      </c>
      <c r="X170" s="133">
        <f t="shared" si="33"/>
        <v>0</v>
      </c>
      <c r="Y170" s="133"/>
    </row>
    <row r="171" spans="4:25">
      <c r="D171" s="7" t="s">
        <v>375</v>
      </c>
      <c r="E171" s="132">
        <f t="shared" si="30"/>
        <v>0</v>
      </c>
      <c r="F171" s="133">
        <f t="shared" si="33"/>
        <v>0</v>
      </c>
      <c r="G171" s="133">
        <f t="shared" si="33"/>
        <v>0</v>
      </c>
      <c r="H171" s="133">
        <f t="shared" si="33"/>
        <v>0</v>
      </c>
      <c r="I171" s="133">
        <f t="shared" si="33"/>
        <v>0</v>
      </c>
      <c r="J171" s="133">
        <f t="shared" si="33"/>
        <v>0</v>
      </c>
      <c r="K171" s="133">
        <f t="shared" si="33"/>
        <v>0</v>
      </c>
      <c r="L171" s="133">
        <f t="shared" si="33"/>
        <v>0</v>
      </c>
      <c r="M171" s="133">
        <f t="shared" si="33"/>
        <v>0</v>
      </c>
      <c r="N171" s="133">
        <f t="shared" si="33"/>
        <v>0</v>
      </c>
      <c r="O171" s="133">
        <f t="shared" si="33"/>
        <v>0</v>
      </c>
      <c r="P171" s="133">
        <f t="shared" si="33"/>
        <v>0</v>
      </c>
      <c r="Q171" s="133">
        <f t="shared" si="33"/>
        <v>0</v>
      </c>
      <c r="R171" s="133">
        <f t="shared" si="33"/>
        <v>0</v>
      </c>
      <c r="S171" s="133">
        <f t="shared" si="33"/>
        <v>0</v>
      </c>
      <c r="T171" s="133">
        <f t="shared" si="33"/>
        <v>0</v>
      </c>
      <c r="U171" s="133">
        <f t="shared" si="33"/>
        <v>0</v>
      </c>
      <c r="V171" s="133">
        <f t="shared" si="33"/>
        <v>0</v>
      </c>
      <c r="W171" s="133">
        <f t="shared" si="33"/>
        <v>0</v>
      </c>
      <c r="X171" s="133">
        <f t="shared" si="33"/>
        <v>0</v>
      </c>
      <c r="Y171" s="133"/>
    </row>
    <row r="172" spans="4:25">
      <c r="D172" s="7" t="s">
        <v>376</v>
      </c>
      <c r="E172" s="132">
        <f t="shared" si="30"/>
        <v>0</v>
      </c>
      <c r="F172" s="133">
        <f t="shared" si="33"/>
        <v>0</v>
      </c>
      <c r="G172" s="133">
        <f t="shared" si="33"/>
        <v>0</v>
      </c>
      <c r="H172" s="133">
        <f t="shared" si="33"/>
        <v>0</v>
      </c>
      <c r="I172" s="133">
        <f t="shared" si="33"/>
        <v>0</v>
      </c>
      <c r="J172" s="133">
        <f t="shared" si="33"/>
        <v>0</v>
      </c>
      <c r="K172" s="133">
        <f t="shared" si="33"/>
        <v>0</v>
      </c>
      <c r="L172" s="133">
        <f t="shared" si="33"/>
        <v>0</v>
      </c>
      <c r="M172" s="133">
        <f t="shared" si="33"/>
        <v>0</v>
      </c>
      <c r="N172" s="133">
        <f t="shared" si="33"/>
        <v>0</v>
      </c>
      <c r="O172" s="133">
        <f t="shared" si="33"/>
        <v>0</v>
      </c>
      <c r="P172" s="133">
        <f t="shared" si="33"/>
        <v>0</v>
      </c>
      <c r="Q172" s="133">
        <f t="shared" si="33"/>
        <v>0</v>
      </c>
      <c r="R172" s="133">
        <f t="shared" si="33"/>
        <v>0</v>
      </c>
      <c r="S172" s="133">
        <f t="shared" si="33"/>
        <v>0</v>
      </c>
      <c r="T172" s="133">
        <f t="shared" si="33"/>
        <v>0</v>
      </c>
      <c r="U172" s="133">
        <f t="shared" si="33"/>
        <v>0</v>
      </c>
      <c r="V172" s="133">
        <f t="shared" si="33"/>
        <v>0</v>
      </c>
      <c r="W172" s="133">
        <f t="shared" si="33"/>
        <v>0</v>
      </c>
      <c r="X172" s="133">
        <f t="shared" si="33"/>
        <v>0</v>
      </c>
      <c r="Y172" s="133"/>
    </row>
    <row r="173" spans="4:25">
      <c r="D173" s="7" t="s">
        <v>377</v>
      </c>
      <c r="E173" s="132">
        <f t="shared" si="30"/>
        <v>0</v>
      </c>
      <c r="F173" s="133">
        <f t="shared" si="33"/>
        <v>0</v>
      </c>
      <c r="G173" s="133">
        <f t="shared" si="33"/>
        <v>0</v>
      </c>
      <c r="H173" s="133">
        <f t="shared" si="33"/>
        <v>0</v>
      </c>
      <c r="I173" s="133">
        <f t="shared" si="33"/>
        <v>0</v>
      </c>
      <c r="J173" s="133">
        <f t="shared" si="33"/>
        <v>0</v>
      </c>
      <c r="K173" s="133">
        <f t="shared" si="33"/>
        <v>0</v>
      </c>
      <c r="L173" s="133">
        <f t="shared" si="33"/>
        <v>0</v>
      </c>
      <c r="M173" s="133">
        <f t="shared" si="33"/>
        <v>0</v>
      </c>
      <c r="N173" s="133">
        <f t="shared" si="33"/>
        <v>0</v>
      </c>
      <c r="O173" s="133">
        <f t="shared" si="33"/>
        <v>0</v>
      </c>
      <c r="P173" s="133">
        <f t="shared" si="33"/>
        <v>0</v>
      </c>
      <c r="Q173" s="133">
        <f t="shared" si="33"/>
        <v>0</v>
      </c>
      <c r="R173" s="133">
        <f t="shared" si="33"/>
        <v>0</v>
      </c>
      <c r="S173" s="133">
        <f t="shared" si="33"/>
        <v>0</v>
      </c>
      <c r="T173" s="133">
        <f t="shared" si="33"/>
        <v>0</v>
      </c>
      <c r="U173" s="133">
        <f t="shared" si="33"/>
        <v>0</v>
      </c>
      <c r="V173" s="133">
        <f t="shared" si="33"/>
        <v>0</v>
      </c>
      <c r="W173" s="133">
        <f t="shared" si="33"/>
        <v>0</v>
      </c>
      <c r="X173" s="133">
        <f t="shared" si="33"/>
        <v>0</v>
      </c>
      <c r="Y173" s="133"/>
    </row>
    <row r="174" spans="4:25">
      <c r="D174" s="7" t="s">
        <v>378</v>
      </c>
      <c r="E174" s="132">
        <f t="shared" si="30"/>
        <v>0</v>
      </c>
      <c r="F174" s="133">
        <f t="shared" si="33"/>
        <v>0</v>
      </c>
      <c r="G174" s="133">
        <f t="shared" si="33"/>
        <v>0</v>
      </c>
      <c r="H174" s="133">
        <f t="shared" si="33"/>
        <v>0</v>
      </c>
      <c r="I174" s="133">
        <f t="shared" si="33"/>
        <v>0</v>
      </c>
      <c r="J174" s="133">
        <f t="shared" si="33"/>
        <v>0</v>
      </c>
      <c r="K174" s="133">
        <f t="shared" si="33"/>
        <v>0</v>
      </c>
      <c r="L174" s="133">
        <f t="shared" si="33"/>
        <v>0</v>
      </c>
      <c r="M174" s="133">
        <f t="shared" si="33"/>
        <v>0</v>
      </c>
      <c r="N174" s="133">
        <f t="shared" ref="N174:X174" si="34">M174+N135</f>
        <v>0</v>
      </c>
      <c r="O174" s="133">
        <f t="shared" si="34"/>
        <v>0</v>
      </c>
      <c r="P174" s="133">
        <f t="shared" si="34"/>
        <v>0</v>
      </c>
      <c r="Q174" s="133">
        <f t="shared" si="34"/>
        <v>0</v>
      </c>
      <c r="R174" s="133">
        <f t="shared" si="34"/>
        <v>0</v>
      </c>
      <c r="S174" s="133">
        <f t="shared" si="34"/>
        <v>0</v>
      </c>
      <c r="T174" s="133">
        <f t="shared" si="34"/>
        <v>0</v>
      </c>
      <c r="U174" s="133">
        <f t="shared" si="34"/>
        <v>0</v>
      </c>
      <c r="V174" s="133">
        <f t="shared" si="34"/>
        <v>0</v>
      </c>
      <c r="W174" s="133">
        <f t="shared" si="34"/>
        <v>0</v>
      </c>
      <c r="X174" s="133">
        <f t="shared" si="34"/>
        <v>0</v>
      </c>
      <c r="Y174" s="133"/>
    </row>
    <row r="175" spans="4:25">
      <c r="D175" s="7" t="s">
        <v>379</v>
      </c>
      <c r="E175" s="132">
        <f t="shared" si="30"/>
        <v>0</v>
      </c>
      <c r="F175" s="133">
        <f t="shared" ref="F175:X178" si="35">E175+F136</f>
        <v>0</v>
      </c>
      <c r="G175" s="133">
        <f t="shared" si="35"/>
        <v>0</v>
      </c>
      <c r="H175" s="133">
        <f t="shared" si="35"/>
        <v>0</v>
      </c>
      <c r="I175" s="133">
        <f t="shared" si="35"/>
        <v>0</v>
      </c>
      <c r="J175" s="133">
        <f t="shared" si="35"/>
        <v>0</v>
      </c>
      <c r="K175" s="133">
        <f t="shared" si="35"/>
        <v>0</v>
      </c>
      <c r="L175" s="133">
        <f t="shared" si="35"/>
        <v>0</v>
      </c>
      <c r="M175" s="133">
        <f t="shared" si="35"/>
        <v>0</v>
      </c>
      <c r="N175" s="133">
        <f t="shared" si="35"/>
        <v>0</v>
      </c>
      <c r="O175" s="133">
        <f t="shared" si="35"/>
        <v>0</v>
      </c>
      <c r="P175" s="133">
        <f t="shared" si="35"/>
        <v>0</v>
      </c>
      <c r="Q175" s="133">
        <f t="shared" si="35"/>
        <v>0</v>
      </c>
      <c r="R175" s="133">
        <f t="shared" si="35"/>
        <v>0</v>
      </c>
      <c r="S175" s="133">
        <f t="shared" si="35"/>
        <v>0</v>
      </c>
      <c r="T175" s="133">
        <f t="shared" si="35"/>
        <v>0</v>
      </c>
      <c r="U175" s="133">
        <f t="shared" si="35"/>
        <v>0</v>
      </c>
      <c r="V175" s="133">
        <f t="shared" si="35"/>
        <v>0</v>
      </c>
      <c r="W175" s="133">
        <f t="shared" si="35"/>
        <v>0</v>
      </c>
      <c r="X175" s="133">
        <f t="shared" si="35"/>
        <v>0</v>
      </c>
      <c r="Y175" s="133"/>
    </row>
    <row r="176" spans="4:25">
      <c r="D176" s="7" t="s">
        <v>380</v>
      </c>
      <c r="E176" s="132">
        <f t="shared" si="30"/>
        <v>0</v>
      </c>
      <c r="F176" s="133">
        <f t="shared" si="35"/>
        <v>0</v>
      </c>
      <c r="G176" s="133">
        <f t="shared" si="35"/>
        <v>0</v>
      </c>
      <c r="H176" s="133">
        <f t="shared" si="35"/>
        <v>0</v>
      </c>
      <c r="I176" s="133">
        <f t="shared" si="35"/>
        <v>0</v>
      </c>
      <c r="J176" s="133">
        <f t="shared" si="35"/>
        <v>0</v>
      </c>
      <c r="K176" s="133">
        <f t="shared" si="35"/>
        <v>0</v>
      </c>
      <c r="L176" s="133">
        <f t="shared" si="35"/>
        <v>0</v>
      </c>
      <c r="M176" s="133">
        <f t="shared" si="35"/>
        <v>0</v>
      </c>
      <c r="N176" s="133">
        <f t="shared" si="35"/>
        <v>0</v>
      </c>
      <c r="O176" s="133">
        <f t="shared" si="35"/>
        <v>0</v>
      </c>
      <c r="P176" s="133">
        <f t="shared" si="35"/>
        <v>0</v>
      </c>
      <c r="Q176" s="133">
        <f t="shared" si="35"/>
        <v>0</v>
      </c>
      <c r="R176" s="133">
        <f t="shared" si="35"/>
        <v>0</v>
      </c>
      <c r="S176" s="133">
        <f t="shared" si="35"/>
        <v>0</v>
      </c>
      <c r="T176" s="133">
        <f t="shared" si="35"/>
        <v>0</v>
      </c>
      <c r="U176" s="133">
        <f t="shared" si="35"/>
        <v>0</v>
      </c>
      <c r="V176" s="133">
        <f t="shared" si="35"/>
        <v>0</v>
      </c>
      <c r="W176" s="133">
        <f t="shared" si="35"/>
        <v>0</v>
      </c>
      <c r="X176" s="133">
        <f t="shared" si="35"/>
        <v>0</v>
      </c>
      <c r="Y176" s="133"/>
    </row>
    <row r="177" spans="4:79">
      <c r="D177" s="7" t="s">
        <v>381</v>
      </c>
      <c r="E177" s="132">
        <f t="shared" si="30"/>
        <v>0</v>
      </c>
      <c r="F177" s="133">
        <f t="shared" si="35"/>
        <v>0</v>
      </c>
      <c r="G177" s="133">
        <f t="shared" si="35"/>
        <v>0</v>
      </c>
      <c r="H177" s="133">
        <f t="shared" si="35"/>
        <v>0</v>
      </c>
      <c r="I177" s="133">
        <f t="shared" si="35"/>
        <v>0</v>
      </c>
      <c r="J177" s="133">
        <f t="shared" si="35"/>
        <v>0</v>
      </c>
      <c r="K177" s="133">
        <f t="shared" si="35"/>
        <v>0</v>
      </c>
      <c r="L177" s="133">
        <f t="shared" si="35"/>
        <v>0</v>
      </c>
      <c r="M177" s="133">
        <f t="shared" si="35"/>
        <v>0</v>
      </c>
      <c r="N177" s="133">
        <f t="shared" si="35"/>
        <v>0</v>
      </c>
      <c r="O177" s="133">
        <f t="shared" si="35"/>
        <v>0</v>
      </c>
      <c r="P177" s="133">
        <f t="shared" si="35"/>
        <v>0</v>
      </c>
      <c r="Q177" s="133">
        <f t="shared" si="35"/>
        <v>0</v>
      </c>
      <c r="R177" s="133">
        <f t="shared" si="35"/>
        <v>0</v>
      </c>
      <c r="S177" s="133">
        <f t="shared" si="35"/>
        <v>0</v>
      </c>
      <c r="T177" s="133">
        <f t="shared" si="35"/>
        <v>0</v>
      </c>
      <c r="U177" s="133">
        <f t="shared" si="35"/>
        <v>0</v>
      </c>
      <c r="V177" s="133">
        <f t="shared" si="35"/>
        <v>0</v>
      </c>
      <c r="W177" s="133">
        <f t="shared" si="35"/>
        <v>0</v>
      </c>
      <c r="X177" s="133">
        <f t="shared" si="35"/>
        <v>0</v>
      </c>
      <c r="Y177" s="133"/>
    </row>
    <row r="178" spans="4:79">
      <c r="D178" s="7" t="s">
        <v>382</v>
      </c>
      <c r="E178" s="132">
        <f t="shared" si="30"/>
        <v>0.12488126343134039</v>
      </c>
      <c r="F178" s="133">
        <f t="shared" si="35"/>
        <v>0.40246503541795564</v>
      </c>
      <c r="G178" s="133">
        <f t="shared" si="35"/>
        <v>0.86620356171552826</v>
      </c>
      <c r="H178" s="133">
        <f t="shared" si="35"/>
        <v>1.5452247247381401</v>
      </c>
      <c r="I178" s="133">
        <f t="shared" si="35"/>
        <v>2.4689018897280364</v>
      </c>
      <c r="J178" s="133">
        <f t="shared" si="35"/>
        <v>3.6776629267624532</v>
      </c>
      <c r="K178" s="133">
        <f t="shared" si="35"/>
        <v>5.1980061301954148</v>
      </c>
      <c r="L178" s="133">
        <f t="shared" si="35"/>
        <v>7.0352750343359354</v>
      </c>
      <c r="M178" s="133">
        <f t="shared" si="35"/>
        <v>9.1696041930032894</v>
      </c>
      <c r="N178" s="133">
        <f t="shared" si="35"/>
        <v>11.557433441779775</v>
      </c>
      <c r="O178" s="133">
        <f t="shared" si="35"/>
        <v>14.139306051125015</v>
      </c>
      <c r="P178" s="133">
        <f t="shared" si="35"/>
        <v>16.851893829251139</v>
      </c>
      <c r="Q178" s="133">
        <f t="shared" si="35"/>
        <v>19.63986566319678</v>
      </c>
      <c r="R178" s="133">
        <f t="shared" si="35"/>
        <v>22.46316389927852</v>
      </c>
      <c r="S178" s="133">
        <f t="shared" si="35"/>
        <v>25.29788284927114</v>
      </c>
      <c r="T178" s="133">
        <f t="shared" si="35"/>
        <v>28.76731651020399</v>
      </c>
      <c r="U178" s="133">
        <f t="shared" si="35"/>
        <v>32.179994679095159</v>
      </c>
      <c r="V178" s="133">
        <f t="shared" si="35"/>
        <v>35.527467326779593</v>
      </c>
      <c r="W178" s="133">
        <f t="shared" si="35"/>
        <v>38.81918450054004</v>
      </c>
      <c r="X178" s="133">
        <f t="shared" si="35"/>
        <v>42.055823811793431</v>
      </c>
      <c r="Y178" s="133"/>
    </row>
    <row r="180" spans="4:79" ht="15">
      <c r="D180" s="66" t="s">
        <v>135</v>
      </c>
      <c r="E180" s="66">
        <f>SUM(E147:E178)</f>
        <v>0.14165225946042409</v>
      </c>
      <c r="F180" s="66">
        <f>SUM(F147:F178)</f>
        <v>0.45651429249126008</v>
      </c>
      <c r="G180" s="66">
        <f t="shared" ref="G180:X180" si="36">SUM(G147:G178)</f>
        <v>0.982530832074194</v>
      </c>
      <c r="H180" s="66">
        <f t="shared" si="36"/>
        <v>1.7527415051627178</v>
      </c>
      <c r="I180" s="66">
        <f t="shared" si="36"/>
        <v>2.8004643887861205</v>
      </c>
      <c r="J180" s="66">
        <f t="shared" si="36"/>
        <v>4.171556635444797</v>
      </c>
      <c r="K180" s="66">
        <f t="shared" si="36"/>
        <v>5.8960751420979829</v>
      </c>
      <c r="L180" s="66">
        <f t="shared" si="36"/>
        <v>7.9800810558511621</v>
      </c>
      <c r="M180" s="66">
        <f t="shared" si="36"/>
        <v>10.401041089809491</v>
      </c>
      <c r="N180" s="66">
        <f t="shared" si="36"/>
        <v>13.109545143989251</v>
      </c>
      <c r="O180" s="66">
        <f t="shared" si="36"/>
        <v>16.038151715573235</v>
      </c>
      <c r="P180" s="66">
        <f t="shared" si="36"/>
        <v>19.115027919404678</v>
      </c>
      <c r="Q180" s="66">
        <f t="shared" si="36"/>
        <v>22.277411921129247</v>
      </c>
      <c r="R180" s="66">
        <f t="shared" si="36"/>
        <v>25.479866503048878</v>
      </c>
      <c r="S180" s="66">
        <f t="shared" si="36"/>
        <v>28.69527554975911</v>
      </c>
      <c r="T180" s="66">
        <f t="shared" si="36"/>
        <v>32.630638658808607</v>
      </c>
      <c r="U180" s="66">
        <f t="shared" si="36"/>
        <v>36.501624266673453</v>
      </c>
      <c r="V180" s="66">
        <f t="shared" si="36"/>
        <v>40.298647543004819</v>
      </c>
      <c r="W180" s="66">
        <f t="shared" si="36"/>
        <v>44.032427634236903</v>
      </c>
      <c r="X180" s="66">
        <f t="shared" si="36"/>
        <v>47.703733151974113</v>
      </c>
      <c r="Y180" s="66"/>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row>
    <row r="181" spans="4:79">
      <c r="E181" s="29"/>
      <c r="F181" s="35"/>
      <c r="G181" s="35"/>
      <c r="H181" s="35"/>
      <c r="I181" s="35"/>
      <c r="J181" s="35"/>
      <c r="K181" s="35"/>
      <c r="L181" s="35"/>
      <c r="M181" s="35"/>
      <c r="N181" s="35"/>
      <c r="O181" s="35"/>
      <c r="P181" s="35"/>
      <c r="Q181" s="35"/>
      <c r="R181" s="35"/>
      <c r="S181" s="35"/>
      <c r="T181" s="35"/>
      <c r="U181" s="35"/>
      <c r="V181" s="35"/>
      <c r="W181" s="35"/>
      <c r="X181" s="35"/>
      <c r="Y181" s="35"/>
    </row>
    <row r="184" spans="4:79" customFormat="1"/>
    <row r="185" spans="4:79" customFormat="1"/>
    <row r="186" spans="4:79" customFormat="1"/>
    <row r="187" spans="4:79" customFormat="1"/>
    <row r="188" spans="4:79" customFormat="1"/>
    <row r="189" spans="4:79" customFormat="1"/>
    <row r="190" spans="4:79" customFormat="1"/>
    <row r="191" spans="4:79" customFormat="1"/>
    <row r="192" spans="4:79" customFormat="1"/>
    <row r="193" customFormat="1"/>
    <row r="194" customFormat="1"/>
    <row r="195" customFormat="1"/>
    <row r="196" customFormat="1"/>
    <row r="197" customFormat="1"/>
    <row r="198" customFormat="1"/>
    <row r="199" customFormat="1"/>
    <row r="200" customFormat="1"/>
    <row r="201" customFormat="1"/>
    <row r="202" customFormat="1"/>
  </sheetData>
  <mergeCells count="2">
    <mergeCell ref="B1:T6"/>
    <mergeCell ref="U1:U6"/>
  </mergeCells>
  <pageMargins left="0.75" right="0.75" top="1" bottom="1" header="0.5" footer="0.5"/>
  <headerFooter alignWithMargins="0"/>
  <legacyDrawing r:id="rId1"/>
</worksheet>
</file>

<file path=xl/worksheets/sheet8.xml><?xml version="1.0" encoding="utf-8"?>
<worksheet xmlns="http://schemas.openxmlformats.org/spreadsheetml/2006/main" xmlns:r="http://schemas.openxmlformats.org/officeDocument/2006/relationships">
  <dimension ref="A1:CB200"/>
  <sheetViews>
    <sheetView topLeftCell="B28" zoomScaleNormal="100" workbookViewId="0">
      <selection activeCell="E13" sqref="E13:X13"/>
    </sheetView>
  </sheetViews>
  <sheetFormatPr defaultRowHeight="12.75"/>
  <cols>
    <col min="1" max="1" width="35" style="7" customWidth="1"/>
    <col min="2" max="3" width="20.7109375" style="7" customWidth="1"/>
    <col min="4" max="4" width="28.140625" style="7" customWidth="1"/>
    <col min="5" max="5" width="19.85546875" style="7" customWidth="1"/>
    <col min="6" max="6" width="9.28515625" style="7" bestFit="1" customWidth="1"/>
    <col min="7" max="29" width="9.140625" style="7"/>
    <col min="30" max="30" width="21.7109375" style="7" customWidth="1"/>
    <col min="31" max="31" width="35.85546875" style="7" customWidth="1"/>
    <col min="32" max="32" width="35.28515625" style="7" customWidth="1"/>
    <col min="33" max="33" width="15" style="7" customWidth="1"/>
    <col min="34" max="34" width="17.7109375" style="7" customWidth="1"/>
    <col min="35" max="35" width="15.140625" style="7" customWidth="1"/>
    <col min="36" max="36" width="15.7109375" style="7" customWidth="1"/>
    <col min="37" max="37" width="21.28515625" style="7" customWidth="1"/>
    <col min="38" max="38" width="17.7109375" style="7" bestFit="1" customWidth="1"/>
    <col min="39" max="39" width="15.42578125" style="7" bestFit="1" customWidth="1"/>
    <col min="40" max="40" width="14.28515625" style="7" bestFit="1" customWidth="1"/>
    <col min="41" max="41" width="14.28515625" style="7" customWidth="1"/>
    <col min="42" max="42" width="12.5703125" style="7" customWidth="1"/>
    <col min="43" max="43" width="14" style="7" bestFit="1" customWidth="1"/>
    <col min="44" max="45" width="10.85546875" style="7" bestFit="1" customWidth="1"/>
    <col min="46" max="46" width="13.42578125" style="7" customWidth="1"/>
    <col min="47" max="47" width="11.85546875" style="7" bestFit="1" customWidth="1"/>
    <col min="48" max="48" width="11" style="7" bestFit="1" customWidth="1"/>
    <col min="49" max="49" width="14.28515625" style="7" bestFit="1" customWidth="1"/>
    <col min="50" max="50" width="10.7109375" style="7" customWidth="1"/>
    <col min="51" max="51" width="13.85546875" style="7" bestFit="1" customWidth="1"/>
    <col min="52" max="52" width="11.7109375" style="7" bestFit="1" customWidth="1"/>
    <col min="53" max="53" width="15.28515625" style="7" bestFit="1" customWidth="1"/>
    <col min="54" max="56" width="12.28515625" style="7" bestFit="1" customWidth="1"/>
    <col min="57" max="57" width="12.5703125" style="7" bestFit="1" customWidth="1"/>
    <col min="58" max="60" width="14.28515625" style="7" bestFit="1" customWidth="1"/>
    <col min="61" max="61" width="13.7109375" style="7" bestFit="1" customWidth="1"/>
    <col min="62" max="62" width="14" style="7" bestFit="1" customWidth="1"/>
    <col min="63" max="63" width="12.85546875" style="7" bestFit="1" customWidth="1"/>
    <col min="64" max="64" width="15.28515625" style="7" bestFit="1" customWidth="1"/>
    <col min="65" max="65" width="12.28515625" style="7" bestFit="1" customWidth="1"/>
    <col min="66" max="66" width="10.85546875" style="7" bestFit="1" customWidth="1"/>
    <col min="67" max="67" width="12.28515625" style="7" bestFit="1" customWidth="1"/>
    <col min="68" max="68" width="12.5703125" style="7" bestFit="1" customWidth="1"/>
    <col min="69" max="16384" width="9.140625" style="7"/>
  </cols>
  <sheetData>
    <row r="1" spans="1:68" ht="12.75" customHeight="1">
      <c r="A1" s="45" t="s">
        <v>54</v>
      </c>
      <c r="B1" s="444" t="s">
        <v>342</v>
      </c>
      <c r="C1" s="444"/>
      <c r="D1" s="444"/>
      <c r="E1" s="444"/>
      <c r="F1" s="444"/>
      <c r="G1" s="444"/>
      <c r="H1" s="444"/>
      <c r="I1" s="444"/>
      <c r="J1" s="444"/>
      <c r="K1" s="444"/>
      <c r="L1" s="444"/>
      <c r="M1" s="444"/>
      <c r="N1" s="444"/>
      <c r="O1" s="444"/>
      <c r="P1" s="444"/>
      <c r="Q1" s="444"/>
      <c r="R1" s="444"/>
      <c r="S1" s="444"/>
      <c r="T1" s="444"/>
      <c r="U1" s="444"/>
      <c r="V1" s="53"/>
      <c r="W1" s="53"/>
      <c r="X1" s="53"/>
      <c r="Y1" s="53"/>
      <c r="Z1" s="53"/>
    </row>
    <row r="2" spans="1:68" ht="12.75" customHeight="1">
      <c r="A2" s="46" t="s">
        <v>137</v>
      </c>
      <c r="B2" s="444"/>
      <c r="C2" s="444"/>
      <c r="D2" s="444"/>
      <c r="E2" s="444"/>
      <c r="F2" s="444"/>
      <c r="G2" s="444"/>
      <c r="H2" s="444"/>
      <c r="I2" s="444"/>
      <c r="J2" s="444"/>
      <c r="K2" s="444"/>
      <c r="L2" s="444"/>
      <c r="M2" s="444"/>
      <c r="N2" s="444"/>
      <c r="O2" s="444"/>
      <c r="P2" s="444"/>
      <c r="Q2" s="444"/>
      <c r="R2" s="444"/>
      <c r="S2" s="444"/>
      <c r="T2" s="444"/>
      <c r="U2" s="444"/>
      <c r="V2" s="52"/>
      <c r="W2" s="52"/>
      <c r="X2" s="52"/>
      <c r="Y2" s="52"/>
    </row>
    <row r="3" spans="1:68">
      <c r="B3" s="444"/>
      <c r="C3" s="444"/>
      <c r="D3" s="444"/>
      <c r="E3" s="444"/>
      <c r="F3" s="444"/>
      <c r="G3" s="444"/>
      <c r="H3" s="444"/>
      <c r="I3" s="444"/>
      <c r="J3" s="444"/>
      <c r="K3" s="444"/>
      <c r="L3" s="444"/>
      <c r="M3" s="444"/>
      <c r="N3" s="444"/>
      <c r="O3" s="444"/>
      <c r="P3" s="444"/>
      <c r="Q3" s="444"/>
      <c r="R3" s="444"/>
      <c r="S3" s="444"/>
      <c r="T3" s="444"/>
      <c r="U3" s="444"/>
      <c r="V3" s="52"/>
      <c r="W3" s="52"/>
      <c r="X3" s="52"/>
      <c r="Y3" s="52"/>
      <c r="Z3" s="52"/>
    </row>
    <row r="4" spans="1:68">
      <c r="B4" s="444"/>
      <c r="C4" s="444"/>
      <c r="D4" s="444"/>
      <c r="E4" s="444"/>
      <c r="F4" s="444"/>
      <c r="G4" s="444"/>
      <c r="H4" s="444"/>
      <c r="I4" s="444"/>
      <c r="J4" s="444"/>
      <c r="K4" s="444"/>
      <c r="L4" s="444"/>
      <c r="M4" s="444"/>
      <c r="N4" s="444"/>
      <c r="O4" s="444"/>
      <c r="P4" s="444"/>
      <c r="Q4" s="444"/>
      <c r="R4" s="444"/>
      <c r="S4" s="444"/>
      <c r="T4" s="444"/>
      <c r="U4" s="444"/>
      <c r="V4" s="52"/>
      <c r="W4" s="52"/>
      <c r="X4" s="52"/>
      <c r="Y4" s="52"/>
      <c r="Z4" s="52"/>
    </row>
    <row r="5" spans="1:68">
      <c r="B5" s="444"/>
      <c r="C5" s="444"/>
      <c r="D5" s="444"/>
      <c r="E5" s="444"/>
      <c r="F5" s="444"/>
      <c r="G5" s="444"/>
      <c r="H5" s="444"/>
      <c r="I5" s="444"/>
      <c r="J5" s="444"/>
      <c r="K5" s="444"/>
      <c r="L5" s="444"/>
      <c r="M5" s="444"/>
      <c r="N5" s="444"/>
      <c r="O5" s="444"/>
      <c r="P5" s="444"/>
      <c r="Q5" s="444"/>
      <c r="R5" s="444"/>
      <c r="S5" s="444"/>
      <c r="T5" s="444"/>
      <c r="U5" s="444"/>
      <c r="V5" s="52"/>
      <c r="W5" s="52"/>
      <c r="X5" s="52"/>
      <c r="Y5" s="52"/>
      <c r="Z5" s="52"/>
    </row>
    <row r="6" spans="1:68">
      <c r="B6" s="444"/>
      <c r="C6" s="444"/>
      <c r="D6" s="444"/>
      <c r="E6" s="444"/>
      <c r="F6" s="444"/>
      <c r="G6" s="444"/>
      <c r="H6" s="444"/>
      <c r="I6" s="444"/>
      <c r="J6" s="444"/>
      <c r="K6" s="444"/>
      <c r="L6" s="444"/>
      <c r="M6" s="444"/>
      <c r="N6" s="444"/>
      <c r="O6" s="444"/>
      <c r="P6" s="444"/>
      <c r="Q6" s="444"/>
      <c r="R6" s="444"/>
      <c r="S6" s="444"/>
      <c r="T6" s="444"/>
      <c r="U6" s="444"/>
      <c r="V6" s="52"/>
      <c r="W6" s="52"/>
      <c r="X6" s="52"/>
      <c r="Y6" s="52"/>
      <c r="Z6" s="52"/>
    </row>
    <row r="7" spans="1:68">
      <c r="A7" s="440"/>
      <c r="B7" s="440" t="s">
        <v>48</v>
      </c>
      <c r="C7" s="51" t="s">
        <v>343</v>
      </c>
      <c r="D7" s="51" t="s">
        <v>158</v>
      </c>
    </row>
    <row r="8" spans="1:68">
      <c r="A8" s="440" t="s">
        <v>912</v>
      </c>
      <c r="B8" s="440" t="s">
        <v>55</v>
      </c>
      <c r="C8" s="51" t="str">
        <f>[2]MLIST!$B$50</f>
        <v>DHP</v>
      </c>
      <c r="D8" s="51" t="str">
        <f>[1]!switch_ForecastState</f>
        <v>Region</v>
      </c>
      <c r="F8"/>
    </row>
    <row r="9" spans="1:68">
      <c r="A9" s="440" t="str">
        <f>INDEX([2]ACHIEV!$A$19:$B$100,MATCH(CONCATENATE($C$8," - ",$C$7),[2]ACHIEV!$B$19:$B$100,0),1)</f>
        <v>HVAC</v>
      </c>
      <c r="B9" s="441" t="s">
        <v>56</v>
      </c>
      <c r="C9" s="51">
        <f>[2]FILES!$H$4</f>
        <v>2035</v>
      </c>
      <c r="D9" s="51" t="str">
        <f>[1]!switch_ForecastScenario</f>
        <v>Base</v>
      </c>
    </row>
    <row r="10" spans="1:68">
      <c r="A10" s="440"/>
      <c r="B10" s="440" t="s">
        <v>914</v>
      </c>
      <c r="C10" s="443">
        <f>MIN(SUM(E63:X63),Y63)</f>
        <v>135.65072609703043</v>
      </c>
      <c r="D10" s="54"/>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row>
    <row r="11" spans="1:68" ht="15">
      <c r="A11" s="55" t="s">
        <v>344</v>
      </c>
      <c r="E11" s="58">
        <v>2016</v>
      </c>
      <c r="F11" s="59">
        <v>2017</v>
      </c>
      <c r="G11" s="59">
        <v>2018</v>
      </c>
      <c r="H11" s="59">
        <v>2019</v>
      </c>
      <c r="I11" s="59">
        <v>2020</v>
      </c>
      <c r="J11" s="59">
        <v>2021</v>
      </c>
      <c r="K11" s="59">
        <v>2022</v>
      </c>
      <c r="L11" s="59">
        <v>2023</v>
      </c>
      <c r="M11" s="59">
        <v>2024</v>
      </c>
      <c r="N11" s="59">
        <v>2025</v>
      </c>
      <c r="O11" s="59">
        <v>2026</v>
      </c>
      <c r="P11" s="59">
        <v>2027</v>
      </c>
      <c r="Q11" s="59">
        <v>2028</v>
      </c>
      <c r="R11" s="59">
        <v>2029</v>
      </c>
      <c r="S11" s="59">
        <v>2030</v>
      </c>
      <c r="T11" s="59">
        <v>2031</v>
      </c>
      <c r="U11" s="59">
        <v>2032</v>
      </c>
      <c r="V11" s="59">
        <v>2033</v>
      </c>
      <c r="W11" s="59">
        <v>2034</v>
      </c>
      <c r="X11" s="59">
        <v>2035</v>
      </c>
      <c r="Y11" s="60"/>
      <c r="Z11"/>
    </row>
    <row r="12" spans="1:68" ht="15">
      <c r="E12" s="61" t="str">
        <f>CONCATENATE("HOMES_",E11)</f>
        <v>HOMES_2016</v>
      </c>
      <c r="F12" s="62" t="str">
        <f t="shared" ref="F12:X12" si="0">CONCATENATE("HOMES_",F11)</f>
        <v>HOMES_2017</v>
      </c>
      <c r="G12" s="62" t="str">
        <f t="shared" si="0"/>
        <v>HOMES_2018</v>
      </c>
      <c r="H12" s="62" t="str">
        <f t="shared" si="0"/>
        <v>HOMES_2019</v>
      </c>
      <c r="I12" s="62" t="str">
        <f t="shared" si="0"/>
        <v>HOMES_2020</v>
      </c>
      <c r="J12" s="62" t="str">
        <f t="shared" si="0"/>
        <v>HOMES_2021</v>
      </c>
      <c r="K12" s="62" t="str">
        <f t="shared" si="0"/>
        <v>HOMES_2022</v>
      </c>
      <c r="L12" s="62" t="str">
        <f t="shared" si="0"/>
        <v>HOMES_2023</v>
      </c>
      <c r="M12" s="62" t="str">
        <f t="shared" si="0"/>
        <v>HOMES_2024</v>
      </c>
      <c r="N12" s="62" t="str">
        <f t="shared" si="0"/>
        <v>HOMES_2025</v>
      </c>
      <c r="O12" s="62" t="str">
        <f t="shared" si="0"/>
        <v>HOMES_2026</v>
      </c>
      <c r="P12" s="62" t="str">
        <f t="shared" si="0"/>
        <v>HOMES_2027</v>
      </c>
      <c r="Q12" s="62" t="str">
        <f t="shared" si="0"/>
        <v>HOMES_2028</v>
      </c>
      <c r="R12" s="62" t="str">
        <f t="shared" si="0"/>
        <v>HOMES_2029</v>
      </c>
      <c r="S12" s="62" t="str">
        <f t="shared" si="0"/>
        <v>HOMES_2030</v>
      </c>
      <c r="T12" s="62" t="str">
        <f t="shared" si="0"/>
        <v>HOMES_2031</v>
      </c>
      <c r="U12" s="62" t="str">
        <f t="shared" si="0"/>
        <v>HOMES_2032</v>
      </c>
      <c r="V12" s="62" t="str">
        <f t="shared" si="0"/>
        <v>HOMES_2033</v>
      </c>
      <c r="W12" s="62" t="str">
        <f t="shared" si="0"/>
        <v>HOMES_2034</v>
      </c>
      <c r="X12" s="62" t="str">
        <f t="shared" si="0"/>
        <v>HOMES_2035</v>
      </c>
      <c r="Y12" s="63"/>
      <c r="Z12"/>
    </row>
    <row r="13" spans="1:68">
      <c r="C13" s="7" t="s">
        <v>49</v>
      </c>
      <c r="E13" s="35">
        <f>INDEX([1]!tbl_Forecast,MATCH($D$8&amp;$C13&amp;$D$7,[1]!rng_ForecastRowLookup,0),MATCH(E$11,[1]!rng_ForecastColumnLookup,0))</f>
        <v>4203528.2719999999</v>
      </c>
      <c r="F13" s="35">
        <f>INDEX([1]!tbl_Forecast,MATCH($D$8&amp;$C13&amp;$D$7,[1]!rng_ForecastRowLookup,0),MATCH(F$11,[1]!rng_ForecastColumnLookup,0))</f>
        <v>4193982.9785983553</v>
      </c>
      <c r="G13" s="35">
        <f>INDEX([1]!tbl_Forecast,MATCH($D$8&amp;$C13&amp;$D$7,[1]!rng_ForecastRowLookup,0),MATCH(G$11,[1]!rng_ForecastColumnLookup,0))</f>
        <v>4184459.3604704877</v>
      </c>
      <c r="H13" s="35">
        <f>INDEX([1]!tbl_Forecast,MATCH($D$8&amp;$C13&amp;$D$7,[1]!rng_ForecastRowLookup,0),MATCH(H$11,[1]!rng_ForecastColumnLookup,0))</f>
        <v>4174957.36839659</v>
      </c>
      <c r="I13" s="35">
        <f>INDEX([1]!tbl_Forecast,MATCH($D$8&amp;$C13&amp;$D$7,[1]!rng_ForecastRowLookup,0),MATCH(I$11,[1]!rng_ForecastColumnLookup,0))</f>
        <v>4165476.9532686244</v>
      </c>
      <c r="J13" s="35">
        <f>INDEX([1]!tbl_Forecast,MATCH($D$8&amp;$C13&amp;$D$7,[1]!rng_ForecastRowLookup,0),MATCH(J$11,[1]!rng_ForecastColumnLookup,0))</f>
        <v>4156018.0660900641</v>
      </c>
      <c r="K13" s="35">
        <f>INDEX([1]!tbl_Forecast,MATCH($D$8&amp;$C13&amp;$D$7,[1]!rng_ForecastRowLookup,0),MATCH(K$11,[1]!rng_ForecastColumnLookup,0))</f>
        <v>4146580.6579756448</v>
      </c>
      <c r="L13" s="35">
        <f>INDEX([1]!tbl_Forecast,MATCH($D$8&amp;$C13&amp;$D$7,[1]!rng_ForecastRowLookup,0),MATCH(L$11,[1]!rng_ForecastColumnLookup,0))</f>
        <v>4137164.6801511091</v>
      </c>
      <c r="M13" s="35">
        <f>INDEX([1]!tbl_Forecast,MATCH($D$8&amp;$C13&amp;$D$7,[1]!rng_ForecastRowLookup,0),MATCH(M$11,[1]!rng_ForecastColumnLookup,0))</f>
        <v>4127770.0839529554</v>
      </c>
      <c r="N13" s="35">
        <f>INDEX([1]!tbl_Forecast,MATCH($D$8&amp;$C13&amp;$D$7,[1]!rng_ForecastRowLookup,0),MATCH(N$11,[1]!rng_ForecastColumnLookup,0))</f>
        <v>4118396.8208281873</v>
      </c>
      <c r="O13" s="35">
        <f>INDEX([1]!tbl_Forecast,MATCH($D$8&amp;$C13&amp;$D$7,[1]!rng_ForecastRowLookup,0),MATCH(O$11,[1]!rng_ForecastColumnLookup,0))</f>
        <v>4109044.8423340586</v>
      </c>
      <c r="P13" s="35">
        <f>INDEX([1]!tbl_Forecast,MATCH($D$8&amp;$C13&amp;$D$7,[1]!rng_ForecastRowLookup,0),MATCH(P$11,[1]!rng_ForecastColumnLookup,0))</f>
        <v>4099714.1001378288</v>
      </c>
      <c r="Q13" s="35">
        <f>INDEX([1]!tbl_Forecast,MATCH($D$8&amp;$C13&amp;$D$7,[1]!rng_ForecastRowLookup,0),MATCH(Q$11,[1]!rng_ForecastColumnLookup,0))</f>
        <v>4090404.5460165106</v>
      </c>
      <c r="R13" s="35">
        <f>INDEX([1]!tbl_Forecast,MATCH($D$8&amp;$C13&amp;$D$7,[1]!rng_ForecastRowLookup,0),MATCH(R$11,[1]!rng_ForecastColumnLookup,0))</f>
        <v>4081116.1318566194</v>
      </c>
      <c r="S13" s="35">
        <f>INDEX([1]!tbl_Forecast,MATCH($D$8&amp;$C13&amp;$D$7,[1]!rng_ForecastRowLookup,0),MATCH(S$11,[1]!rng_ForecastColumnLookup,0))</f>
        <v>4071848.8096539262</v>
      </c>
      <c r="T13" s="35">
        <f>INDEX([1]!tbl_Forecast,MATCH($D$8&amp;$C13&amp;$D$7,[1]!rng_ForecastRowLookup,0),MATCH(T$11,[1]!rng_ForecastColumnLookup,0))</f>
        <v>4062602.5315132081</v>
      </c>
      <c r="U13" s="35">
        <f>INDEX([1]!tbl_Forecast,MATCH($D$8&amp;$C13&amp;$D$7,[1]!rng_ForecastRowLookup,0),MATCH(U$11,[1]!rng_ForecastColumnLookup,0))</f>
        <v>4053377.2496480034</v>
      </c>
      <c r="V13" s="35">
        <f>INDEX([1]!tbl_Forecast,MATCH($D$8&amp;$C13&amp;$D$7,[1]!rng_ForecastRowLookup,0),MATCH(V$11,[1]!rng_ForecastColumnLookup,0))</f>
        <v>4044172.9163803621</v>
      </c>
      <c r="W13" s="35">
        <f>INDEX([1]!tbl_Forecast,MATCH($D$8&amp;$C13&amp;$D$7,[1]!rng_ForecastRowLookup,0),MATCH(W$11,[1]!rng_ForecastColumnLookup,0))</f>
        <v>4034989.4841406001</v>
      </c>
      <c r="X13" s="35">
        <f>INDEX([1]!tbl_Forecast,MATCH($D$8&amp;$C13&amp;$D$7,[1]!rng_ForecastRowLookup,0),MATCH(X$11,[1]!rng_ForecastColumnLookup,0))</f>
        <v>4025826.9054670548</v>
      </c>
      <c r="Y13" s="35"/>
      <c r="Z13"/>
    </row>
    <row r="14" spans="1:68">
      <c r="E14" s="35"/>
      <c r="F14" s="35"/>
      <c r="G14" s="35"/>
      <c r="H14" s="35"/>
      <c r="I14" s="35"/>
      <c r="J14" s="35"/>
      <c r="K14" s="35"/>
      <c r="L14" s="35"/>
      <c r="M14" s="35"/>
      <c r="N14" s="35"/>
      <c r="O14" s="35"/>
      <c r="P14" s="35"/>
      <c r="Q14" s="35"/>
      <c r="R14" s="35"/>
      <c r="S14" s="35"/>
      <c r="T14" s="35"/>
      <c r="U14" s="35"/>
      <c r="V14" s="35"/>
      <c r="W14" s="35"/>
      <c r="X14" s="35"/>
      <c r="Y14" s="35"/>
      <c r="Z14" s="35"/>
    </row>
    <row r="15" spans="1:68">
      <c r="E15" s="35"/>
      <c r="F15" s="35"/>
      <c r="G15" s="35"/>
      <c r="H15" s="35"/>
      <c r="I15" s="35"/>
      <c r="J15" s="35"/>
      <c r="K15" s="35"/>
      <c r="L15" s="35"/>
      <c r="M15" s="35"/>
      <c r="N15" s="35"/>
      <c r="O15" s="35"/>
      <c r="P15" s="35"/>
      <c r="Q15" s="35"/>
      <c r="R15" s="35"/>
      <c r="S15" s="35"/>
      <c r="T15" s="35"/>
      <c r="U15" s="35"/>
      <c r="V15" s="35"/>
      <c r="W15" s="35"/>
      <c r="X15" s="35"/>
      <c r="Y15" s="35"/>
    </row>
    <row r="16" spans="1:68">
      <c r="B16" s="7" t="s">
        <v>57</v>
      </c>
      <c r="C16" s="7" t="s">
        <v>58</v>
      </c>
      <c r="E16" s="35">
        <f t="shared" ref="E16:X16" si="1">SUM(E13:E14)</f>
        <v>4203528.2719999999</v>
      </c>
      <c r="F16" s="35">
        <f t="shared" si="1"/>
        <v>4193982.9785983553</v>
      </c>
      <c r="G16" s="35">
        <f t="shared" si="1"/>
        <v>4184459.3604704877</v>
      </c>
      <c r="H16" s="35">
        <f t="shared" si="1"/>
        <v>4174957.36839659</v>
      </c>
      <c r="I16" s="35">
        <f t="shared" si="1"/>
        <v>4165476.9532686244</v>
      </c>
      <c r="J16" s="35">
        <f t="shared" si="1"/>
        <v>4156018.0660900641</v>
      </c>
      <c r="K16" s="35">
        <f t="shared" si="1"/>
        <v>4146580.6579756448</v>
      </c>
      <c r="L16" s="35">
        <f t="shared" si="1"/>
        <v>4137164.6801511091</v>
      </c>
      <c r="M16" s="35">
        <f t="shared" si="1"/>
        <v>4127770.0839529554</v>
      </c>
      <c r="N16" s="35">
        <f t="shared" si="1"/>
        <v>4118396.8208281873</v>
      </c>
      <c r="O16" s="35">
        <f t="shared" si="1"/>
        <v>4109044.8423340586</v>
      </c>
      <c r="P16" s="35">
        <f t="shared" si="1"/>
        <v>4099714.1001378288</v>
      </c>
      <c r="Q16" s="35">
        <f t="shared" si="1"/>
        <v>4090404.5460165106</v>
      </c>
      <c r="R16" s="35">
        <f t="shared" si="1"/>
        <v>4081116.1318566194</v>
      </c>
      <c r="S16" s="35">
        <f t="shared" si="1"/>
        <v>4071848.8096539262</v>
      </c>
      <c r="T16" s="35">
        <f t="shared" si="1"/>
        <v>4062602.5315132081</v>
      </c>
      <c r="U16" s="35">
        <f t="shared" si="1"/>
        <v>4053377.2496480034</v>
      </c>
      <c r="V16" s="35">
        <f t="shared" si="1"/>
        <v>4044172.9163803621</v>
      </c>
      <c r="W16" s="35">
        <f t="shared" si="1"/>
        <v>4034989.4841406001</v>
      </c>
      <c r="X16" s="35">
        <f t="shared" si="1"/>
        <v>4025826.9054670548</v>
      </c>
      <c r="Y16" s="35"/>
      <c r="Z16" s="35"/>
    </row>
    <row r="17" spans="1:32">
      <c r="E17" s="35"/>
      <c r="F17" s="35"/>
      <c r="G17" s="35"/>
      <c r="H17" s="35"/>
      <c r="I17" s="35"/>
      <c r="J17" s="35"/>
      <c r="K17" s="35"/>
      <c r="L17" s="35"/>
      <c r="M17" s="35"/>
      <c r="N17" s="35"/>
      <c r="O17" s="35"/>
      <c r="P17" s="35"/>
      <c r="Q17" s="35"/>
      <c r="R17" s="35"/>
      <c r="S17" s="35"/>
      <c r="T17" s="35"/>
      <c r="U17" s="35"/>
      <c r="V17" s="35"/>
      <c r="W17" s="35"/>
      <c r="X17" s="35"/>
      <c r="Y17" s="35"/>
    </row>
    <row r="18" spans="1:32">
      <c r="E18" s="35"/>
      <c r="F18" s="35"/>
      <c r="G18" s="35"/>
      <c r="H18" s="35"/>
      <c r="I18" s="35"/>
      <c r="J18" s="35"/>
      <c r="K18" s="35"/>
      <c r="L18" s="35"/>
      <c r="M18" s="35"/>
      <c r="N18" s="35"/>
      <c r="O18" s="35"/>
      <c r="P18" s="35"/>
      <c r="Q18" s="35"/>
      <c r="R18" s="35"/>
      <c r="S18" s="35"/>
      <c r="T18" s="35"/>
      <c r="U18" s="35"/>
      <c r="V18" s="35"/>
      <c r="W18" s="35"/>
      <c r="X18" s="35"/>
      <c r="Y18" s="35"/>
    </row>
    <row r="19" spans="1:32" ht="15">
      <c r="A19" s="55" t="s">
        <v>345</v>
      </c>
      <c r="E19" s="35"/>
      <c r="F19" s="35"/>
      <c r="G19" s="35"/>
      <c r="H19" s="35"/>
      <c r="I19" s="35"/>
      <c r="J19" s="35"/>
      <c r="K19" s="35"/>
      <c r="L19" s="35"/>
      <c r="M19" s="35"/>
      <c r="N19" s="35"/>
      <c r="O19" s="35"/>
      <c r="P19" s="35"/>
      <c r="Q19" s="35"/>
      <c r="R19" s="35"/>
      <c r="S19" s="35"/>
      <c r="T19" s="35"/>
      <c r="U19" s="35"/>
      <c r="V19" s="35"/>
      <c r="W19" s="35"/>
      <c r="X19" s="35"/>
      <c r="Y19" s="35"/>
    </row>
    <row r="20" spans="1:32" ht="15">
      <c r="A20" s="7" t="s">
        <v>346</v>
      </c>
      <c r="E20" s="64">
        <v>1</v>
      </c>
      <c r="F20" s="64">
        <v>2</v>
      </c>
      <c r="G20" s="64">
        <v>3</v>
      </c>
      <c r="H20" s="64">
        <v>4</v>
      </c>
      <c r="I20" s="64">
        <v>5</v>
      </c>
      <c r="J20" s="64">
        <v>6</v>
      </c>
      <c r="K20" s="64">
        <v>7</v>
      </c>
      <c r="L20" s="64">
        <v>8</v>
      </c>
      <c r="M20" s="64">
        <v>9</v>
      </c>
      <c r="N20" s="64">
        <v>10</v>
      </c>
      <c r="O20" s="64">
        <v>11</v>
      </c>
      <c r="P20" s="64">
        <v>12</v>
      </c>
      <c r="Q20" s="64">
        <v>13</v>
      </c>
      <c r="R20" s="64">
        <v>14</v>
      </c>
      <c r="S20" s="64">
        <v>15</v>
      </c>
      <c r="T20" s="64">
        <v>16</v>
      </c>
      <c r="U20" s="64">
        <v>17</v>
      </c>
      <c r="V20" s="64">
        <v>18</v>
      </c>
      <c r="W20" s="64">
        <v>19</v>
      </c>
      <c r="X20" s="64">
        <v>20</v>
      </c>
      <c r="Y20" s="64"/>
    </row>
    <row r="21" spans="1:32">
      <c r="C21" s="7" t="str">
        <f>C13</f>
        <v>Single Family</v>
      </c>
      <c r="E21" s="35">
        <f>IF(E$41&lt;=1/$C$37,0,INDEX('SC-New (3)'!$E132:$Y132,1,E$41-ROUND(1/$C$37,0)))</f>
        <v>0</v>
      </c>
      <c r="F21" s="35">
        <f>IF(F$41&lt;=1/$C$37,0,INDEX('SC-New (3)'!$E132:$Y132,1,F$41-ROUND(1/$C$37,0)))</f>
        <v>0</v>
      </c>
      <c r="G21" s="35">
        <f>IF(G$41&lt;=1/$C$37,0,INDEX('SC-New (3)'!$E132:$Y132,1,G$41-ROUND(1/$C$37,0)))</f>
        <v>0</v>
      </c>
      <c r="H21" s="35">
        <f>IF(H$41&lt;=1/$C$37,0,INDEX('SC-New (3)'!$E132:$Y132,1,H$41-ROUND(1/$C$37,0)))</f>
        <v>0</v>
      </c>
      <c r="I21" s="35">
        <f>IF(I$41&lt;=1/$C$37,0,INDEX('SC-New (3)'!$E132:$Y132,1,I$41-ROUND(1/$C$37,0)))</f>
        <v>0</v>
      </c>
      <c r="J21" s="35">
        <f>IF(J$41&lt;=1/$C$37,0,INDEX('SC-New (3)'!$E132:$Y132,1,J$41-ROUND(1/$C$37,0)))</f>
        <v>0</v>
      </c>
      <c r="K21" s="35">
        <f>IF(K$41&lt;=1/$C$37,0,INDEX('SC-New (3)'!$E132:$Y132,1,K$41-ROUND(1/$C$37,0)))</f>
        <v>0</v>
      </c>
      <c r="L21" s="35">
        <f>IF(L$41&lt;=1/$C$37,0,INDEX('SC-New (3)'!$E132:$Y132,1,L$41-ROUND(1/$C$37,0)))</f>
        <v>0</v>
      </c>
      <c r="M21" s="35">
        <f>IF(M$41&lt;=1/$C$37,0,INDEX('SC-New (3)'!$E132:$Y132,1,M$41-ROUND(1/$C$37,0)))</f>
        <v>0</v>
      </c>
      <c r="N21" s="35">
        <f>IF(N$41&lt;=1/$C$37,0,INDEX('SC-New (3)'!$E132:$Y132,1,N$41-ROUND(1/$C$37,0)))</f>
        <v>0</v>
      </c>
      <c r="O21" s="35">
        <f>IF(O$41&lt;=1/$C$37,0,INDEX('SC-New (3)'!$E132:$Y132,1,O$41-ROUND(1/$C$37,0)))</f>
        <v>0</v>
      </c>
      <c r="P21" s="35">
        <f>IF(P$41&lt;=1/$C$37,0,INDEX('SC-New (3)'!$E132:$Y132,1,P$41-ROUND(1/$C$37,0)))</f>
        <v>0</v>
      </c>
      <c r="Q21" s="35">
        <f>IF(Q$41&lt;=1/$C$37,0,INDEX('SC-New (3)'!$E132:$Y132,1,Q$41-ROUND(1/$C$37,0)))</f>
        <v>0</v>
      </c>
      <c r="R21" s="35">
        <f>IF(R$41&lt;=1/$C$37,0,INDEX('SC-New (3)'!$E132:$Y132,1,R$41-ROUND(1/$C$37,0)))</f>
        <v>0</v>
      </c>
      <c r="S21" s="35">
        <f>IF(S$41&lt;=1/$C$37,0,INDEX('SC-New (3)'!$E132:$Y132,1,S$41-ROUND(1/$C$37,0)))</f>
        <v>0</v>
      </c>
      <c r="T21" s="35">
        <f>IF(T$41&lt;=1/$C$37,0,INDEX('SC-New (3)'!$E132:$Y132,1,T$41-ROUND(1/$C$37,0)))</f>
        <v>60462.871210395206</v>
      </c>
      <c r="U21" s="35">
        <f>IF(U$41&lt;=1/$C$37,0,INDEX('SC-New (3)'!$E132:$Y132,1,U$41-ROUND(1/$C$37,0)))</f>
        <v>55224.738580883124</v>
      </c>
      <c r="V21" s="35">
        <f>IF(V$41&lt;=1/$C$37,0,INDEX('SC-New (3)'!$E132:$Y132,1,V$41-ROUND(1/$C$37,0)))</f>
        <v>49315.922728756239</v>
      </c>
      <c r="W21" s="35">
        <f>IF(W$41&lt;=1/$C$37,0,INDEX('SC-New (3)'!$E132:$Y132,1,W$41-ROUND(1/$C$37,0)))</f>
        <v>44310.820375652154</v>
      </c>
      <c r="X21" s="35">
        <f>IF(X$41&lt;=1/$C$37,0,INDEX('SC-New (3)'!$E132:$Y132,1,X$41-ROUND(1/$C$37,0)))</f>
        <v>39345.126030190033</v>
      </c>
      <c r="Y21" s="35"/>
      <c r="Z21" s="35"/>
      <c r="AB21" s="35"/>
      <c r="AC21" s="35"/>
      <c r="AD21" s="35"/>
      <c r="AE21" s="35"/>
      <c r="AF21" s="35"/>
    </row>
    <row r="22" spans="1:32">
      <c r="E22" s="35"/>
      <c r="F22" s="35"/>
      <c r="G22" s="35"/>
      <c r="H22" s="35"/>
      <c r="I22" s="35"/>
      <c r="J22" s="35"/>
      <c r="K22" s="35"/>
      <c r="L22" s="35"/>
      <c r="M22" s="35"/>
      <c r="N22" s="35"/>
      <c r="O22" s="35"/>
      <c r="P22" s="35"/>
      <c r="Q22" s="35"/>
      <c r="R22" s="35"/>
      <c r="S22" s="35"/>
      <c r="T22" s="35"/>
      <c r="U22" s="35"/>
      <c r="V22" s="35"/>
      <c r="W22" s="35"/>
      <c r="X22" s="35"/>
      <c r="Y22" s="35"/>
      <c r="Z22" s="35"/>
      <c r="AB22" s="35"/>
      <c r="AC22" s="35"/>
      <c r="AD22" s="35"/>
      <c r="AE22" s="35"/>
      <c r="AF22" s="35"/>
    </row>
    <row r="23" spans="1:32">
      <c r="E23" s="35"/>
      <c r="F23" s="35"/>
      <c r="G23" s="35"/>
      <c r="H23" s="35"/>
      <c r="I23" s="35"/>
      <c r="J23" s="35"/>
      <c r="K23" s="35"/>
      <c r="L23" s="35"/>
      <c r="M23" s="35"/>
      <c r="N23" s="35"/>
      <c r="O23" s="35"/>
      <c r="P23" s="35"/>
      <c r="Q23" s="35"/>
      <c r="R23" s="35"/>
      <c r="S23" s="35"/>
      <c r="T23" s="35"/>
      <c r="U23" s="35"/>
      <c r="V23" s="35"/>
      <c r="W23" s="35"/>
      <c r="X23" s="35"/>
      <c r="Y23" s="35"/>
      <c r="Z23" s="35"/>
      <c r="AB23" s="35"/>
      <c r="AC23" s="35"/>
      <c r="AD23" s="35"/>
      <c r="AE23" s="35"/>
      <c r="AF23" s="35"/>
    </row>
    <row r="24" spans="1:32">
      <c r="C24" s="7" t="s">
        <v>347</v>
      </c>
      <c r="E24" s="35">
        <f t="shared" ref="E24:X24" si="2">SUM(E21:E22)</f>
        <v>0</v>
      </c>
      <c r="F24" s="35">
        <f t="shared" si="2"/>
        <v>0</v>
      </c>
      <c r="G24" s="35">
        <f t="shared" si="2"/>
        <v>0</v>
      </c>
      <c r="H24" s="35">
        <f t="shared" si="2"/>
        <v>0</v>
      </c>
      <c r="I24" s="35">
        <f t="shared" si="2"/>
        <v>0</v>
      </c>
      <c r="J24" s="35">
        <f t="shared" si="2"/>
        <v>0</v>
      </c>
      <c r="K24" s="35">
        <f t="shared" si="2"/>
        <v>0</v>
      </c>
      <c r="L24" s="35">
        <f t="shared" si="2"/>
        <v>0</v>
      </c>
      <c r="M24" s="35">
        <f t="shared" si="2"/>
        <v>0</v>
      </c>
      <c r="N24" s="35">
        <f t="shared" si="2"/>
        <v>0</v>
      </c>
      <c r="O24" s="35">
        <f t="shared" si="2"/>
        <v>0</v>
      </c>
      <c r="P24" s="35">
        <f t="shared" si="2"/>
        <v>0</v>
      </c>
      <c r="Q24" s="35">
        <f t="shared" si="2"/>
        <v>0</v>
      </c>
      <c r="R24" s="35">
        <f t="shared" si="2"/>
        <v>0</v>
      </c>
      <c r="S24" s="35">
        <f t="shared" si="2"/>
        <v>0</v>
      </c>
      <c r="T24" s="35">
        <f t="shared" si="2"/>
        <v>60462.871210395206</v>
      </c>
      <c r="U24" s="35">
        <f t="shared" si="2"/>
        <v>55224.738580883124</v>
      </c>
      <c r="V24" s="35">
        <f t="shared" si="2"/>
        <v>49315.922728756239</v>
      </c>
      <c r="W24" s="35">
        <f t="shared" si="2"/>
        <v>44310.820375652154</v>
      </c>
      <c r="X24" s="35">
        <f t="shared" si="2"/>
        <v>39345.126030190033</v>
      </c>
      <c r="Y24" s="35"/>
      <c r="Z24" s="35"/>
      <c r="AB24" s="35"/>
      <c r="AC24" s="35"/>
      <c r="AD24" s="35"/>
      <c r="AE24" s="35"/>
      <c r="AF24" s="35"/>
    </row>
    <row r="25" spans="1:32">
      <c r="E25" s="35"/>
      <c r="F25" s="35"/>
      <c r="G25" s="35"/>
      <c r="H25" s="35"/>
      <c r="I25" s="35"/>
      <c r="J25" s="35"/>
      <c r="K25" s="35"/>
      <c r="L25" s="35"/>
      <c r="M25" s="35"/>
      <c r="N25" s="35"/>
      <c r="O25" s="35"/>
      <c r="P25" s="35"/>
      <c r="Q25" s="35"/>
      <c r="R25" s="35"/>
      <c r="S25" s="35"/>
      <c r="T25" s="35"/>
      <c r="U25" s="35"/>
      <c r="V25" s="35"/>
      <c r="W25" s="35"/>
      <c r="X25" s="35"/>
      <c r="Y25" s="35"/>
    </row>
    <row r="26" spans="1:32">
      <c r="E26" s="35"/>
      <c r="F26" s="35"/>
      <c r="G26" s="35"/>
      <c r="H26" s="35"/>
      <c r="I26" s="35"/>
      <c r="J26" s="35"/>
      <c r="K26" s="35"/>
      <c r="L26" s="35"/>
      <c r="M26" s="35"/>
      <c r="N26" s="35"/>
      <c r="O26" s="35"/>
      <c r="P26" s="35"/>
      <c r="Q26" s="35"/>
      <c r="R26" s="35"/>
      <c r="S26" s="35"/>
      <c r="T26" s="35"/>
      <c r="U26" s="35"/>
      <c r="V26" s="35"/>
      <c r="W26" s="35"/>
      <c r="X26" s="35"/>
      <c r="Y26" s="35"/>
    </row>
    <row r="27" spans="1:32" ht="15">
      <c r="A27" s="55" t="s">
        <v>348</v>
      </c>
      <c r="E27" s="35"/>
      <c r="F27" s="35"/>
      <c r="G27" s="35"/>
      <c r="H27" s="35"/>
      <c r="I27" s="35"/>
      <c r="J27" s="35"/>
      <c r="K27" s="35"/>
      <c r="L27" s="35"/>
      <c r="M27" s="35"/>
      <c r="N27" s="35"/>
      <c r="O27" s="35"/>
      <c r="P27" s="35"/>
      <c r="Q27" s="35"/>
      <c r="R27" s="35"/>
      <c r="S27" s="35"/>
      <c r="T27" s="35"/>
      <c r="U27" s="35"/>
      <c r="V27" s="35"/>
      <c r="W27" s="35"/>
      <c r="X27" s="35"/>
      <c r="Y27" s="35"/>
      <c r="Z27" s="122">
        <v>0.85</v>
      </c>
    </row>
    <row r="28" spans="1:32">
      <c r="E28" s="35">
        <v>2</v>
      </c>
      <c r="F28" s="35">
        <v>3</v>
      </c>
      <c r="G28" s="35">
        <v>4</v>
      </c>
      <c r="H28" s="35">
        <v>5</v>
      </c>
      <c r="I28" s="35">
        <v>6</v>
      </c>
      <c r="J28" s="35">
        <v>7</v>
      </c>
      <c r="K28" s="35">
        <v>8</v>
      </c>
      <c r="L28" s="35">
        <v>9</v>
      </c>
      <c r="M28" s="35">
        <v>10</v>
      </c>
      <c r="N28" s="35">
        <v>11</v>
      </c>
      <c r="O28" s="35">
        <v>12</v>
      </c>
      <c r="P28" s="35">
        <v>13</v>
      </c>
      <c r="Q28" s="35">
        <v>14</v>
      </c>
      <c r="R28" s="35">
        <v>15</v>
      </c>
      <c r="S28" s="35">
        <v>16</v>
      </c>
      <c r="T28" s="35">
        <v>17</v>
      </c>
      <c r="U28" s="35">
        <v>18</v>
      </c>
      <c r="V28" s="35">
        <v>19</v>
      </c>
      <c r="W28" s="35">
        <v>20</v>
      </c>
      <c r="X28" s="35">
        <v>21</v>
      </c>
      <c r="Y28" s="35"/>
      <c r="Z28" s="123" t="s">
        <v>60</v>
      </c>
    </row>
    <row r="29" spans="1:32">
      <c r="C29" s="7" t="str">
        <f>C13</f>
        <v>Single Family</v>
      </c>
      <c r="E29" s="35">
        <f t="shared" ref="E29:X29" si="3">SUM(E13,E21)</f>
        <v>4203528.2719999999</v>
      </c>
      <c r="F29" s="35">
        <f t="shared" si="3"/>
        <v>4193982.9785983553</v>
      </c>
      <c r="G29" s="35">
        <f t="shared" si="3"/>
        <v>4184459.3604704877</v>
      </c>
      <c r="H29" s="35">
        <f t="shared" si="3"/>
        <v>4174957.36839659</v>
      </c>
      <c r="I29" s="35">
        <f t="shared" si="3"/>
        <v>4165476.9532686244</v>
      </c>
      <c r="J29" s="35">
        <f t="shared" si="3"/>
        <v>4156018.0660900641</v>
      </c>
      <c r="K29" s="35">
        <f t="shared" si="3"/>
        <v>4146580.6579756448</v>
      </c>
      <c r="L29" s="35">
        <f t="shared" si="3"/>
        <v>4137164.6801511091</v>
      </c>
      <c r="M29" s="35">
        <f t="shared" si="3"/>
        <v>4127770.0839529554</v>
      </c>
      <c r="N29" s="35">
        <f t="shared" si="3"/>
        <v>4118396.8208281873</v>
      </c>
      <c r="O29" s="35">
        <f t="shared" si="3"/>
        <v>4109044.8423340586</v>
      </c>
      <c r="P29" s="35">
        <f t="shared" si="3"/>
        <v>4099714.1001378288</v>
      </c>
      <c r="Q29" s="35">
        <f t="shared" si="3"/>
        <v>4090404.5460165106</v>
      </c>
      <c r="R29" s="35">
        <f t="shared" si="3"/>
        <v>4081116.1318566194</v>
      </c>
      <c r="S29" s="35">
        <f t="shared" si="3"/>
        <v>4071848.8096539262</v>
      </c>
      <c r="T29" s="35">
        <f t="shared" si="3"/>
        <v>4123065.4027236034</v>
      </c>
      <c r="U29" s="35">
        <f t="shared" si="3"/>
        <v>4108601.9882288864</v>
      </c>
      <c r="V29" s="35">
        <f t="shared" si="3"/>
        <v>4093488.8391091186</v>
      </c>
      <c r="W29" s="35">
        <f t="shared" si="3"/>
        <v>4079300.3045162521</v>
      </c>
      <c r="X29" s="35">
        <f t="shared" si="3"/>
        <v>4065172.0314972447</v>
      </c>
      <c r="Y29" s="35"/>
      <c r="Z29" s="124">
        <f>INDEX(E29:Y29,1,MATCH($C$9,$E$11:$Y$11,0))*$Z$27*A37*B37</f>
        <v>3352425.4192148326</v>
      </c>
    </row>
    <row r="30" spans="1:32">
      <c r="E30" s="35"/>
      <c r="F30" s="35"/>
      <c r="G30" s="35"/>
      <c r="H30" s="35"/>
      <c r="I30" s="35"/>
      <c r="J30" s="35"/>
      <c r="K30" s="35"/>
      <c r="L30" s="35"/>
      <c r="M30" s="35"/>
      <c r="N30" s="35"/>
      <c r="O30" s="35"/>
      <c r="P30" s="35"/>
      <c r="Q30" s="35"/>
      <c r="R30" s="35"/>
      <c r="S30" s="35"/>
      <c r="T30" s="35"/>
      <c r="U30" s="35"/>
      <c r="V30" s="35"/>
      <c r="W30" s="35"/>
      <c r="X30" s="35"/>
      <c r="Y30" s="35"/>
      <c r="Z30" s="124"/>
    </row>
    <row r="31" spans="1:32">
      <c r="E31" s="35"/>
      <c r="F31" s="35"/>
      <c r="G31" s="35"/>
      <c r="H31" s="35"/>
      <c r="I31" s="35"/>
      <c r="J31" s="35"/>
      <c r="K31" s="35"/>
      <c r="L31" s="35"/>
      <c r="M31" s="35"/>
      <c r="N31" s="35"/>
      <c r="O31" s="35"/>
      <c r="P31" s="35"/>
      <c r="Q31" s="35"/>
      <c r="R31" s="35"/>
      <c r="S31" s="35"/>
      <c r="T31" s="35"/>
      <c r="U31" s="35"/>
      <c r="V31" s="35"/>
      <c r="W31" s="35"/>
      <c r="X31" s="35"/>
      <c r="Y31" s="35"/>
    </row>
    <row r="32" spans="1:32">
      <c r="E32" s="35">
        <f t="shared" ref="E32:X32" si="4">SUM(E29:E30)</f>
        <v>4203528.2719999999</v>
      </c>
      <c r="F32" s="35">
        <f t="shared" si="4"/>
        <v>4193982.9785983553</v>
      </c>
      <c r="G32" s="35">
        <f t="shared" si="4"/>
        <v>4184459.3604704877</v>
      </c>
      <c r="H32" s="35">
        <f t="shared" si="4"/>
        <v>4174957.36839659</v>
      </c>
      <c r="I32" s="35">
        <f t="shared" si="4"/>
        <v>4165476.9532686244</v>
      </c>
      <c r="J32" s="35">
        <f t="shared" si="4"/>
        <v>4156018.0660900641</v>
      </c>
      <c r="K32" s="35">
        <f t="shared" si="4"/>
        <v>4146580.6579756448</v>
      </c>
      <c r="L32" s="35">
        <f t="shared" si="4"/>
        <v>4137164.6801511091</v>
      </c>
      <c r="M32" s="35">
        <f t="shared" si="4"/>
        <v>4127770.0839529554</v>
      </c>
      <c r="N32" s="35">
        <f t="shared" si="4"/>
        <v>4118396.8208281873</v>
      </c>
      <c r="O32" s="35">
        <f t="shared" si="4"/>
        <v>4109044.8423340586</v>
      </c>
      <c r="P32" s="35">
        <f t="shared" si="4"/>
        <v>4099714.1001378288</v>
      </c>
      <c r="Q32" s="35">
        <f t="shared" si="4"/>
        <v>4090404.5460165106</v>
      </c>
      <c r="R32" s="35">
        <f t="shared" si="4"/>
        <v>4081116.1318566194</v>
      </c>
      <c r="S32" s="35">
        <f t="shared" si="4"/>
        <v>4071848.8096539262</v>
      </c>
      <c r="T32" s="35">
        <f t="shared" si="4"/>
        <v>4123065.4027236034</v>
      </c>
      <c r="U32" s="35">
        <f t="shared" si="4"/>
        <v>4108601.9882288864</v>
      </c>
      <c r="V32" s="35">
        <f t="shared" si="4"/>
        <v>4093488.8391091186</v>
      </c>
      <c r="W32" s="35">
        <f t="shared" si="4"/>
        <v>4079300.3045162521</v>
      </c>
      <c r="X32" s="35">
        <f t="shared" si="4"/>
        <v>4065172.0314972447</v>
      </c>
      <c r="Y32" s="35"/>
      <c r="Z32" s="35">
        <f>SUM(Z29:Z30)</f>
        <v>3352425.4192148326</v>
      </c>
    </row>
    <row r="33" spans="1:30">
      <c r="E33" s="35"/>
      <c r="F33" s="35"/>
      <c r="G33" s="35"/>
      <c r="H33" s="35"/>
      <c r="I33" s="35"/>
      <c r="J33" s="35"/>
      <c r="K33" s="35"/>
      <c r="L33" s="35"/>
      <c r="M33" s="35"/>
      <c r="N33" s="35"/>
      <c r="O33" s="35"/>
      <c r="P33" s="35"/>
      <c r="Q33" s="35"/>
      <c r="R33" s="35"/>
      <c r="S33" s="35"/>
      <c r="T33" s="35"/>
      <c r="U33" s="35"/>
      <c r="V33" s="35"/>
      <c r="W33" s="35"/>
      <c r="X33" s="35"/>
      <c r="Y33" s="35"/>
    </row>
    <row r="34" spans="1:30">
      <c r="E34" s="35"/>
      <c r="F34" s="35"/>
      <c r="G34" s="35"/>
      <c r="H34" s="35"/>
      <c r="I34" s="35"/>
      <c r="J34" s="35"/>
      <c r="K34" s="35"/>
      <c r="L34" s="35"/>
      <c r="M34" s="35"/>
      <c r="N34" s="35"/>
      <c r="O34" s="35"/>
      <c r="P34" s="35"/>
      <c r="Q34" s="35"/>
      <c r="R34" s="35"/>
      <c r="S34" s="35"/>
      <c r="T34" s="35"/>
      <c r="U34" s="35"/>
      <c r="V34" s="35"/>
      <c r="W34" s="35"/>
      <c r="X34" s="35"/>
      <c r="Y34" s="35"/>
    </row>
    <row r="35" spans="1:30" ht="15">
      <c r="A35" s="125" t="s">
        <v>349</v>
      </c>
      <c r="B35" s="125"/>
      <c r="E35" s="53"/>
      <c r="F35" s="53"/>
      <c r="G35" s="35"/>
      <c r="H35" s="35"/>
      <c r="I35" s="35"/>
      <c r="J35" s="35"/>
      <c r="K35" s="35"/>
      <c r="L35" s="35"/>
      <c r="M35" s="35"/>
      <c r="N35" s="35"/>
      <c r="O35" s="35"/>
      <c r="P35" s="35"/>
      <c r="Q35" s="35"/>
      <c r="R35" s="35"/>
      <c r="S35" s="35"/>
      <c r="T35" s="35"/>
      <c r="U35" s="35"/>
      <c r="V35" s="35"/>
      <c r="W35" s="35"/>
      <c r="X35" s="35"/>
      <c r="Y35" s="35"/>
    </row>
    <row r="36" spans="1:30" ht="15">
      <c r="A36" s="64" t="s">
        <v>59</v>
      </c>
      <c r="B36" s="64" t="s">
        <v>139</v>
      </c>
      <c r="C36" s="64" t="s">
        <v>350</v>
      </c>
      <c r="D36" s="64" t="str">
        <f>CONCATENATE(C8," - ",C7)</f>
        <v>DHP - NR</v>
      </c>
      <c r="E36" s="126">
        <v>2016</v>
      </c>
      <c r="F36" s="127">
        <v>2017</v>
      </c>
      <c r="G36" s="127">
        <v>2018</v>
      </c>
      <c r="H36" s="127">
        <v>2019</v>
      </c>
      <c r="I36" s="127">
        <v>2020</v>
      </c>
      <c r="J36" s="127">
        <v>2021</v>
      </c>
      <c r="K36" s="127">
        <v>2022</v>
      </c>
      <c r="L36" s="127">
        <v>2023</v>
      </c>
      <c r="M36" s="127">
        <v>2024</v>
      </c>
      <c r="N36" s="127">
        <v>2025</v>
      </c>
      <c r="O36" s="127">
        <v>2026</v>
      </c>
      <c r="P36" s="127">
        <v>2027</v>
      </c>
      <c r="Q36" s="127">
        <v>2028</v>
      </c>
      <c r="R36" s="127">
        <v>2029</v>
      </c>
      <c r="S36" s="127">
        <v>2030</v>
      </c>
      <c r="T36" s="127">
        <v>2031</v>
      </c>
      <c r="U36" s="127">
        <v>2032</v>
      </c>
      <c r="V36" s="127">
        <v>2033</v>
      </c>
      <c r="W36" s="127">
        <v>2034</v>
      </c>
      <c r="X36" s="127">
        <v>2035</v>
      </c>
      <c r="Y36" s="128"/>
    </row>
    <row r="37" spans="1:30">
      <c r="A37" s="56">
        <f>INDEX([2]!ResApplic,MATCH($D$36,[2]APPLIC!$B$9:$B$120,0)+1,MATCH($D37,[2]APPLIC!$C$8:$F$8,0)+1)</f>
        <v>0.97019999999999995</v>
      </c>
      <c r="B37" s="56">
        <v>1</v>
      </c>
      <c r="C37" s="56">
        <f>VLOOKUP($D$36,[2]TURN!$B$10:$F$78,MATCH(D37,$D$37:$D$37,0)+1,FALSE)</f>
        <v>6.6666666666666666E-2</v>
      </c>
      <c r="D37" s="7" t="str">
        <f>C13</f>
        <v>Single Family</v>
      </c>
      <c r="E37" s="35">
        <f>E13*$C37*$A37*$B37</f>
        <v>271884.20863295998</v>
      </c>
      <c r="F37" s="35">
        <f t="shared" ref="F37:X37" si="5">F13*$C37*$A37*$B37</f>
        <v>271266.81905574159</v>
      </c>
      <c r="G37" s="35">
        <f t="shared" si="5"/>
        <v>270650.83143523114</v>
      </c>
      <c r="H37" s="35">
        <f t="shared" si="5"/>
        <v>270036.24258789141</v>
      </c>
      <c r="I37" s="35">
        <f>I13*$C37*$A37*$B37</f>
        <v>269423.04933741462</v>
      </c>
      <c r="J37" s="35">
        <f t="shared" si="5"/>
        <v>268811.24851470528</v>
      </c>
      <c r="K37" s="35">
        <f t="shared" si="5"/>
        <v>268200.8369578647</v>
      </c>
      <c r="L37" s="35">
        <f t="shared" si="5"/>
        <v>267591.81151217374</v>
      </c>
      <c r="M37" s="35">
        <f t="shared" si="5"/>
        <v>266984.16903007717</v>
      </c>
      <c r="N37" s="35">
        <f t="shared" si="5"/>
        <v>266377.9063711671</v>
      </c>
      <c r="O37" s="35">
        <f t="shared" si="5"/>
        <v>265773.02040216688</v>
      </c>
      <c r="P37" s="35">
        <f t="shared" si="5"/>
        <v>265169.50799691473</v>
      </c>
      <c r="Q37" s="35">
        <f t="shared" si="5"/>
        <v>264567.36603634793</v>
      </c>
      <c r="R37" s="35">
        <f t="shared" si="5"/>
        <v>263966.59140848613</v>
      </c>
      <c r="S37" s="35">
        <f t="shared" si="5"/>
        <v>263367.18100841594</v>
      </c>
      <c r="T37" s="35">
        <f>T13*$C37*$A37*$B37</f>
        <v>262769.13173827424</v>
      </c>
      <c r="U37" s="35">
        <f t="shared" si="5"/>
        <v>262172.44050723285</v>
      </c>
      <c r="V37" s="35">
        <f t="shared" si="5"/>
        <v>261577.10423148182</v>
      </c>
      <c r="W37" s="35">
        <f t="shared" si="5"/>
        <v>260983.11983421398</v>
      </c>
      <c r="X37" s="35">
        <f t="shared" si="5"/>
        <v>260390.48424560908</v>
      </c>
      <c r="Y37" s="35"/>
      <c r="Z37" s="35">
        <f>X13*$Z$27*A37*B37</f>
        <v>3319978.6741315159</v>
      </c>
      <c r="AD37" s="35"/>
    </row>
    <row r="38" spans="1:30">
      <c r="E38" s="35"/>
      <c r="F38" s="35"/>
      <c r="G38" s="35"/>
      <c r="H38" s="35"/>
      <c r="I38" s="35"/>
      <c r="J38" s="35"/>
      <c r="K38" s="35"/>
      <c r="L38" s="35"/>
      <c r="M38" s="35"/>
      <c r="N38" s="35"/>
      <c r="O38" s="35"/>
      <c r="P38" s="35"/>
      <c r="Q38" s="35"/>
      <c r="R38" s="35"/>
      <c r="S38" s="35"/>
      <c r="T38" s="35"/>
      <c r="U38" s="35"/>
      <c r="V38" s="35"/>
      <c r="W38" s="35"/>
      <c r="X38" s="35"/>
      <c r="Y38" s="35"/>
    </row>
    <row r="39" spans="1:30">
      <c r="E39" s="35">
        <f t="shared" ref="E39:X39" si="6">SUM(E37:E37)</f>
        <v>271884.20863295998</v>
      </c>
      <c r="F39" s="35">
        <f t="shared" si="6"/>
        <v>271266.81905574159</v>
      </c>
      <c r="G39" s="35">
        <f t="shared" si="6"/>
        <v>270650.83143523114</v>
      </c>
      <c r="H39" s="35">
        <f t="shared" si="6"/>
        <v>270036.24258789141</v>
      </c>
      <c r="I39" s="35">
        <f t="shared" si="6"/>
        <v>269423.04933741462</v>
      </c>
      <c r="J39" s="35">
        <f t="shared" si="6"/>
        <v>268811.24851470528</v>
      </c>
      <c r="K39" s="35">
        <f t="shared" si="6"/>
        <v>268200.8369578647</v>
      </c>
      <c r="L39" s="35">
        <f t="shared" si="6"/>
        <v>267591.81151217374</v>
      </c>
      <c r="M39" s="35">
        <f t="shared" si="6"/>
        <v>266984.16903007717</v>
      </c>
      <c r="N39" s="35">
        <f t="shared" si="6"/>
        <v>266377.9063711671</v>
      </c>
      <c r="O39" s="35">
        <f t="shared" si="6"/>
        <v>265773.02040216688</v>
      </c>
      <c r="P39" s="35">
        <f t="shared" si="6"/>
        <v>265169.50799691473</v>
      </c>
      <c r="Q39" s="35">
        <f t="shared" si="6"/>
        <v>264567.36603634793</v>
      </c>
      <c r="R39" s="35">
        <f t="shared" si="6"/>
        <v>263966.59140848613</v>
      </c>
      <c r="S39" s="35">
        <f t="shared" si="6"/>
        <v>263367.18100841594</v>
      </c>
      <c r="T39" s="35">
        <f t="shared" si="6"/>
        <v>262769.13173827424</v>
      </c>
      <c r="U39" s="35">
        <f t="shared" si="6"/>
        <v>262172.44050723285</v>
      </c>
      <c r="V39" s="35">
        <f t="shared" si="6"/>
        <v>261577.10423148182</v>
      </c>
      <c r="W39" s="35">
        <f t="shared" si="6"/>
        <v>260983.11983421398</v>
      </c>
      <c r="X39" s="35">
        <f t="shared" si="6"/>
        <v>260390.48424560908</v>
      </c>
      <c r="Y39" s="35"/>
      <c r="Z39" s="35">
        <f>SUM(E39:X39)</f>
        <v>5321963.0708443709</v>
      </c>
      <c r="AD39" s="35"/>
    </row>
    <row r="40" spans="1:30">
      <c r="E40" s="35"/>
      <c r="F40" s="35"/>
      <c r="G40" s="35"/>
      <c r="H40" s="35"/>
      <c r="I40" s="35"/>
      <c r="J40" s="35"/>
      <c r="K40" s="35"/>
      <c r="L40" s="35"/>
      <c r="M40" s="35"/>
      <c r="N40" s="35"/>
      <c r="O40" s="35"/>
      <c r="P40" s="35"/>
      <c r="Q40" s="35"/>
      <c r="R40" s="35"/>
      <c r="S40" s="35"/>
      <c r="T40" s="35"/>
      <c r="U40" s="35"/>
      <c r="V40" s="35"/>
      <c r="W40" s="35"/>
      <c r="X40" s="35"/>
      <c r="Y40" s="35"/>
      <c r="Z40" s="35"/>
      <c r="AD40" s="35"/>
    </row>
    <row r="41" spans="1:30" ht="15">
      <c r="A41" s="64" t="s">
        <v>59</v>
      </c>
      <c r="B41" s="64" t="s">
        <v>139</v>
      </c>
      <c r="C41" s="64" t="s">
        <v>350</v>
      </c>
      <c r="D41" s="64" t="str">
        <f>CONCATENATE(C8," - ","New")</f>
        <v>DHP - New</v>
      </c>
      <c r="E41" s="126">
        <v>1</v>
      </c>
      <c r="F41" s="127">
        <v>2</v>
      </c>
      <c r="G41" s="127">
        <v>3</v>
      </c>
      <c r="H41" s="127">
        <v>4</v>
      </c>
      <c r="I41" s="127">
        <v>5</v>
      </c>
      <c r="J41" s="127">
        <v>6</v>
      </c>
      <c r="K41" s="127">
        <v>7</v>
      </c>
      <c r="L41" s="127">
        <v>8</v>
      </c>
      <c r="M41" s="127">
        <v>9</v>
      </c>
      <c r="N41" s="127">
        <v>10</v>
      </c>
      <c r="O41" s="127">
        <v>11</v>
      </c>
      <c r="P41" s="127">
        <v>12</v>
      </c>
      <c r="Q41" s="127">
        <v>13</v>
      </c>
      <c r="R41" s="127">
        <v>14</v>
      </c>
      <c r="S41" s="127">
        <v>15</v>
      </c>
      <c r="T41" s="127">
        <v>16</v>
      </c>
      <c r="U41" s="127">
        <v>17</v>
      </c>
      <c r="V41" s="127">
        <v>18</v>
      </c>
      <c r="W41" s="127">
        <v>19</v>
      </c>
      <c r="X41" s="127">
        <v>20</v>
      </c>
      <c r="Y41" s="128"/>
    </row>
    <row r="42" spans="1:30">
      <c r="A42" s="56">
        <f>INDEX([2]!ResApplic,MATCH($D$36,[2]APPLIC!$B$9:$B$120,0)+1,MATCH($D42,[2]APPLIC!$C$8:$F$8,0)+1)</f>
        <v>0.97019999999999995</v>
      </c>
      <c r="B42" s="56">
        <v>1</v>
      </c>
      <c r="C42" s="56">
        <f>VLOOKUP($D$41,[2]TURN!$B$10:$F$78,MATCH(D42,$D$42,0)+1,FALSE)</f>
        <v>1</v>
      </c>
      <c r="D42" s="7" t="str">
        <f>D37</f>
        <v>Single Family</v>
      </c>
      <c r="E42" s="35">
        <f>E21*$C42*$A42*$B42</f>
        <v>0</v>
      </c>
      <c r="F42" s="35">
        <f t="shared" ref="F42:X42" si="7">F21*$C42*$A42*$B42</f>
        <v>0</v>
      </c>
      <c r="G42" s="35">
        <f t="shared" si="7"/>
        <v>0</v>
      </c>
      <c r="H42" s="35">
        <f t="shared" si="7"/>
        <v>0</v>
      </c>
      <c r="I42" s="35">
        <f t="shared" si="7"/>
        <v>0</v>
      </c>
      <c r="J42" s="35">
        <f t="shared" si="7"/>
        <v>0</v>
      </c>
      <c r="K42" s="35">
        <f t="shared" si="7"/>
        <v>0</v>
      </c>
      <c r="L42" s="35">
        <f t="shared" si="7"/>
        <v>0</v>
      </c>
      <c r="M42" s="35">
        <f t="shared" si="7"/>
        <v>0</v>
      </c>
      <c r="N42" s="35">
        <f t="shared" si="7"/>
        <v>0</v>
      </c>
      <c r="O42" s="35">
        <f t="shared" si="7"/>
        <v>0</v>
      </c>
      <c r="P42" s="35">
        <f t="shared" si="7"/>
        <v>0</v>
      </c>
      <c r="Q42" s="35">
        <f t="shared" si="7"/>
        <v>0</v>
      </c>
      <c r="R42" s="35">
        <f t="shared" si="7"/>
        <v>0</v>
      </c>
      <c r="S42" s="35">
        <f t="shared" si="7"/>
        <v>0</v>
      </c>
      <c r="T42" s="35">
        <f t="shared" si="7"/>
        <v>58661.077648325423</v>
      </c>
      <c r="U42" s="35">
        <f t="shared" si="7"/>
        <v>53579.041371172803</v>
      </c>
      <c r="V42" s="35">
        <f t="shared" si="7"/>
        <v>47846.308231439303</v>
      </c>
      <c r="W42" s="35">
        <f t="shared" si="7"/>
        <v>42990.357928457721</v>
      </c>
      <c r="X42" s="35">
        <f t="shared" si="7"/>
        <v>38172.641274490365</v>
      </c>
      <c r="Y42" s="35"/>
      <c r="Z42" s="35">
        <f>SUM(E42:X42)*$Z$27</f>
        <v>205062.01248580278</v>
      </c>
      <c r="AD42" s="35"/>
    </row>
    <row r="43" spans="1:30">
      <c r="E43" s="35"/>
      <c r="F43" s="35"/>
      <c r="G43" s="35"/>
      <c r="H43" s="35"/>
      <c r="I43" s="35"/>
      <c r="J43" s="35"/>
      <c r="K43" s="35"/>
      <c r="L43" s="35"/>
      <c r="M43" s="35"/>
      <c r="N43" s="35"/>
      <c r="O43" s="35"/>
      <c r="P43" s="35"/>
      <c r="Q43" s="35"/>
      <c r="R43" s="35"/>
      <c r="S43" s="35"/>
      <c r="T43" s="35"/>
      <c r="U43" s="35"/>
      <c r="V43" s="35"/>
      <c r="W43" s="35"/>
      <c r="X43" s="35"/>
      <c r="Y43" s="35"/>
    </row>
    <row r="44" spans="1:30">
      <c r="E44" s="35"/>
      <c r="F44" s="35"/>
      <c r="G44" s="35"/>
      <c r="H44" s="35"/>
      <c r="I44" s="35"/>
      <c r="J44" s="35"/>
      <c r="K44" s="35"/>
      <c r="L44" s="35"/>
      <c r="M44" s="35"/>
      <c r="N44" s="35"/>
      <c r="O44" s="35"/>
      <c r="P44" s="35"/>
      <c r="Q44" s="35"/>
      <c r="R44" s="35"/>
      <c r="S44" s="35"/>
      <c r="T44" s="35"/>
      <c r="U44" s="35"/>
      <c r="V44" s="35"/>
      <c r="W44" s="35"/>
      <c r="X44" s="35"/>
      <c r="Y44" s="35"/>
      <c r="Z44" s="35"/>
      <c r="AD44" s="35"/>
    </row>
    <row r="45" spans="1:30">
      <c r="E45" s="35"/>
      <c r="F45" s="35"/>
      <c r="G45" s="35"/>
      <c r="H45" s="35"/>
      <c r="I45" s="35"/>
      <c r="J45" s="35"/>
      <c r="K45" s="35"/>
      <c r="L45" s="35"/>
      <c r="M45" s="35"/>
      <c r="N45" s="35"/>
      <c r="O45" s="35"/>
      <c r="P45" s="35"/>
      <c r="Q45" s="35"/>
      <c r="R45" s="35"/>
      <c r="S45" s="35"/>
      <c r="T45" s="35"/>
      <c r="U45" s="35"/>
      <c r="V45" s="35"/>
      <c r="W45" s="35"/>
      <c r="X45" s="35"/>
      <c r="Y45" s="35"/>
      <c r="Z45" s="35"/>
      <c r="AD45" s="35"/>
    </row>
    <row r="46" spans="1:30" ht="15">
      <c r="E46" s="64" t="s">
        <v>61</v>
      </c>
      <c r="F46" s="35"/>
      <c r="G46" s="35"/>
      <c r="H46" s="35"/>
      <c r="I46" s="35"/>
      <c r="J46" s="35"/>
      <c r="K46" s="35"/>
      <c r="L46" s="35"/>
      <c r="M46" s="35"/>
      <c r="N46" s="35"/>
      <c r="O46" s="35"/>
      <c r="P46" s="35"/>
      <c r="Q46" s="35"/>
      <c r="R46" s="35"/>
      <c r="S46" s="35"/>
      <c r="T46" s="35"/>
      <c r="U46" s="35"/>
      <c r="V46" s="35"/>
      <c r="W46" s="35"/>
      <c r="X46" s="35"/>
      <c r="Y46" s="35"/>
    </row>
    <row r="47" spans="1:30" ht="15">
      <c r="A47" s="55" t="s">
        <v>351</v>
      </c>
      <c r="D47" s="64" t="str">
        <f>D36</f>
        <v>DHP - NR</v>
      </c>
      <c r="E47" s="68">
        <f>VLOOKUP($D$36,[2]ACHIEV!$B$9:$X$100,MATCH(E$11,$E$11:$Y$11,0)+2,FALSE)</f>
        <v>4.2999999999999997E-2</v>
      </c>
      <c r="F47" s="68">
        <f>VLOOKUP($D$36,[2]ACHIEV!$B$9:$X$100,MATCH(F$11,$E$11:$Y$11,0)+2,FALSE)</f>
        <v>9.5797142280278316E-2</v>
      </c>
      <c r="G47" s="68">
        <f>VLOOKUP($D$36,[2]ACHIEV!$B$9:$X$100,MATCH(G$11,$E$11:$Y$11,0)+2,FALSE)</f>
        <v>0.16040539374775648</v>
      </c>
      <c r="H47" s="68">
        <f>VLOOKUP($D$36,[2]ACHIEV!$B$9:$X$100,MATCH(H$11,$E$11:$Y$11,0)+2,FALSE)</f>
        <v>0.23540539374775649</v>
      </c>
      <c r="I47" s="68">
        <f>VLOOKUP($D$36,[2]ACHIEV!$B$9:$X$100,MATCH(I$11,$E$11:$Y$11,0)+2,FALSE)</f>
        <v>0.32095239121809005</v>
      </c>
      <c r="J47" s="68">
        <f>VLOOKUP($D$36,[2]ACHIEV!$B$9:$X$100,MATCH(J$11,$E$11:$Y$11,0)+2,FALSE)</f>
        <v>0.42096711425629652</v>
      </c>
      <c r="K47" s="68">
        <f>VLOOKUP($D$36,[2]ACHIEV!$B$9:$X$100,MATCH(K$11,$E$11:$Y$11,0)+2,FALSE)</f>
        <v>0.53068481860864725</v>
      </c>
      <c r="L47" s="68">
        <f>VLOOKUP($D$36,[2]ACHIEV!$B$9:$X$100,MATCH(L$11,$E$11:$Y$11,0)+2,FALSE)</f>
        <v>0.642769203728351</v>
      </c>
      <c r="M47" s="68">
        <f>VLOOKUP($D$36,[2]ACHIEV!$B$9:$X$100,MATCH(M$11,$E$11:$Y$11,0)+2,FALSE)</f>
        <v>0.74839528535557953</v>
      </c>
      <c r="N47" s="68">
        <f>VLOOKUP($D$36,[2]ACHIEV!$B$9:$X$100,MATCH(N$11,$E$11:$Y$11,0)+2,FALSE)</f>
        <v>0.83918984935345187</v>
      </c>
      <c r="O47" s="68">
        <f>VLOOKUP($D$36,[2]ACHIEV!$B$9:$X$100,MATCH(O$11,$E$11:$Y$11,0)+2,FALSE)</f>
        <v>0.90945051634530116</v>
      </c>
      <c r="P47" s="68">
        <f>VLOOKUP($D$36,[2]ACHIEV!$B$9:$X$100,MATCH(P$11,$E$11:$Y$11,0)+2,FALSE)</f>
        <v>0.9576688767502457</v>
      </c>
      <c r="Q47" s="68">
        <f>VLOOKUP($D$36,[2]ACHIEV!$B$9:$X$100,MATCH(Q$11,$E$11:$Y$11,0)+2,FALSE)</f>
        <v>0.9865231113648858</v>
      </c>
      <c r="R47" s="68">
        <f>VLOOKUP($D$36,[2]ACHIEV!$B$9:$X$100,MATCH(R$11,$E$11:$Y$11,0)+2,FALSE)</f>
        <v>1.0012970762896924</v>
      </c>
      <c r="S47" s="68">
        <f>VLOOKUP($D$36,[2]ACHIEV!$B$9:$X$100,MATCH(S$11,$E$11:$Y$11,0)+2,FALSE)</f>
        <v>1.0076356106578106</v>
      </c>
      <c r="T47" s="68">
        <f>VLOOKUP($D$36,[2]ACHIEV!$B$9:$X$100,MATCH(T$11,$E$11:$Y$11,0)+2,FALSE)</f>
        <v>1.0098624683774413</v>
      </c>
      <c r="U47" s="68">
        <f>VLOOKUP($D$36,[2]ACHIEV!$B$9:$X$100,MATCH(U$11,$E$11:$Y$11,0)+2,FALSE)</f>
        <v>1.0104871783970797</v>
      </c>
      <c r="V47" s="68">
        <f>VLOOKUP($D$36,[2]ACHIEV!$B$9:$X$100,MATCH(V$11,$E$11:$Y$11,0)+2,FALSE)</f>
        <v>1.010623336815976</v>
      </c>
      <c r="W47" s="68">
        <f>VLOOKUP($D$36,[2]ACHIEV!$B$9:$X$100,MATCH(W$11,$E$11:$Y$11,0)+2,FALSE)</f>
        <v>1.0106457174525985</v>
      </c>
      <c r="X47" s="68">
        <f>VLOOKUP($D$36,[2]ACHIEV!$B$9:$X$100,MATCH(X$11,$E$11:$Y$11,0)+2,FALSE)</f>
        <v>1.0106484038909742</v>
      </c>
      <c r="Y47" s="68"/>
    </row>
    <row r="48" spans="1:30">
      <c r="D48" s="7" t="str">
        <f>C21</f>
        <v>Single Family</v>
      </c>
      <c r="E48" s="35">
        <f>(E37+E42)*E$47*$Z$27</f>
        <v>9937.3678255346858</v>
      </c>
      <c r="F48" s="35">
        <f t="shared" ref="F48:X48" si="8">(F37+F42)*F$47*$Z$27</f>
        <v>22088.598151851184</v>
      </c>
      <c r="G48" s="35">
        <f t="shared" si="8"/>
        <v>36901.775206847029</v>
      </c>
      <c r="H48" s="35">
        <f t="shared" si="8"/>
        <v>54032.789810682174</v>
      </c>
      <c r="I48" s="35">
        <f t="shared" si="8"/>
        <v>73501.176143995777</v>
      </c>
      <c r="J48" s="35">
        <f t="shared" si="8"/>
        <v>96186.591231837505</v>
      </c>
      <c r="K48" s="35">
        <f t="shared" si="8"/>
        <v>120980.59563492102</v>
      </c>
      <c r="L48" s="35">
        <f t="shared" si="8"/>
        <v>146199.80926842088</v>
      </c>
      <c r="M48" s="35">
        <f t="shared" si="8"/>
        <v>169838.23936168384</v>
      </c>
      <c r="N48" s="35">
        <f t="shared" si="8"/>
        <v>190010.3898509015</v>
      </c>
      <c r="O48" s="35">
        <f t="shared" si="8"/>
        <v>205451.29904009076</v>
      </c>
      <c r="P48" s="35">
        <f t="shared" si="8"/>
        <v>215852.89714104755</v>
      </c>
      <c r="Q48" s="35">
        <f t="shared" si="8"/>
        <v>221851.54794162198</v>
      </c>
      <c r="R48" s="35">
        <f t="shared" si="8"/>
        <v>224662.62978315208</v>
      </c>
      <c r="S48" s="35">
        <f t="shared" si="8"/>
        <v>225571.42772324511</v>
      </c>
      <c r="T48" s="35">
        <f t="shared" si="8"/>
        <v>275910.25896289491</v>
      </c>
      <c r="U48" s="35">
        <f t="shared" si="8"/>
        <v>271203.40039830573</v>
      </c>
      <c r="V48" s="35">
        <f t="shared" si="8"/>
        <v>265803.94335342391</v>
      </c>
      <c r="W48" s="35">
        <f t="shared" si="8"/>
        <v>261128.0694920143</v>
      </c>
      <c r="X48" s="35">
        <f t="shared" si="8"/>
        <v>256480.99432745069</v>
      </c>
      <c r="Y48" s="35"/>
    </row>
    <row r="50" spans="1:80">
      <c r="E50" s="35">
        <f t="shared" ref="E50:X50" si="9">SUM(E48:E48)</f>
        <v>9937.3678255346858</v>
      </c>
      <c r="F50" s="35">
        <f t="shared" si="9"/>
        <v>22088.598151851184</v>
      </c>
      <c r="G50" s="35">
        <f t="shared" si="9"/>
        <v>36901.775206847029</v>
      </c>
      <c r="H50" s="35">
        <f t="shared" si="9"/>
        <v>54032.789810682174</v>
      </c>
      <c r="I50" s="35">
        <f t="shared" si="9"/>
        <v>73501.176143995777</v>
      </c>
      <c r="J50" s="35">
        <f t="shared" si="9"/>
        <v>96186.591231837505</v>
      </c>
      <c r="K50" s="35">
        <f t="shared" si="9"/>
        <v>120980.59563492102</v>
      </c>
      <c r="L50" s="35">
        <f t="shared" si="9"/>
        <v>146199.80926842088</v>
      </c>
      <c r="M50" s="35">
        <f t="shared" si="9"/>
        <v>169838.23936168384</v>
      </c>
      <c r="N50" s="35">
        <f t="shared" si="9"/>
        <v>190010.3898509015</v>
      </c>
      <c r="O50" s="35">
        <f t="shared" si="9"/>
        <v>205451.29904009076</v>
      </c>
      <c r="P50" s="35">
        <f t="shared" si="9"/>
        <v>215852.89714104755</v>
      </c>
      <c r="Q50" s="35">
        <f t="shared" si="9"/>
        <v>221851.54794162198</v>
      </c>
      <c r="R50" s="35">
        <f t="shared" si="9"/>
        <v>224662.62978315208</v>
      </c>
      <c r="S50" s="35">
        <f t="shared" si="9"/>
        <v>225571.42772324511</v>
      </c>
      <c r="T50" s="35">
        <f t="shared" si="9"/>
        <v>275910.25896289491</v>
      </c>
      <c r="U50" s="35">
        <f t="shared" si="9"/>
        <v>271203.40039830573</v>
      </c>
      <c r="V50" s="35">
        <f t="shared" si="9"/>
        <v>265803.94335342391</v>
      </c>
      <c r="W50" s="35">
        <f t="shared" si="9"/>
        <v>261128.0694920143</v>
      </c>
      <c r="X50" s="35">
        <f t="shared" si="9"/>
        <v>256480.99432745069</v>
      </c>
      <c r="Y50" s="35"/>
    </row>
    <row r="51" spans="1:80">
      <c r="E51" s="35"/>
      <c r="F51" s="35"/>
      <c r="G51" s="35"/>
      <c r="H51" s="35"/>
      <c r="I51" s="35"/>
      <c r="J51" s="35"/>
      <c r="K51" s="35"/>
      <c r="L51" s="35"/>
      <c r="M51" s="35"/>
      <c r="N51" s="35"/>
      <c r="O51" s="35"/>
      <c r="P51" s="35"/>
      <c r="Q51" s="35"/>
      <c r="R51" s="35"/>
      <c r="S51" s="35"/>
      <c r="T51" s="35"/>
      <c r="U51" s="35"/>
      <c r="V51" s="35"/>
      <c r="W51" s="35"/>
      <c r="X51" s="35"/>
      <c r="Y51" s="35"/>
    </row>
    <row r="54" spans="1:80" customForma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row>
    <row r="55" spans="1:80" customFormat="1" ht="15">
      <c r="A55" s="55" t="s">
        <v>62</v>
      </c>
      <c r="B55" s="7"/>
      <c r="C55" s="7"/>
      <c r="D55" s="129" t="s">
        <v>343</v>
      </c>
      <c r="E55" s="7" t="s">
        <v>157</v>
      </c>
      <c r="F55" s="7"/>
      <c r="G55" s="7"/>
      <c r="H55" s="7"/>
      <c r="I55" s="7"/>
      <c r="J55" s="7"/>
      <c r="K55" s="7"/>
      <c r="L55" s="7"/>
      <c r="M55" s="7"/>
      <c r="N55" s="7"/>
      <c r="O55" s="7"/>
      <c r="P55" s="7"/>
      <c r="Q55" s="7"/>
      <c r="R55" s="7"/>
      <c r="S55" s="7"/>
      <c r="T55" s="7"/>
      <c r="U55" s="7"/>
      <c r="V55" s="7"/>
      <c r="W55" s="7"/>
      <c r="X55" s="7"/>
      <c r="Y55" s="7"/>
      <c r="Z55" s="7"/>
      <c r="AA55" s="7"/>
      <c r="AB55" s="7"/>
      <c r="AC55" s="7"/>
    </row>
    <row r="56" spans="1:80" customFormat="1" ht="15">
      <c r="A56" s="64" t="s">
        <v>63</v>
      </c>
      <c r="B56" s="64" t="s">
        <v>24</v>
      </c>
      <c r="C56" s="64"/>
      <c r="D56" s="64">
        <v>1</v>
      </c>
      <c r="E56" s="58">
        <f t="shared" ref="E56:X56" si="10">E11</f>
        <v>2016</v>
      </c>
      <c r="F56" s="59">
        <f t="shared" si="10"/>
        <v>2017</v>
      </c>
      <c r="G56" s="59">
        <f t="shared" si="10"/>
        <v>2018</v>
      </c>
      <c r="H56" s="59">
        <f t="shared" si="10"/>
        <v>2019</v>
      </c>
      <c r="I56" s="59">
        <f t="shared" si="10"/>
        <v>2020</v>
      </c>
      <c r="J56" s="59">
        <f t="shared" si="10"/>
        <v>2021</v>
      </c>
      <c r="K56" s="59">
        <f t="shared" si="10"/>
        <v>2022</v>
      </c>
      <c r="L56" s="59">
        <f t="shared" si="10"/>
        <v>2023</v>
      </c>
      <c r="M56" s="59">
        <f t="shared" si="10"/>
        <v>2024</v>
      </c>
      <c r="N56" s="59">
        <f t="shared" si="10"/>
        <v>2025</v>
      </c>
      <c r="O56" s="59">
        <f t="shared" si="10"/>
        <v>2026</v>
      </c>
      <c r="P56" s="59">
        <f t="shared" si="10"/>
        <v>2027</v>
      </c>
      <c r="Q56" s="59">
        <f t="shared" si="10"/>
        <v>2028</v>
      </c>
      <c r="R56" s="59">
        <f t="shared" si="10"/>
        <v>2029</v>
      </c>
      <c r="S56" s="59">
        <f t="shared" si="10"/>
        <v>2030</v>
      </c>
      <c r="T56" s="59">
        <f t="shared" si="10"/>
        <v>2031</v>
      </c>
      <c r="U56" s="59">
        <f t="shared" si="10"/>
        <v>2032</v>
      </c>
      <c r="V56" s="59">
        <f t="shared" si="10"/>
        <v>2033</v>
      </c>
      <c r="W56" s="59">
        <f t="shared" si="10"/>
        <v>2034</v>
      </c>
      <c r="X56" s="59">
        <f t="shared" si="10"/>
        <v>2035</v>
      </c>
      <c r="Y56" s="60" t="s">
        <v>60</v>
      </c>
      <c r="Z56" s="7"/>
      <c r="AA56" s="7"/>
      <c r="AB56" s="7"/>
      <c r="AC56" s="7"/>
    </row>
    <row r="57" spans="1:80" customFormat="1" ht="15">
      <c r="A57" s="64" t="s">
        <v>46</v>
      </c>
      <c r="B57" s="64" t="s">
        <v>64</v>
      </c>
      <c r="C57" s="64" t="s">
        <v>65</v>
      </c>
      <c r="D57" s="64" t="s">
        <v>66</v>
      </c>
      <c r="E57" s="61" t="str">
        <f>CONCATENATE("aMW_",E$11)</f>
        <v>aMW_2016</v>
      </c>
      <c r="F57" s="62" t="str">
        <f t="shared" ref="F57:X57" si="11">CONCATENATE("aMW_",F$11)</f>
        <v>aMW_2017</v>
      </c>
      <c r="G57" s="62" t="str">
        <f t="shared" si="11"/>
        <v>aMW_2018</v>
      </c>
      <c r="H57" s="62" t="str">
        <f t="shared" si="11"/>
        <v>aMW_2019</v>
      </c>
      <c r="I57" s="62" t="str">
        <f t="shared" si="11"/>
        <v>aMW_2020</v>
      </c>
      <c r="J57" s="62" t="str">
        <f t="shared" si="11"/>
        <v>aMW_2021</v>
      </c>
      <c r="K57" s="62" t="str">
        <f t="shared" si="11"/>
        <v>aMW_2022</v>
      </c>
      <c r="L57" s="62" t="str">
        <f t="shared" si="11"/>
        <v>aMW_2023</v>
      </c>
      <c r="M57" s="62" t="str">
        <f t="shared" si="11"/>
        <v>aMW_2024</v>
      </c>
      <c r="N57" s="62" t="str">
        <f t="shared" si="11"/>
        <v>aMW_2025</v>
      </c>
      <c r="O57" s="62" t="str">
        <f t="shared" si="11"/>
        <v>aMW_2026</v>
      </c>
      <c r="P57" s="62" t="str">
        <f t="shared" si="11"/>
        <v>aMW_2027</v>
      </c>
      <c r="Q57" s="62" t="str">
        <f t="shared" si="11"/>
        <v>aMW_2028</v>
      </c>
      <c r="R57" s="62" t="str">
        <f t="shared" si="11"/>
        <v>aMW_2029</v>
      </c>
      <c r="S57" s="62" t="str">
        <f t="shared" si="11"/>
        <v>aMW_2030</v>
      </c>
      <c r="T57" s="62" t="str">
        <f t="shared" si="11"/>
        <v>aMW_2031</v>
      </c>
      <c r="U57" s="62" t="str">
        <f t="shared" si="11"/>
        <v>aMW_2032</v>
      </c>
      <c r="V57" s="62" t="str">
        <f t="shared" si="11"/>
        <v>aMW_2033</v>
      </c>
      <c r="W57" s="62" t="str">
        <f t="shared" si="11"/>
        <v>aMW_2034</v>
      </c>
      <c r="X57" s="62" t="str">
        <f t="shared" si="11"/>
        <v>aMW_2035</v>
      </c>
      <c r="Y57" s="63" t="s">
        <v>60</v>
      </c>
      <c r="Z57" s="7"/>
      <c r="AA57" s="130" t="s">
        <v>268</v>
      </c>
      <c r="AB57" s="130"/>
      <c r="AC57" s="7"/>
    </row>
    <row r="58" spans="1:80">
      <c r="A58" s="57">
        <f t="shared" ref="A58:A61" si="12">VLOOKUP($D58,MeasureOutput,3,FALSE)</f>
        <v>2646.6539113541521</v>
      </c>
      <c r="B58" s="57">
        <f t="shared" ref="B58:B61" si="13">VLOOKUP($D58,MeasureOutput,11,FALSE)</f>
        <v>109.5745313120063</v>
      </c>
      <c r="C58" s="7" t="s">
        <v>49</v>
      </c>
      <c r="D58" s="7" t="s">
        <v>501</v>
      </c>
      <c r="E58" s="29">
        <f>VLOOKUP($C58,$D$48:$Z$48,E$20+1,FALSE)*$D$56*$A58/8760/1000*IFERROR(VLOOKUP(RIGHT($D58,LEN($D58)-FIND(" + ",$D58)-2),'HVAC weighting'!$A$24:$C$29,MATCH('SC-NR (3)'!$C58,'HVAC weighting'!$B$3:$C$3,0)+1,FALSE),1)</f>
        <v>9.0187803965346203E-2</v>
      </c>
      <c r="F58" s="29">
        <f>VLOOKUP($C58,$D$48:$Z$48,F$20+1,FALSE)*$D$56*$A58/8760/1000*IFERROR(VLOOKUP(RIGHT($D58,LEN($D58)-FIND(" + ",$D58)-2),'HVAC weighting'!$A$24:$C$29,MATCH('SC-NR (3)'!$C58,'HVAC weighting'!$B$3:$C$3,0)+1,FALSE),1)</f>
        <v>0.20046778935459961</v>
      </c>
      <c r="G58" s="29">
        <f>VLOOKUP($C58,$D$48:$Z$48,G$20+1,FALSE)*$D$56*$A58/8760/1000*IFERROR(VLOOKUP(RIGHT($D58,LEN($D58)-FIND(" + ",$D58)-2),'HVAC weighting'!$A$24:$C$29,MATCH('SC-NR (3)'!$C58,'HVAC weighting'!$B$3:$C$3,0)+1,FALSE),1)</f>
        <v>0.3349065996909823</v>
      </c>
      <c r="H58" s="29">
        <f>VLOOKUP($C58,$D$48:$Z$48,H$20+1,FALSE)*$D$56*$A58/8760/1000*IFERROR(VLOOKUP(RIGHT($D58,LEN($D58)-FIND(" + ",$D58)-2),'HVAC weighting'!$A$24:$C$29,MATCH('SC-NR (3)'!$C58,'HVAC weighting'!$B$3:$C$3,0)+1,FALSE),1)</f>
        <v>0.490381229788519</v>
      </c>
      <c r="I58" s="29">
        <f>VLOOKUP($C58,$D$48:$Z$48,I$20+1,FALSE)*$D$56*$A58/8760/1000*IFERROR(VLOOKUP(RIGHT($D58,LEN($D58)-FIND(" + ",$D58)-2),'HVAC weighting'!$A$24:$C$29,MATCH('SC-NR (3)'!$C58,'HVAC weighting'!$B$3:$C$3,0)+1,FALSE),1)</f>
        <v>0.66706896450624242</v>
      </c>
      <c r="J58" s="29">
        <f>VLOOKUP($C58,$D$48:$Z$48,J$20+1,FALSE)*$D$56*$A58/8760/1000*IFERROR(VLOOKUP(RIGHT($D58,LEN($D58)-FIND(" + ",$D58)-2),'HVAC weighting'!$A$24:$C$29,MATCH('SC-NR (3)'!$C58,'HVAC weighting'!$B$3:$C$3,0)+1,FALSE),1)</f>
        <v>0.87295323937001335</v>
      </c>
      <c r="K58" s="29">
        <f>VLOOKUP($C58,$D$48:$Z$48,K$20+1,FALSE)*$D$56*$A58/8760/1000*IFERROR(VLOOKUP(RIGHT($D58,LEN($D58)-FIND(" + ",$D58)-2),'HVAC weighting'!$A$24:$C$29,MATCH('SC-NR (3)'!$C58,'HVAC weighting'!$B$3:$C$3,0)+1,FALSE),1)</f>
        <v>1.0979742759140552</v>
      </c>
      <c r="L58" s="29">
        <f>VLOOKUP($C58,$D$48:$Z$48,L$20+1,FALSE)*$D$56*$A58/8760/1000*IFERROR(VLOOKUP(RIGHT($D58,LEN($D58)-FIND(" + ",$D58)-2),'HVAC weighting'!$A$24:$C$29,MATCH('SC-NR (3)'!$C58,'HVAC weighting'!$B$3:$C$3,0)+1,FALSE),1)</f>
        <v>1.3268543511281266</v>
      </c>
      <c r="M58" s="29">
        <f>VLOOKUP($C58,$D$48:$Z$48,M$20+1,FALSE)*$D$56*$A58/8760/1000*IFERROR(VLOOKUP(RIGHT($D58,LEN($D58)-FIND(" + ",$D58)-2),'HVAC weighting'!$A$24:$C$29,MATCH('SC-NR (3)'!$C58,'HVAC weighting'!$B$3:$C$3,0)+1,FALSE),1)</f>
        <v>1.5413878308914193</v>
      </c>
      <c r="N58" s="29">
        <f>VLOOKUP($C58,$D$48:$Z$48,N$20+1,FALSE)*$D$56*$A58/8760/1000*IFERROR(VLOOKUP(RIGHT($D58,LEN($D58)-FIND(" + ",$D58)-2),'HVAC weighting'!$A$24:$C$29,MATCH('SC-NR (3)'!$C58,'HVAC weighting'!$B$3:$C$3,0)+1,FALSE),1)</f>
        <v>1.7244626637668077</v>
      </c>
      <c r="O58" s="29">
        <f>VLOOKUP($C58,$D$48:$Z$48,O$20+1,FALSE)*$D$56*$A58/8760/1000*IFERROR(VLOOKUP(RIGHT($D58,LEN($D58)-FIND(" + ",$D58)-2),'HVAC weighting'!$A$24:$C$29,MATCH('SC-NR (3)'!$C58,'HVAC weighting'!$B$3:$C$3,0)+1,FALSE),1)</f>
        <v>1.8645985342961229</v>
      </c>
      <c r="P58" s="29">
        <f>VLOOKUP($C58,$D$48:$Z$48,P$20+1,FALSE)*$D$56*$A58/8760/1000*IFERROR(VLOOKUP(RIGHT($D58,LEN($D58)-FIND(" + ",$D58)-2),'HVAC weighting'!$A$24:$C$29,MATCH('SC-NR (3)'!$C58,'HVAC weighting'!$B$3:$C$3,0)+1,FALSE),1)</f>
        <v>1.9589995172249131</v>
      </c>
      <c r="Q58" s="29">
        <f>VLOOKUP($C58,$D$48:$Z$48,Q$20+1,FALSE)*$D$56*$A58/8760/1000*IFERROR(VLOOKUP(RIGHT($D58,LEN($D58)-FIND(" + ",$D58)-2),'HVAC weighting'!$A$24:$C$29,MATCH('SC-NR (3)'!$C58,'HVAC weighting'!$B$3:$C$3,0)+1,FALSE),1)</f>
        <v>2.013441010380538</v>
      </c>
      <c r="R58" s="29">
        <f>VLOOKUP($C58,$D$48:$Z$48,R$20+1,FALSE)*$D$56*$A58/8760/1000*IFERROR(VLOOKUP(RIGHT($D58,LEN($D58)-FIND(" + ",$D58)-2),'HVAC weighting'!$A$24:$C$29,MATCH('SC-NR (3)'!$C58,'HVAC weighting'!$B$3:$C$3,0)+1,FALSE),1)</f>
        <v>2.0389533293874904</v>
      </c>
      <c r="S58" s="29">
        <f>VLOOKUP($C58,$D$48:$Z$48,S$20+1,FALSE)*$D$56*$A58/8760/1000*IFERROR(VLOOKUP(RIGHT($D58,LEN($D58)-FIND(" + ",$D58)-2),'HVAC weighting'!$A$24:$C$29,MATCH('SC-NR (3)'!$C58,'HVAC weighting'!$B$3:$C$3,0)+1,FALSE),1)</f>
        <v>2.0472012368720671</v>
      </c>
      <c r="T58" s="29">
        <f>VLOOKUP($C58,$D$48:$Z$48,T$20+1,FALSE)*$D$56*$A58/8760/1000*IFERROR(VLOOKUP(RIGHT($D58,LEN($D58)-FIND(" + ",$D58)-2),'HVAC weighting'!$A$24:$C$29,MATCH('SC-NR (3)'!$C58,'HVAC weighting'!$B$3:$C$3,0)+1,FALSE),1)</f>
        <v>2.5040574913040006</v>
      </c>
      <c r="U58" s="29">
        <f>VLOOKUP($C58,$D$48:$Z$48,U$20+1,FALSE)*$D$56*$A58/8760/1000*IFERROR(VLOOKUP(RIGHT($D58,LEN($D58)-FIND(" + ",$D58)-2),'HVAC weighting'!$A$24:$C$29,MATCH('SC-NR (3)'!$C58,'HVAC weighting'!$B$3:$C$3,0)+1,FALSE),1)</f>
        <v>2.4613398174724046</v>
      </c>
      <c r="V58" s="29">
        <f>VLOOKUP($C58,$D$48:$Z$48,V$20+1,FALSE)*$D$56*$A58/8760/1000*IFERROR(VLOOKUP(RIGHT($D58,LEN($D58)-FIND(" + ",$D58)-2),'HVAC weighting'!$A$24:$C$29,MATCH('SC-NR (3)'!$C58,'HVAC weighting'!$B$3:$C$3,0)+1,FALSE),1)</f>
        <v>2.412336380945499</v>
      </c>
      <c r="W58" s="29">
        <f>VLOOKUP($C58,$D$48:$Z$48,W$20+1,FALSE)*$D$56*$A58/8760/1000*IFERROR(VLOOKUP(RIGHT($D58,LEN($D58)-FIND(" + ",$D58)-2),'HVAC weighting'!$A$24:$C$29,MATCH('SC-NR (3)'!$C58,'HVAC weighting'!$B$3:$C$3,0)+1,FALSE),1)</f>
        <v>2.3698999125986298</v>
      </c>
      <c r="X58" s="29">
        <f>VLOOKUP($C58,$D$48:$Z$48,X$20+1,FALSE)*$D$56*$A58/8760/1000*IFERROR(VLOOKUP(RIGHT($D58,LEN($D58)-FIND(" + ",$D58)-2),'HVAC weighting'!$A$24:$C$29,MATCH('SC-NR (3)'!$C58,'HVAC weighting'!$B$3:$C$3,0)+1,FALSE),1)</f>
        <v>2.3277248103671351</v>
      </c>
      <c r="Y58" s="29">
        <f>(VLOOKUP($C58,$D$37:$Z$37,X$28+2,FALSE)+VLOOKUP($C58,$D$42:$Z$42,X$28+2,FALSE))*$D$56*$A58/8760/1000*IFERROR(VLOOKUP(RIGHT($D58,LEN($D58)-FIND(" + ",$D58)-2),'HVAC weighting'!$A$24:$C$29,MATCH('SC-NR (3)'!$C58,'HVAC weighting'!$B$3:$C$3,0)+1,FALSE),1)</f>
        <v>31.991940320213164</v>
      </c>
      <c r="AA58" s="29">
        <f t="shared" ref="AA58:AA61" si="14">SUM(E58:X58)</f>
        <v>30.345196789224907</v>
      </c>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row>
    <row r="59" spans="1:80">
      <c r="A59" s="57">
        <f t="shared" si="12"/>
        <v>2719.2631585375898</v>
      </c>
      <c r="B59" s="57">
        <f t="shared" si="13"/>
        <v>112.06998870724475</v>
      </c>
      <c r="C59" s="7" t="s">
        <v>49</v>
      </c>
      <c r="D59" s="7" t="s">
        <v>499</v>
      </c>
      <c r="E59" s="29">
        <f>VLOOKUP($C59,$D$48:$Z$48,E$20+1,FALSE)*$D$56*$A59/8760/1000*IFERROR(VLOOKUP(RIGHT($D59,LEN($D59)-FIND(" + ",$D59)-2),'HVAC weighting'!$A$24:$C$29,MATCH('SC-NR (3)'!$C59,'HVAC weighting'!$B$3:$C$3,0)+1,FALSE),1)</f>
        <v>8.9031526603684644E-2</v>
      </c>
      <c r="F59" s="29">
        <f>VLOOKUP($C59,$D$48:$Z$48,F$20+1,FALSE)*$D$56*$A59/8760/1000*IFERROR(VLOOKUP(RIGHT($D59,LEN($D59)-FIND(" + ",$D59)-2),'HVAC weighting'!$A$24:$C$29,MATCH('SC-NR (3)'!$C59,'HVAC weighting'!$B$3:$C$3,0)+1,FALSE),1)</f>
        <v>0.19789763733424298</v>
      </c>
      <c r="G59" s="29">
        <f>VLOOKUP($C59,$D$48:$Z$48,G$20+1,FALSE)*$D$56*$A59/8760/1000*IFERROR(VLOOKUP(RIGHT($D59,LEN($D59)-FIND(" + ",$D59)-2),'HVAC weighting'!$A$24:$C$29,MATCH('SC-NR (3)'!$C59,'HVAC weighting'!$B$3:$C$3,0)+1,FALSE),1)</f>
        <v>0.33061283820142967</v>
      </c>
      <c r="H59" s="29">
        <f>VLOOKUP($C59,$D$48:$Z$48,H$20+1,FALSE)*$D$56*$A59/8760/1000*IFERROR(VLOOKUP(RIGHT($D59,LEN($D59)-FIND(" + ",$D59)-2),'HVAC weighting'!$A$24:$C$29,MATCH('SC-NR (3)'!$C59,'HVAC weighting'!$B$3:$C$3,0)+1,FALSE),1)</f>
        <v>0.48409416335982436</v>
      </c>
      <c r="I59" s="29">
        <f>VLOOKUP($C59,$D$48:$Z$48,I$20+1,FALSE)*$D$56*$A59/8760/1000*IFERROR(VLOOKUP(RIGHT($D59,LEN($D59)-FIND(" + ",$D59)-2),'HVAC weighting'!$A$24:$C$29,MATCH('SC-NR (3)'!$C59,'HVAC weighting'!$B$3:$C$3,0)+1,FALSE),1)</f>
        <v>0.65851662473952666</v>
      </c>
      <c r="J59" s="29">
        <f>VLOOKUP($C59,$D$48:$Z$48,J$20+1,FALSE)*$D$56*$A59/8760/1000*IFERROR(VLOOKUP(RIGHT($D59,LEN($D59)-FIND(" + ",$D59)-2),'HVAC weighting'!$A$24:$C$29,MATCH('SC-NR (3)'!$C59,'HVAC weighting'!$B$3:$C$3,0)+1,FALSE),1)</f>
        <v>0.86176130405179097</v>
      </c>
      <c r="K59" s="29">
        <f>VLOOKUP($C59,$D$48:$Z$48,K$20+1,FALSE)*$D$56*$A59/8760/1000*IFERROR(VLOOKUP(RIGHT($D59,LEN($D59)-FIND(" + ",$D59)-2),'HVAC weighting'!$A$24:$C$29,MATCH('SC-NR (3)'!$C59,'HVAC weighting'!$B$3:$C$3,0)+1,FALSE),1)</f>
        <v>1.0838973969669419</v>
      </c>
      <c r="L59" s="29">
        <f>VLOOKUP($C59,$D$48:$Z$48,L$20+1,FALSE)*$D$56*$A59/8760/1000*IFERROR(VLOOKUP(RIGHT($D59,LEN($D59)-FIND(" + ",$D59)-2),'HVAC weighting'!$A$24:$C$29,MATCH('SC-NR (3)'!$C59,'HVAC weighting'!$B$3:$C$3,0)+1,FALSE),1)</f>
        <v>1.3098430526933507</v>
      </c>
      <c r="M59" s="29">
        <f>VLOOKUP($C59,$D$48:$Z$48,M$20+1,FALSE)*$D$56*$A59/8760/1000*IFERROR(VLOOKUP(RIGHT($D59,LEN($D59)-FIND(" + ",$D59)-2),'HVAC weighting'!$A$24:$C$29,MATCH('SC-NR (3)'!$C59,'HVAC weighting'!$B$3:$C$3,0)+1,FALSE),1)</f>
        <v>1.5216260474125223</v>
      </c>
      <c r="N59" s="29">
        <f>VLOOKUP($C59,$D$48:$Z$48,N$20+1,FALSE)*$D$56*$A59/8760/1000*IFERROR(VLOOKUP(RIGHT($D59,LEN($D59)-FIND(" + ",$D59)-2),'HVAC weighting'!$A$24:$C$29,MATCH('SC-NR (3)'!$C59,'HVAC weighting'!$B$3:$C$3,0)+1,FALSE),1)</f>
        <v>1.7023537194143061</v>
      </c>
      <c r="O59" s="29">
        <f>VLOOKUP($C59,$D$48:$Z$48,O$20+1,FALSE)*$D$56*$A59/8760/1000*IFERROR(VLOOKUP(RIGHT($D59,LEN($D59)-FIND(" + ",$D59)-2),'HVAC weighting'!$A$24:$C$29,MATCH('SC-NR (3)'!$C59,'HVAC weighting'!$B$3:$C$3,0)+1,FALSE),1)</f>
        <v>1.8406929397589467</v>
      </c>
      <c r="P59" s="29">
        <f>VLOOKUP($C59,$D$48:$Z$48,P$20+1,FALSE)*$D$56*$A59/8760/1000*IFERROR(VLOOKUP(RIGHT($D59,LEN($D59)-FIND(" + ",$D59)-2),'HVAC weighting'!$A$24:$C$29,MATCH('SC-NR (3)'!$C59,'HVAC weighting'!$B$3:$C$3,0)+1,FALSE),1)</f>
        <v>1.933883629114993</v>
      </c>
      <c r="Q59" s="29">
        <f>VLOOKUP($C59,$D$48:$Z$48,Q$20+1,FALSE)*$D$56*$A59/8760/1000*IFERROR(VLOOKUP(RIGHT($D59,LEN($D59)-FIND(" + ",$D59)-2),'HVAC weighting'!$A$24:$C$29,MATCH('SC-NR (3)'!$C59,'HVAC weighting'!$B$3:$C$3,0)+1,FALSE),1)</f>
        <v>1.9876271402452972</v>
      </c>
      <c r="R59" s="29">
        <f>VLOOKUP($C59,$D$48:$Z$48,R$20+1,FALSE)*$D$56*$A59/8760/1000*IFERROR(VLOOKUP(RIGHT($D59,LEN($D59)-FIND(" + ",$D59)-2),'HVAC weighting'!$A$24:$C$29,MATCH('SC-NR (3)'!$C59,'HVAC weighting'!$B$3:$C$3,0)+1,FALSE),1)</f>
        <v>2.0128123716016559</v>
      </c>
      <c r="S59" s="29">
        <f>VLOOKUP($C59,$D$48:$Z$48,S$20+1,FALSE)*$D$56*$A59/8760/1000*IFERROR(VLOOKUP(RIGHT($D59,LEN($D59)-FIND(" + ",$D59)-2),'HVAC weighting'!$A$24:$C$29,MATCH('SC-NR (3)'!$C59,'HVAC weighting'!$B$3:$C$3,0)+1,FALSE),1)</f>
        <v>2.0209545345366795</v>
      </c>
      <c r="T59" s="29">
        <f>VLOOKUP($C59,$D$48:$Z$48,T$20+1,FALSE)*$D$56*$A59/8760/1000*IFERROR(VLOOKUP(RIGHT($D59,LEN($D59)-FIND(" + ",$D59)-2),'HVAC weighting'!$A$24:$C$29,MATCH('SC-NR (3)'!$C59,'HVAC weighting'!$B$3:$C$3,0)+1,FALSE),1)</f>
        <v>2.4719535386386671</v>
      </c>
      <c r="U59" s="29">
        <f>VLOOKUP($C59,$D$48:$Z$48,U$20+1,FALSE)*$D$56*$A59/8760/1000*IFERROR(VLOOKUP(RIGHT($D59,LEN($D59)-FIND(" + ",$D59)-2),'HVAC weighting'!$A$24:$C$29,MATCH('SC-NR (3)'!$C59,'HVAC weighting'!$B$3:$C$3,0)+1,FALSE),1)</f>
        <v>2.4297835384061899</v>
      </c>
      <c r="V59" s="29">
        <f>VLOOKUP($C59,$D$48:$Z$48,V$20+1,FALSE)*$D$56*$A59/8760/1000*IFERROR(VLOOKUP(RIGHT($D59,LEN($D59)-FIND(" + ",$D59)-2),'HVAC weighting'!$A$24:$C$29,MATCH('SC-NR (3)'!$C59,'HVAC weighting'!$B$3:$C$3,0)+1,FALSE),1)</f>
        <v>2.381408363815027</v>
      </c>
      <c r="W59" s="29">
        <f>VLOOKUP($C59,$D$48:$Z$48,W$20+1,FALSE)*$D$56*$A59/8760/1000*IFERROR(VLOOKUP(RIGHT($D59,LEN($D59)-FIND(" + ",$D59)-2),'HVAC weighting'!$A$24:$C$29,MATCH('SC-NR (3)'!$C59,'HVAC weighting'!$B$3:$C$3,0)+1,FALSE),1)</f>
        <v>2.3395159637955918</v>
      </c>
      <c r="X59" s="29">
        <f>VLOOKUP($C59,$D$48:$Z$48,X$20+1,FALSE)*$D$56*$A59/8760/1000*IFERROR(VLOOKUP(RIGHT($D59,LEN($D59)-FIND(" + ",$D59)-2),'HVAC weighting'!$A$24:$C$29,MATCH('SC-NR (3)'!$C59,'HVAC weighting'!$B$3:$C$3,0)+1,FALSE),1)</f>
        <v>2.2978815789758968</v>
      </c>
      <c r="Y59" s="29">
        <f>(VLOOKUP($C59,$D$37:$Z$37,X$28+2,FALSE)+VLOOKUP($C59,$D$42:$Z$42,X$28+2,FALSE))*$D$56*$A59/8760/1000*IFERROR(VLOOKUP(RIGHT($D59,LEN($D59)-FIND(" + ",$D59)-2),'HVAC weighting'!$A$24:$C$29,MATCH('SC-NR (3)'!$C59,'HVAC weighting'!$B$3:$C$3,0)+1,FALSE),1)</f>
        <v>31.581778915661125</v>
      </c>
      <c r="AA59" s="29">
        <f t="shared" si="14"/>
        <v>29.956147909666562</v>
      </c>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row>
    <row r="60" spans="1:80">
      <c r="A60" s="57">
        <f t="shared" si="12"/>
        <v>2095.6932158169034</v>
      </c>
      <c r="B60" s="57">
        <f t="shared" si="13"/>
        <v>141.14456252150947</v>
      </c>
      <c r="C60" s="7" t="s">
        <v>49</v>
      </c>
      <c r="D60" s="7" t="s">
        <v>500</v>
      </c>
      <c r="E60" s="29">
        <f>VLOOKUP($C60,$D$48:$Z$48,E$20+1,FALSE)*$D$56*$A60/8760/1000*IFERROR(VLOOKUP(RIGHT($D60,LEN($D60)-FIND(" + ",$D60)-2),'HVAC weighting'!$A$24:$C$29,MATCH('SC-NR (3)'!$C60,'HVAC weighting'!$B$3:$C$3,0)+1,FALSE),1)</f>
        <v>1.9861120399172236E-2</v>
      </c>
      <c r="F60" s="29">
        <f>VLOOKUP($C60,$D$48:$Z$48,F$20+1,FALSE)*$D$56*$A60/8760/1000*IFERROR(VLOOKUP(RIGHT($D60,LEN($D60)-FIND(" + ",$D60)-2),'HVAC weighting'!$A$24:$C$29,MATCH('SC-NR (3)'!$C60,'HVAC weighting'!$B$3:$C$3,0)+1,FALSE),1)</f>
        <v>4.4146932572584431E-2</v>
      </c>
      <c r="G60" s="29">
        <f>VLOOKUP($C60,$D$48:$Z$48,G$20+1,FALSE)*$D$56*$A60/8760/1000*IFERROR(VLOOKUP(RIGHT($D60,LEN($D60)-FIND(" + ",$D60)-2),'HVAC weighting'!$A$24:$C$29,MATCH('SC-NR (3)'!$C60,'HVAC weighting'!$B$3:$C$3,0)+1,FALSE),1)</f>
        <v>7.3752991052934397E-2</v>
      </c>
      <c r="H60" s="29">
        <f>VLOOKUP($C60,$D$48:$Z$48,H$20+1,FALSE)*$D$56*$A60/8760/1000*IFERROR(VLOOKUP(RIGHT($D60,LEN($D60)-FIND(" + ",$D60)-2),'HVAC weighting'!$A$24:$C$29,MATCH('SC-NR (3)'!$C60,'HVAC weighting'!$B$3:$C$3,0)+1,FALSE),1)</f>
        <v>0.10799154894675382</v>
      </c>
      <c r="I60" s="29">
        <f>VLOOKUP($C60,$D$48:$Z$48,I$20+1,FALSE)*$D$56*$A60/8760/1000*IFERROR(VLOOKUP(RIGHT($D60,LEN($D60)-FIND(" + ",$D60)-2),'HVAC weighting'!$A$24:$C$29,MATCH('SC-NR (3)'!$C60,'HVAC weighting'!$B$3:$C$3,0)+1,FALSE),1)</f>
        <v>0.14690164785141382</v>
      </c>
      <c r="J60" s="29">
        <f>VLOOKUP($C60,$D$48:$Z$48,J$20+1,FALSE)*$D$56*$A60/8760/1000*IFERROR(VLOOKUP(RIGHT($D60,LEN($D60)-FIND(" + ",$D60)-2),'HVAC weighting'!$A$24:$C$29,MATCH('SC-NR (3)'!$C60,'HVAC weighting'!$B$3:$C$3,0)+1,FALSE),1)</f>
        <v>0.19224139659323727</v>
      </c>
      <c r="K60" s="29">
        <f>VLOOKUP($C60,$D$48:$Z$48,K$20+1,FALSE)*$D$56*$A60/8760/1000*IFERROR(VLOOKUP(RIGHT($D60,LEN($D60)-FIND(" + ",$D60)-2),'HVAC weighting'!$A$24:$C$29,MATCH('SC-NR (3)'!$C60,'HVAC weighting'!$B$3:$C$3,0)+1,FALSE),1)</f>
        <v>0.24179543497369266</v>
      </c>
      <c r="L60" s="29">
        <f>VLOOKUP($C60,$D$48:$Z$48,L$20+1,FALSE)*$D$56*$A60/8760/1000*IFERROR(VLOOKUP(RIGHT($D60,LEN($D60)-FIND(" + ",$D60)-2),'HVAC weighting'!$A$24:$C$29,MATCH('SC-NR (3)'!$C60,'HVAC weighting'!$B$3:$C$3,0)+1,FALSE),1)</f>
        <v>0.29219930923306542</v>
      </c>
      <c r="M60" s="29">
        <f>VLOOKUP($C60,$D$48:$Z$48,M$20+1,FALSE)*$D$56*$A60/8760/1000*IFERROR(VLOOKUP(RIGHT($D60,LEN($D60)-FIND(" + ",$D60)-2),'HVAC weighting'!$A$24:$C$29,MATCH('SC-NR (3)'!$C60,'HVAC weighting'!$B$3:$C$3,0)+1,FALSE),1)</f>
        <v>0.33944378225371169</v>
      </c>
      <c r="N60" s="29">
        <f>VLOOKUP($C60,$D$48:$Z$48,N$20+1,FALSE)*$D$56*$A60/8760/1000*IFERROR(VLOOKUP(RIGHT($D60,LEN($D60)-FIND(" + ",$D60)-2),'HVAC weighting'!$A$24:$C$29,MATCH('SC-NR (3)'!$C60,'HVAC weighting'!$B$3:$C$3,0)+1,FALSE),1)</f>
        <v>0.37976044523836033</v>
      </c>
      <c r="O60" s="29">
        <f>VLOOKUP($C60,$D$48:$Z$48,O$20+1,FALSE)*$D$56*$A60/8760/1000*IFERROR(VLOOKUP(RIGHT($D60,LEN($D60)-FIND(" + ",$D60)-2),'HVAC weighting'!$A$24:$C$29,MATCH('SC-NR (3)'!$C60,'HVAC weighting'!$B$3:$C$3,0)+1,FALSE),1)</f>
        <v>0.41062110792724221</v>
      </c>
      <c r="P60" s="29">
        <f>VLOOKUP($C60,$D$48:$Z$48,P$20+1,FALSE)*$D$56*$A60/8760/1000*IFERROR(VLOOKUP(RIGHT($D60,LEN($D60)-FIND(" + ",$D60)-2),'HVAC weighting'!$A$24:$C$29,MATCH('SC-NR (3)'!$C60,'HVAC weighting'!$B$3:$C$3,0)+1,FALSE),1)</f>
        <v>0.43141005283235734</v>
      </c>
      <c r="Q60" s="29">
        <f>VLOOKUP($C60,$D$48:$Z$48,Q$20+1,FALSE)*$D$56*$A60/8760/1000*IFERROR(VLOOKUP(RIGHT($D60,LEN($D60)-FIND(" + ",$D60)-2),'HVAC weighting'!$A$24:$C$29,MATCH('SC-NR (3)'!$C60,'HVAC weighting'!$B$3:$C$3,0)+1,FALSE),1)</f>
        <v>0.44339913564326644</v>
      </c>
      <c r="R60" s="29">
        <f>VLOOKUP($C60,$D$48:$Z$48,R$20+1,FALSE)*$D$56*$A60/8760/1000*IFERROR(VLOOKUP(RIGHT($D60,LEN($D60)-FIND(" + ",$D60)-2),'HVAC weighting'!$A$24:$C$29,MATCH('SC-NR (3)'!$C60,'HVAC weighting'!$B$3:$C$3,0)+1,FALSE),1)</f>
        <v>0.44901744784492359</v>
      </c>
      <c r="S60" s="29">
        <f>VLOOKUP($C60,$D$48:$Z$48,S$20+1,FALSE)*$D$56*$A60/8760/1000*IFERROR(VLOOKUP(RIGHT($D60,LEN($D60)-FIND(" + ",$D60)-2),'HVAC weighting'!$A$24:$C$29,MATCH('SC-NR (3)'!$C60,'HVAC weighting'!$B$3:$C$3,0)+1,FALSE),1)</f>
        <v>0.45083379857517708</v>
      </c>
      <c r="T60" s="29">
        <f>VLOOKUP($C60,$D$48:$Z$48,T$20+1,FALSE)*$D$56*$A60/8760/1000*IFERROR(VLOOKUP(RIGHT($D60,LEN($D60)-FIND(" + ",$D60)-2),'HVAC weighting'!$A$24:$C$29,MATCH('SC-NR (3)'!$C60,'HVAC weighting'!$B$3:$C$3,0)+1,FALSE),1)</f>
        <v>0.55144249149638358</v>
      </c>
      <c r="U60" s="29">
        <f>VLOOKUP($C60,$D$48:$Z$48,U$20+1,FALSE)*$D$56*$A60/8760/1000*IFERROR(VLOOKUP(RIGHT($D60,LEN($D60)-FIND(" + ",$D60)-2),'HVAC weighting'!$A$24:$C$29,MATCH('SC-NR (3)'!$C60,'HVAC weighting'!$B$3:$C$3,0)+1,FALSE),1)</f>
        <v>0.54203522326455178</v>
      </c>
      <c r="V60" s="29">
        <f>VLOOKUP($C60,$D$48:$Z$48,V$20+1,FALSE)*$D$56*$A60/8760/1000*IFERROR(VLOOKUP(RIGHT($D60,LEN($D60)-FIND(" + ",$D60)-2),'HVAC weighting'!$A$24:$C$29,MATCH('SC-NR (3)'!$C60,'HVAC weighting'!$B$3:$C$3,0)+1,FALSE),1)</f>
        <v>0.53124370700578971</v>
      </c>
      <c r="W60" s="29">
        <f>VLOOKUP($C60,$D$48:$Z$48,W$20+1,FALSE)*$D$56*$A60/8760/1000*IFERROR(VLOOKUP(RIGHT($D60,LEN($D60)-FIND(" + ",$D60)-2),'HVAC weighting'!$A$24:$C$29,MATCH('SC-NR (3)'!$C60,'HVAC weighting'!$B$3:$C$3,0)+1,FALSE),1)</f>
        <v>0.52189836572797477</v>
      </c>
      <c r="X60" s="29">
        <f>VLOOKUP($C60,$D$48:$Z$48,X$20+1,FALSE)*$D$56*$A60/8760/1000*IFERROR(VLOOKUP(RIGHT($D60,LEN($D60)-FIND(" + ",$D60)-2),'HVAC weighting'!$A$24:$C$29,MATCH('SC-NR (3)'!$C60,'HVAC weighting'!$B$3:$C$3,0)+1,FALSE),1)</f>
        <v>0.5126105823865712</v>
      </c>
      <c r="Y60" s="29">
        <f>(VLOOKUP($C60,$D$37:$Z$37,X$28+2,FALSE)+VLOOKUP($C60,$D$42:$Z$42,X$28+2,FALSE))*$D$56*$A60/8760/1000*IFERROR(VLOOKUP(RIGHT($D60,LEN($D60)-FIND(" + ",$D60)-2),'HVAC weighting'!$A$24:$C$29,MATCH('SC-NR (3)'!$C60,'HVAC weighting'!$B$3:$C$3,0)+1,FALSE),1)</f>
        <v>7.0452516922025419</v>
      </c>
      <c r="AA60" s="29">
        <f t="shared" si="14"/>
        <v>6.6826065218191637</v>
      </c>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row>
    <row r="61" spans="1:80">
      <c r="A61" s="57">
        <f t="shared" si="12"/>
        <v>2379.1718416984891</v>
      </c>
      <c r="B61" s="57">
        <f t="shared" si="13"/>
        <v>140.89290532225266</v>
      </c>
      <c r="C61" s="7" t="s">
        <v>49</v>
      </c>
      <c r="D61" s="7" t="s">
        <v>498</v>
      </c>
      <c r="E61" s="29">
        <f>VLOOKUP($C61,$D$48:$Z$48,E$20+1,FALSE)*$D$56*$A61/8760/1000*IFERROR(VLOOKUP(RIGHT($D61,LEN($D61)-FIND(" + ",$D61)-2),'HVAC weighting'!$A$24:$C$29,MATCH('SC-NR (3)'!$C61,'HVAC weighting'!$B$3:$C$3,0)+1,FALSE),1)</f>
        <v>0.20408190708050011</v>
      </c>
      <c r="F61" s="29">
        <f>VLOOKUP($C61,$D$48:$Z$48,F$20+1,FALSE)*$D$56*$A61/8760/1000*IFERROR(VLOOKUP(RIGHT($D61,LEN($D61)-FIND(" + ",$D61)-2),'HVAC weighting'!$A$24:$C$29,MATCH('SC-NR (3)'!$C61,'HVAC weighting'!$B$3:$C$3,0)+1,FALSE),1)</f>
        <v>0.45362950377878875</v>
      </c>
      <c r="G61" s="29">
        <f>VLOOKUP($C61,$D$48:$Z$48,G$20+1,FALSE)*$D$56*$A61/8760/1000*IFERROR(VLOOKUP(RIGHT($D61,LEN($D61)-FIND(" + ",$D61)-2),'HVAC weighting'!$A$24:$C$29,MATCH('SC-NR (3)'!$C61,'HVAC weighting'!$B$3:$C$3,0)+1,FALSE),1)</f>
        <v>0.75784501400037985</v>
      </c>
      <c r="H61" s="29">
        <f>VLOOKUP($C61,$D$48:$Z$48,H$20+1,FALSE)*$D$56*$A61/8760/1000*IFERROR(VLOOKUP(RIGHT($D61,LEN($D61)-FIND(" + ",$D61)-2),'HVAC weighting'!$A$24:$C$29,MATCH('SC-NR (3)'!$C61,'HVAC weighting'!$B$3:$C$3,0)+1,FALSE),1)</f>
        <v>1.1096615304013377</v>
      </c>
      <c r="I61" s="29">
        <f>VLOOKUP($C61,$D$48:$Z$48,I$20+1,FALSE)*$D$56*$A61/8760/1000*IFERROR(VLOOKUP(RIGHT($D61,LEN($D61)-FIND(" + ",$D61)-2),'HVAC weighting'!$A$24:$C$29,MATCH('SC-NR (3)'!$C61,'HVAC weighting'!$B$3:$C$3,0)+1,FALSE),1)</f>
        <v>1.509480222879777</v>
      </c>
      <c r="J61" s="29">
        <f>VLOOKUP($C61,$D$48:$Z$48,J$20+1,FALSE)*$D$56*$A61/8760/1000*IFERROR(VLOOKUP(RIGHT($D61,LEN($D61)-FIND(" + ",$D61)-2),'HVAC weighting'!$A$24:$C$29,MATCH('SC-NR (3)'!$C61,'HVAC weighting'!$B$3:$C$3,0)+1,FALSE),1)</f>
        <v>1.9753664470108021</v>
      </c>
      <c r="K61" s="29">
        <f>VLOOKUP($C61,$D$48:$Z$48,K$20+1,FALSE)*$D$56*$A61/8760/1000*IFERROR(VLOOKUP(RIGHT($D61,LEN($D61)-FIND(" + ",$D61)-2),'HVAC weighting'!$A$24:$C$29,MATCH('SC-NR (3)'!$C61,'HVAC weighting'!$B$3:$C$3,0)+1,FALSE),1)</f>
        <v>2.4845563845857801</v>
      </c>
      <c r="L61" s="29">
        <f>VLOOKUP($C61,$D$48:$Z$48,L$20+1,FALSE)*$D$56*$A61/8760/1000*IFERROR(VLOOKUP(RIGHT($D61,LEN($D61)-FIND(" + ",$D61)-2),'HVAC weighting'!$A$24:$C$29,MATCH('SC-NR (3)'!$C61,'HVAC weighting'!$B$3:$C$3,0)+1,FALSE),1)</f>
        <v>3.0024787664231729</v>
      </c>
      <c r="M61" s="29">
        <f>VLOOKUP($C61,$D$48:$Z$48,M$20+1,FALSE)*$D$56*$A61/8760/1000*IFERROR(VLOOKUP(RIGHT($D61,LEN($D61)-FIND(" + ",$D61)-2),'HVAC weighting'!$A$24:$C$29,MATCH('SC-NR (3)'!$C61,'HVAC weighting'!$B$3:$C$3,0)+1,FALSE),1)</f>
        <v>3.4879368855667723</v>
      </c>
      <c r="N61" s="29">
        <f>VLOOKUP($C61,$D$48:$Z$48,N$20+1,FALSE)*$D$56*$A61/8760/1000*IFERROR(VLOOKUP(RIGHT($D61,LEN($D61)-FIND(" + ",$D61)-2),'HVAC weighting'!$A$24:$C$29,MATCH('SC-NR (3)'!$C61,'HVAC weighting'!$B$3:$C$3,0)+1,FALSE),1)</f>
        <v>3.9022086539092995</v>
      </c>
      <c r="O61" s="29">
        <f>VLOOKUP($C61,$D$48:$Z$48,O$20+1,FALSE)*$D$56*$A61/8760/1000*IFERROR(VLOOKUP(RIGHT($D61,LEN($D61)-FIND(" + ",$D61)-2),'HVAC weighting'!$A$24:$C$29,MATCH('SC-NR (3)'!$C61,'HVAC weighting'!$B$3:$C$3,0)+1,FALSE),1)</f>
        <v>4.219315784259182</v>
      </c>
      <c r="P61" s="29">
        <f>VLOOKUP($C61,$D$48:$Z$48,P$20+1,FALSE)*$D$56*$A61/8760/1000*IFERROR(VLOOKUP(RIGHT($D61,LEN($D61)-FIND(" + ",$D61)-2),'HVAC weighting'!$A$24:$C$29,MATCH('SC-NR (3)'!$C61,'HVAC weighting'!$B$3:$C$3,0)+1,FALSE),1)</f>
        <v>4.4329315036726831</v>
      </c>
      <c r="Q61" s="29">
        <f>VLOOKUP($C61,$D$48:$Z$48,Q$20+1,FALSE)*$D$56*$A61/8760/1000*IFERROR(VLOOKUP(RIGHT($D61,LEN($D61)-FIND(" + ",$D61)-2),'HVAC weighting'!$A$24:$C$29,MATCH('SC-NR (3)'!$C61,'HVAC weighting'!$B$3:$C$3,0)+1,FALSE),1)</f>
        <v>4.5561246989718951</v>
      </c>
      <c r="R61" s="29">
        <f>VLOOKUP($C61,$D$48:$Z$48,R$20+1,FALSE)*$D$56*$A61/8760/1000*IFERROR(VLOOKUP(RIGHT($D61,LEN($D61)-FIND(" + ",$D61)-2),'HVAC weighting'!$A$24:$C$29,MATCH('SC-NR (3)'!$C61,'HVAC weighting'!$B$3:$C$3,0)+1,FALSE),1)</f>
        <v>4.6138553730548946</v>
      </c>
      <c r="S61" s="29">
        <f>VLOOKUP($C61,$D$48:$Z$48,S$20+1,FALSE)*$D$56*$A61/8760/1000*IFERROR(VLOOKUP(RIGHT($D61,LEN($D61)-FIND(" + ",$D61)-2),'HVAC weighting'!$A$24:$C$29,MATCH('SC-NR (3)'!$C61,'HVAC weighting'!$B$3:$C$3,0)+1,FALSE),1)</f>
        <v>4.6325191902770406</v>
      </c>
      <c r="T61" s="29">
        <f>VLOOKUP($C61,$D$48:$Z$48,T$20+1,FALSE)*$D$56*$A61/8760/1000*IFERROR(VLOOKUP(RIGHT($D61,LEN($D61)-FIND(" + ",$D61)-2),'HVAC weighting'!$A$24:$C$29,MATCH('SC-NR (3)'!$C61,'HVAC weighting'!$B$3:$C$3,0)+1,FALSE),1)</f>
        <v>5.6663185685382986</v>
      </c>
      <c r="U61" s="29">
        <f>VLOOKUP($C61,$D$48:$Z$48,U$20+1,FALSE)*$D$56*$A61/8760/1000*IFERROR(VLOOKUP(RIGHT($D61,LEN($D61)-FIND(" + ",$D61)-2),'HVAC weighting'!$A$24:$C$29,MATCH('SC-NR (3)'!$C61,'HVAC weighting'!$B$3:$C$3,0)+1,FALSE),1)</f>
        <v>5.5696546743276754</v>
      </c>
      <c r="V61" s="29">
        <f>VLOOKUP($C61,$D$48:$Z$48,V$20+1,FALSE)*$D$56*$A61/8760/1000*IFERROR(VLOOKUP(RIGHT($D61,LEN($D61)-FIND(" + ",$D61)-2),'HVAC weighting'!$A$24:$C$29,MATCH('SC-NR (3)'!$C61,'HVAC weighting'!$B$3:$C$3,0)+1,FALSE),1)</f>
        <v>5.4587670116925811</v>
      </c>
      <c r="W61" s="29">
        <f>VLOOKUP($C61,$D$48:$Z$48,W$20+1,FALSE)*$D$56*$A61/8760/1000*IFERROR(VLOOKUP(RIGHT($D61,LEN($D61)-FIND(" + ",$D61)-2),'HVAC weighting'!$A$24:$C$29,MATCH('SC-NR (3)'!$C61,'HVAC weighting'!$B$3:$C$3,0)+1,FALSE),1)</f>
        <v>5.3627394446690175</v>
      </c>
      <c r="X61" s="29">
        <f>VLOOKUP($C61,$D$48:$Z$48,X$20+1,FALSE)*$D$56*$A61/8760/1000*IFERROR(VLOOKUP(RIGHT($D61,LEN($D61)-FIND(" + ",$D61)-2),'HVAC weighting'!$A$24:$C$29,MATCH('SC-NR (3)'!$C61,'HVAC weighting'!$B$3:$C$3,0)+1,FALSE),1)</f>
        <v>5.2673033112199121</v>
      </c>
      <c r="Y61" s="29">
        <f>(VLOOKUP($C61,$D$37:$Z$37,X$28+2,FALSE)+VLOOKUP($C61,$D$42:$Z$42,X$28+2,FALSE))*$D$56*$A61/8760/1000*IFERROR(VLOOKUP(RIGHT($D61,LEN($D61)-FIND(" + ",$D61)-2),'HVAC weighting'!$A$24:$C$29,MATCH('SC-NR (3)'!$C61,'HVAC weighting'!$B$3:$C$3,0)+1,FALSE),1)</f>
        <v>72.39311641586643</v>
      </c>
      <c r="AA61" s="29">
        <f t="shared" si="14"/>
        <v>68.666774876319778</v>
      </c>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row>
    <row r="62" spans="1:80" customForma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row>
    <row r="63" spans="1:80" customFormat="1">
      <c r="A63" s="7"/>
      <c r="B63" s="67">
        <f>SUMPRODUCT(B58:B61,AA58:AA61)/SUM(AA58:AA61)</f>
        <v>127.53430340493281</v>
      </c>
      <c r="C63" s="7"/>
      <c r="D63" s="48"/>
      <c r="E63" s="35">
        <f t="shared" ref="E63:Y63" si="15">SUM(E58:E61)</f>
        <v>0.40316235804870315</v>
      </c>
      <c r="F63" s="35">
        <f t="shared" si="15"/>
        <v>0.89614186304021581</v>
      </c>
      <c r="G63" s="35">
        <f t="shared" si="15"/>
        <v>1.4971174429457261</v>
      </c>
      <c r="H63" s="35">
        <f t="shared" si="15"/>
        <v>2.1921284724964352</v>
      </c>
      <c r="I63" s="35">
        <f t="shared" si="15"/>
        <v>2.9819674599769597</v>
      </c>
      <c r="J63" s="35">
        <f t="shared" si="15"/>
        <v>3.9023223870258437</v>
      </c>
      <c r="K63" s="35">
        <f t="shared" si="15"/>
        <v>4.9082234924404702</v>
      </c>
      <c r="L63" s="35">
        <f t="shared" si="15"/>
        <v>5.9313754794777154</v>
      </c>
      <c r="M63" s="35">
        <f t="shared" si="15"/>
        <v>6.8903945461244254</v>
      </c>
      <c r="N63" s="35">
        <f t="shared" si="15"/>
        <v>7.708785482328774</v>
      </c>
      <c r="O63" s="35">
        <f t="shared" si="15"/>
        <v>8.3352283662414948</v>
      </c>
      <c r="P63" s="35">
        <f t="shared" si="15"/>
        <v>8.7572247028449475</v>
      </c>
      <c r="Q63" s="35">
        <f t="shared" si="15"/>
        <v>9.0005919852409981</v>
      </c>
      <c r="R63" s="35">
        <f t="shared" si="15"/>
        <v>9.1146385218889634</v>
      </c>
      <c r="S63" s="35">
        <f t="shared" si="15"/>
        <v>9.1515087602609633</v>
      </c>
      <c r="T63" s="35">
        <f t="shared" si="15"/>
        <v>11.193772089977351</v>
      </c>
      <c r="U63" s="35">
        <f t="shared" si="15"/>
        <v>11.002813253470823</v>
      </c>
      <c r="V63" s="35">
        <f t="shared" si="15"/>
        <v>10.783755463458895</v>
      </c>
      <c r="W63" s="35">
        <f t="shared" si="15"/>
        <v>10.594053686791213</v>
      </c>
      <c r="X63" s="35">
        <f t="shared" si="15"/>
        <v>10.405520282949515</v>
      </c>
      <c r="Y63" s="35">
        <f t="shared" si="15"/>
        <v>143.01208734394328</v>
      </c>
      <c r="Z63" s="35"/>
      <c r="AA63" s="35">
        <f>SUM(E63:X63)</f>
        <v>135.65072609703043</v>
      </c>
      <c r="AB63" s="7"/>
      <c r="AC63" s="29"/>
    </row>
    <row r="64" spans="1:80" customFormat="1">
      <c r="A64" s="7"/>
      <c r="B64" s="7"/>
      <c r="C64" s="7"/>
      <c r="D64" s="7"/>
      <c r="E64" s="35">
        <f>E63</f>
        <v>0.40316235804870315</v>
      </c>
      <c r="F64" s="35">
        <f>F63+E64</f>
        <v>1.299304221088919</v>
      </c>
      <c r="G64" s="35">
        <f t="shared" ref="G64:X64" si="16">G63+F64</f>
        <v>2.7964216640346451</v>
      </c>
      <c r="H64" s="35">
        <f t="shared" si="16"/>
        <v>4.9885501365310798</v>
      </c>
      <c r="I64" s="35">
        <f t="shared" si="16"/>
        <v>7.9705175965080395</v>
      </c>
      <c r="J64" s="35">
        <f t="shared" si="16"/>
        <v>11.872839983533883</v>
      </c>
      <c r="K64" s="35">
        <f t="shared" si="16"/>
        <v>16.781063475974353</v>
      </c>
      <c r="L64" s="35">
        <f t="shared" si="16"/>
        <v>22.712438955452068</v>
      </c>
      <c r="M64" s="35">
        <f t="shared" si="16"/>
        <v>29.602833501576495</v>
      </c>
      <c r="N64" s="35">
        <f t="shared" si="16"/>
        <v>37.311618983905269</v>
      </c>
      <c r="O64" s="35">
        <f t="shared" si="16"/>
        <v>45.646847350146764</v>
      </c>
      <c r="P64" s="35">
        <f t="shared" si="16"/>
        <v>54.404072052991708</v>
      </c>
      <c r="Q64" s="35">
        <f t="shared" si="16"/>
        <v>63.40466403823271</v>
      </c>
      <c r="R64" s="35">
        <f t="shared" si="16"/>
        <v>72.519302560121673</v>
      </c>
      <c r="S64" s="35">
        <f t="shared" si="16"/>
        <v>81.67081132038264</v>
      </c>
      <c r="T64" s="35">
        <f t="shared" si="16"/>
        <v>92.864583410359984</v>
      </c>
      <c r="U64" s="35">
        <f t="shared" si="16"/>
        <v>103.8673966638308</v>
      </c>
      <c r="V64" s="35">
        <f t="shared" si="16"/>
        <v>114.65115212728969</v>
      </c>
      <c r="W64" s="35">
        <f t="shared" si="16"/>
        <v>125.2452058140809</v>
      </c>
      <c r="X64" s="35">
        <f t="shared" si="16"/>
        <v>135.65072609703043</v>
      </c>
      <c r="Y64" s="7"/>
      <c r="Z64" s="7"/>
      <c r="AA64" s="7"/>
      <c r="AB64" s="7"/>
      <c r="AC64" s="7"/>
    </row>
    <row r="65" spans="1:29" customForma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row>
    <row r="66" spans="1:29" customFormat="1" ht="15">
      <c r="A66" s="55" t="s">
        <v>67</v>
      </c>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row>
    <row r="67" spans="1:29" customFormat="1" ht="15">
      <c r="A67" s="7"/>
      <c r="B67" s="7"/>
      <c r="C67" s="7"/>
      <c r="D67" s="7"/>
      <c r="E67" s="58">
        <f t="shared" ref="E67:X67" si="17">E11</f>
        <v>2016</v>
      </c>
      <c r="F67" s="59">
        <f t="shared" si="17"/>
        <v>2017</v>
      </c>
      <c r="G67" s="59">
        <f t="shared" si="17"/>
        <v>2018</v>
      </c>
      <c r="H67" s="59">
        <f t="shared" si="17"/>
        <v>2019</v>
      </c>
      <c r="I67" s="59">
        <f t="shared" si="17"/>
        <v>2020</v>
      </c>
      <c r="J67" s="59">
        <f t="shared" si="17"/>
        <v>2021</v>
      </c>
      <c r="K67" s="59">
        <f t="shared" si="17"/>
        <v>2022</v>
      </c>
      <c r="L67" s="59">
        <f t="shared" si="17"/>
        <v>2023</v>
      </c>
      <c r="M67" s="59">
        <f t="shared" si="17"/>
        <v>2024</v>
      </c>
      <c r="N67" s="59">
        <f t="shared" si="17"/>
        <v>2025</v>
      </c>
      <c r="O67" s="59">
        <f t="shared" si="17"/>
        <v>2026</v>
      </c>
      <c r="P67" s="59">
        <f t="shared" si="17"/>
        <v>2027</v>
      </c>
      <c r="Q67" s="59">
        <f t="shared" si="17"/>
        <v>2028</v>
      </c>
      <c r="R67" s="59">
        <f t="shared" si="17"/>
        <v>2029</v>
      </c>
      <c r="S67" s="59">
        <f t="shared" si="17"/>
        <v>2030</v>
      </c>
      <c r="T67" s="59">
        <f t="shared" si="17"/>
        <v>2031</v>
      </c>
      <c r="U67" s="59">
        <f t="shared" si="17"/>
        <v>2032</v>
      </c>
      <c r="V67" s="59">
        <f t="shared" si="17"/>
        <v>2033</v>
      </c>
      <c r="W67" s="59">
        <f t="shared" si="17"/>
        <v>2034</v>
      </c>
      <c r="X67" s="59">
        <f t="shared" si="17"/>
        <v>2035</v>
      </c>
      <c r="Y67" s="60" t="s">
        <v>60</v>
      </c>
      <c r="Z67" s="7"/>
      <c r="AA67" s="7"/>
      <c r="AB67" s="7"/>
      <c r="AC67" s="7"/>
    </row>
    <row r="68" spans="1:29" customFormat="1" ht="15">
      <c r="A68" s="7"/>
      <c r="B68" s="7"/>
      <c r="C68" s="49" t="s">
        <v>64</v>
      </c>
      <c r="D68" s="49" t="s">
        <v>64</v>
      </c>
      <c r="E68" s="61" t="str">
        <f>CONCATENATE("aMW_",E$11)</f>
        <v>aMW_2016</v>
      </c>
      <c r="F68" s="62" t="str">
        <f t="shared" ref="F68:X68" si="18">CONCATENATE("aMW_",F$11)</f>
        <v>aMW_2017</v>
      </c>
      <c r="G68" s="62" t="str">
        <f t="shared" si="18"/>
        <v>aMW_2018</v>
      </c>
      <c r="H68" s="62" t="str">
        <f t="shared" si="18"/>
        <v>aMW_2019</v>
      </c>
      <c r="I68" s="62" t="str">
        <f t="shared" si="18"/>
        <v>aMW_2020</v>
      </c>
      <c r="J68" s="62" t="str">
        <f t="shared" si="18"/>
        <v>aMW_2021</v>
      </c>
      <c r="K68" s="62" t="str">
        <f t="shared" si="18"/>
        <v>aMW_2022</v>
      </c>
      <c r="L68" s="62" t="str">
        <f t="shared" si="18"/>
        <v>aMW_2023</v>
      </c>
      <c r="M68" s="62" t="str">
        <f t="shared" si="18"/>
        <v>aMW_2024</v>
      </c>
      <c r="N68" s="62" t="str">
        <f t="shared" si="18"/>
        <v>aMW_2025</v>
      </c>
      <c r="O68" s="62" t="str">
        <f t="shared" si="18"/>
        <v>aMW_2026</v>
      </c>
      <c r="P68" s="62" t="str">
        <f t="shared" si="18"/>
        <v>aMW_2027</v>
      </c>
      <c r="Q68" s="62" t="str">
        <f t="shared" si="18"/>
        <v>aMW_2028</v>
      </c>
      <c r="R68" s="62" t="str">
        <f t="shared" si="18"/>
        <v>aMW_2029</v>
      </c>
      <c r="S68" s="62" t="str">
        <f t="shared" si="18"/>
        <v>aMW_2030</v>
      </c>
      <c r="T68" s="62" t="str">
        <f t="shared" si="18"/>
        <v>aMW_2031</v>
      </c>
      <c r="U68" s="62" t="str">
        <f t="shared" si="18"/>
        <v>aMW_2032</v>
      </c>
      <c r="V68" s="62" t="str">
        <f t="shared" si="18"/>
        <v>aMW_2033</v>
      </c>
      <c r="W68" s="62" t="str">
        <f t="shared" si="18"/>
        <v>aMW_2034</v>
      </c>
      <c r="X68" s="62" t="str">
        <f t="shared" si="18"/>
        <v>aMW_2035</v>
      </c>
      <c r="Y68" s="63" t="s">
        <v>60</v>
      </c>
      <c r="Z68" s="7"/>
      <c r="AA68" s="7"/>
      <c r="AB68" s="7"/>
      <c r="AC68" s="7"/>
    </row>
    <row r="69" spans="1:29" customFormat="1">
      <c r="A69" s="7"/>
      <c r="B69" s="7" t="s">
        <v>68</v>
      </c>
      <c r="C69" s="50" t="s">
        <v>69</v>
      </c>
      <c r="D69" s="50" t="s">
        <v>70</v>
      </c>
      <c r="E69" s="35">
        <f>DSUM($B$57:$Y$61,E$57,$C$68:$D69)</f>
        <v>0</v>
      </c>
      <c r="F69" s="35">
        <f>DSUM($B$57:$Y$61,F$57,$C$68:$D69)</f>
        <v>0</v>
      </c>
      <c r="G69" s="35">
        <f>DSUM($B$57:$Y$61,G$57,$C$68:$D69)</f>
        <v>0</v>
      </c>
      <c r="H69" s="35">
        <f>DSUM($B$57:$Y$61,H$57,$C$68:$D69)</f>
        <v>0</v>
      </c>
      <c r="I69" s="35">
        <f>DSUM($B$57:$Y$61,I$57,$C$68:$D69)</f>
        <v>0</v>
      </c>
      <c r="J69" s="35">
        <f>DSUM($B$57:$Y$61,J$57,$C$68:$D69)</f>
        <v>0</v>
      </c>
      <c r="K69" s="35">
        <f>DSUM($B$57:$Y$61,K$57,$C$68:$D69)</f>
        <v>0</v>
      </c>
      <c r="L69" s="35">
        <f>DSUM($B$57:$Y$61,L$57,$C$68:$D69)</f>
        <v>0</v>
      </c>
      <c r="M69" s="35">
        <f>DSUM($B$57:$Y$61,M$57,$C$68:$D69)</f>
        <v>0</v>
      </c>
      <c r="N69" s="35">
        <f>DSUM($B$57:$Y$61,N$57,$C$68:$D69)</f>
        <v>0</v>
      </c>
      <c r="O69" s="35">
        <f>DSUM($B$57:$Y$61,O$57,$C$68:$D69)</f>
        <v>0</v>
      </c>
      <c r="P69" s="35">
        <f>DSUM($B$57:$Y$61,P$57,$C$68:$D69)</f>
        <v>0</v>
      </c>
      <c r="Q69" s="35">
        <f>DSUM($B$57:$Y$61,Q$57,$C$68:$D69)</f>
        <v>0</v>
      </c>
      <c r="R69" s="35">
        <f>DSUM($B$57:$Y$61,R$57,$C$68:$D69)</f>
        <v>0</v>
      </c>
      <c r="S69" s="35">
        <f>DSUM($B$57:$Y$61,S$57,$C$68:$D69)</f>
        <v>0</v>
      </c>
      <c r="T69" s="35">
        <f>DSUM($B$57:$Y$61,T$57,$C$68:$D69)</f>
        <v>0</v>
      </c>
      <c r="U69" s="35">
        <f>DSUM($B$57:$Y$61,U$57,$C$68:$D69)</f>
        <v>0</v>
      </c>
      <c r="V69" s="35">
        <f>DSUM($B$57:$Y$61,V$57,$C$68:$D69)</f>
        <v>0</v>
      </c>
      <c r="W69" s="35">
        <f>DSUM($B$57:$Y$61,W$57,$C$68:$D69)</f>
        <v>0</v>
      </c>
      <c r="X69" s="35">
        <f>DSUM($B$57:$Y$61,X$57,$C$68:$D69)</f>
        <v>0</v>
      </c>
      <c r="Y69" s="35">
        <f>DSUM($B$57:$Y$61,Y$57,$C$68:$D69)</f>
        <v>0</v>
      </c>
      <c r="Z69" s="7"/>
      <c r="AA69" s="7"/>
      <c r="AB69" s="7"/>
      <c r="AC69" s="7"/>
    </row>
    <row r="70" spans="1:29" customFormat="1">
      <c r="A70" s="7"/>
      <c r="B70" s="7" t="s">
        <v>544</v>
      </c>
      <c r="C70" s="50" t="s">
        <v>72</v>
      </c>
      <c r="D70" s="50" t="s">
        <v>73</v>
      </c>
      <c r="E70" s="35">
        <f>DSUM($B$57:$Y$61,E$57,$C$68:$D70)</f>
        <v>0</v>
      </c>
      <c r="F70" s="35">
        <f>DSUM($B$57:$Y$61,F$57,$C$68:$D70)</f>
        <v>0</v>
      </c>
      <c r="G70" s="35">
        <f>DSUM($B$57:$Y$61,G$57,$C$68:$D70)</f>
        <v>0</v>
      </c>
      <c r="H70" s="35">
        <f>DSUM($B$57:$Y$61,H$57,$C$68:$D70)</f>
        <v>0</v>
      </c>
      <c r="I70" s="35">
        <f>DSUM($B$57:$Y$61,I$57,$C$68:$D70)</f>
        <v>0</v>
      </c>
      <c r="J70" s="35">
        <f>DSUM($B$57:$Y$61,J$57,$C$68:$D70)</f>
        <v>0</v>
      </c>
      <c r="K70" s="35">
        <f>DSUM($B$57:$Y$61,K$57,$C$68:$D70)</f>
        <v>0</v>
      </c>
      <c r="L70" s="35">
        <f>DSUM($B$57:$Y$61,L$57,$C$68:$D70)</f>
        <v>0</v>
      </c>
      <c r="M70" s="35">
        <f>DSUM($B$57:$Y$61,M$57,$C$68:$D70)</f>
        <v>0</v>
      </c>
      <c r="N70" s="35">
        <f>DSUM($B$57:$Y$61,N$57,$C$68:$D70)</f>
        <v>0</v>
      </c>
      <c r="O70" s="35">
        <f>DSUM($B$57:$Y$61,O$57,$C$68:$D70)</f>
        <v>0</v>
      </c>
      <c r="P70" s="35">
        <f>DSUM($B$57:$Y$61,P$57,$C$68:$D70)</f>
        <v>0</v>
      </c>
      <c r="Q70" s="35">
        <f>DSUM($B$57:$Y$61,Q$57,$C$68:$D70)</f>
        <v>0</v>
      </c>
      <c r="R70" s="35">
        <f>DSUM($B$57:$Y$61,R$57,$C$68:$D70)</f>
        <v>0</v>
      </c>
      <c r="S70" s="35">
        <f>DSUM($B$57:$Y$61,S$57,$C$68:$D70)</f>
        <v>0</v>
      </c>
      <c r="T70" s="35">
        <f>DSUM($B$57:$Y$61,T$57,$C$68:$D70)</f>
        <v>0</v>
      </c>
      <c r="U70" s="35">
        <f>DSUM($B$57:$Y$61,U$57,$C$68:$D70)</f>
        <v>0</v>
      </c>
      <c r="V70" s="35">
        <f>DSUM($B$57:$Y$61,V$57,$C$68:$D70)</f>
        <v>0</v>
      </c>
      <c r="W70" s="35">
        <f>DSUM($B$57:$Y$61,W$57,$C$68:$D70)</f>
        <v>0</v>
      </c>
      <c r="X70" s="35">
        <f>DSUM($B$57:$Y$61,X$57,$C$68:$D70)</f>
        <v>0</v>
      </c>
      <c r="Y70" s="35">
        <f>DSUM($B$57:$Y$61,Y$57,$C$68:$D70)</f>
        <v>0</v>
      </c>
      <c r="Z70" s="7"/>
      <c r="AA70" s="7"/>
      <c r="AB70" s="7"/>
      <c r="AC70" s="7"/>
    </row>
    <row r="71" spans="1:29" customFormat="1">
      <c r="A71" s="7"/>
      <c r="B71" s="7" t="s">
        <v>74</v>
      </c>
      <c r="C71" s="50" t="s">
        <v>75</v>
      </c>
      <c r="D71" s="50" t="s">
        <v>76</v>
      </c>
      <c r="E71" s="35">
        <f>DSUM($B$57:$Y$61,E$57,$C$68:$D71)</f>
        <v>0</v>
      </c>
      <c r="F71" s="35">
        <f>DSUM($B$57:$Y$61,F$57,$C$68:$D71)</f>
        <v>0</v>
      </c>
      <c r="G71" s="35">
        <f>DSUM($B$57:$Y$61,G$57,$C$68:$D71)</f>
        <v>0</v>
      </c>
      <c r="H71" s="35">
        <f>DSUM($B$57:$Y$61,H$57,$C$68:$D71)</f>
        <v>0</v>
      </c>
      <c r="I71" s="35">
        <f>DSUM($B$57:$Y$61,I$57,$C$68:$D71)</f>
        <v>0</v>
      </c>
      <c r="J71" s="35">
        <f>DSUM($B$57:$Y$61,J$57,$C$68:$D71)</f>
        <v>0</v>
      </c>
      <c r="K71" s="35">
        <f>DSUM($B$57:$Y$61,K$57,$C$68:$D71)</f>
        <v>0</v>
      </c>
      <c r="L71" s="35">
        <f>DSUM($B$57:$Y$61,L$57,$C$68:$D71)</f>
        <v>0</v>
      </c>
      <c r="M71" s="35">
        <f>DSUM($B$57:$Y$61,M$57,$C$68:$D71)</f>
        <v>0</v>
      </c>
      <c r="N71" s="35">
        <f>DSUM($B$57:$Y$61,N$57,$C$68:$D71)</f>
        <v>0</v>
      </c>
      <c r="O71" s="35">
        <f>DSUM($B$57:$Y$61,O$57,$C$68:$D71)</f>
        <v>0</v>
      </c>
      <c r="P71" s="35">
        <f>DSUM($B$57:$Y$61,P$57,$C$68:$D71)</f>
        <v>0</v>
      </c>
      <c r="Q71" s="35">
        <f>DSUM($B$57:$Y$61,Q$57,$C$68:$D71)</f>
        <v>0</v>
      </c>
      <c r="R71" s="35">
        <f>DSUM($B$57:$Y$61,R$57,$C$68:$D71)</f>
        <v>0</v>
      </c>
      <c r="S71" s="35">
        <f>DSUM($B$57:$Y$61,S$57,$C$68:$D71)</f>
        <v>0</v>
      </c>
      <c r="T71" s="35">
        <f>DSUM($B$57:$Y$61,T$57,$C$68:$D71)</f>
        <v>0</v>
      </c>
      <c r="U71" s="35">
        <f>DSUM($B$57:$Y$61,U$57,$C$68:$D71)</f>
        <v>0</v>
      </c>
      <c r="V71" s="35">
        <f>DSUM($B$57:$Y$61,V$57,$C$68:$D71)</f>
        <v>0</v>
      </c>
      <c r="W71" s="35">
        <f>DSUM($B$57:$Y$61,W$57,$C$68:$D71)</f>
        <v>0</v>
      </c>
      <c r="X71" s="35">
        <f>DSUM($B$57:$Y$61,X$57,$C$68:$D71)</f>
        <v>0</v>
      </c>
      <c r="Y71" s="35">
        <f>DSUM($B$57:$Y$61,Y$57,$C$68:$D71)</f>
        <v>0</v>
      </c>
      <c r="Z71" s="7"/>
      <c r="AA71" s="7"/>
      <c r="AB71" s="7"/>
      <c r="AC71" s="7"/>
    </row>
    <row r="72" spans="1:29" customFormat="1">
      <c r="A72" s="7"/>
      <c r="B72" s="7" t="s">
        <v>77</v>
      </c>
      <c r="C72" s="50" t="s">
        <v>78</v>
      </c>
      <c r="D72" s="50" t="s">
        <v>79</v>
      </c>
      <c r="E72" s="35">
        <f>DSUM($B$57:$Y$61,E$57,$C$68:$D72)</f>
        <v>0</v>
      </c>
      <c r="F72" s="35">
        <f>DSUM($B$57:$Y$61,F$57,$C$68:$D72)</f>
        <v>0</v>
      </c>
      <c r="G72" s="35">
        <f>DSUM($B$57:$Y$61,G$57,$C$68:$D72)</f>
        <v>0</v>
      </c>
      <c r="H72" s="35">
        <f>DSUM($B$57:$Y$61,H$57,$C$68:$D72)</f>
        <v>0</v>
      </c>
      <c r="I72" s="35">
        <f>DSUM($B$57:$Y$61,I$57,$C$68:$D72)</f>
        <v>0</v>
      </c>
      <c r="J72" s="35">
        <f>DSUM($B$57:$Y$61,J$57,$C$68:$D72)</f>
        <v>0</v>
      </c>
      <c r="K72" s="35">
        <f>DSUM($B$57:$Y$61,K$57,$C$68:$D72)</f>
        <v>0</v>
      </c>
      <c r="L72" s="35">
        <f>DSUM($B$57:$Y$61,L$57,$C$68:$D72)</f>
        <v>0</v>
      </c>
      <c r="M72" s="35">
        <f>DSUM($B$57:$Y$61,M$57,$C$68:$D72)</f>
        <v>0</v>
      </c>
      <c r="N72" s="35">
        <f>DSUM($B$57:$Y$61,N$57,$C$68:$D72)</f>
        <v>0</v>
      </c>
      <c r="O72" s="35">
        <f>DSUM($B$57:$Y$61,O$57,$C$68:$D72)</f>
        <v>0</v>
      </c>
      <c r="P72" s="35">
        <f>DSUM($B$57:$Y$61,P$57,$C$68:$D72)</f>
        <v>0</v>
      </c>
      <c r="Q72" s="35">
        <f>DSUM($B$57:$Y$61,Q$57,$C$68:$D72)</f>
        <v>0</v>
      </c>
      <c r="R72" s="35">
        <f>DSUM($B$57:$Y$61,R$57,$C$68:$D72)</f>
        <v>0</v>
      </c>
      <c r="S72" s="35">
        <f>DSUM($B$57:$Y$61,S$57,$C$68:$D72)</f>
        <v>0</v>
      </c>
      <c r="T72" s="35">
        <f>DSUM($B$57:$Y$61,T$57,$C$68:$D72)</f>
        <v>0</v>
      </c>
      <c r="U72" s="35">
        <f>DSUM($B$57:$Y$61,U$57,$C$68:$D72)</f>
        <v>0</v>
      </c>
      <c r="V72" s="35">
        <f>DSUM($B$57:$Y$61,V$57,$C$68:$D72)</f>
        <v>0</v>
      </c>
      <c r="W72" s="35">
        <f>DSUM($B$57:$Y$61,W$57,$C$68:$D72)</f>
        <v>0</v>
      </c>
      <c r="X72" s="35">
        <f>DSUM($B$57:$Y$61,X$57,$C$68:$D72)</f>
        <v>0</v>
      </c>
      <c r="Y72" s="35">
        <f>DSUM($B$57:$Y$61,Y$57,$C$68:$D72)</f>
        <v>0</v>
      </c>
      <c r="Z72" s="7"/>
      <c r="AA72" s="7"/>
      <c r="AB72" s="7"/>
      <c r="AC72" s="7"/>
    </row>
    <row r="73" spans="1:29" customFormat="1">
      <c r="A73" s="7"/>
      <c r="B73" s="7" t="s">
        <v>80</v>
      </c>
      <c r="C73" s="50" t="s">
        <v>81</v>
      </c>
      <c r="D73" s="50" t="s">
        <v>82</v>
      </c>
      <c r="E73" s="35">
        <f>DSUM($B$57:$Y$61,E$57,$C$68:$D73)</f>
        <v>0</v>
      </c>
      <c r="F73" s="35">
        <f>DSUM($B$57:$Y$61,F$57,$C$68:$D73)</f>
        <v>0</v>
      </c>
      <c r="G73" s="35">
        <f>DSUM($B$57:$Y$61,G$57,$C$68:$D73)</f>
        <v>0</v>
      </c>
      <c r="H73" s="35">
        <f>DSUM($B$57:$Y$61,H$57,$C$68:$D73)</f>
        <v>0</v>
      </c>
      <c r="I73" s="35">
        <f>DSUM($B$57:$Y$61,I$57,$C$68:$D73)</f>
        <v>0</v>
      </c>
      <c r="J73" s="35">
        <f>DSUM($B$57:$Y$61,J$57,$C$68:$D73)</f>
        <v>0</v>
      </c>
      <c r="K73" s="35">
        <f>DSUM($B$57:$Y$61,K$57,$C$68:$D73)</f>
        <v>0</v>
      </c>
      <c r="L73" s="35">
        <f>DSUM($B$57:$Y$61,L$57,$C$68:$D73)</f>
        <v>0</v>
      </c>
      <c r="M73" s="35">
        <f>DSUM($B$57:$Y$61,M$57,$C$68:$D73)</f>
        <v>0</v>
      </c>
      <c r="N73" s="35">
        <f>DSUM($B$57:$Y$61,N$57,$C$68:$D73)</f>
        <v>0</v>
      </c>
      <c r="O73" s="35">
        <f>DSUM($B$57:$Y$61,O$57,$C$68:$D73)</f>
        <v>0</v>
      </c>
      <c r="P73" s="35">
        <f>DSUM($B$57:$Y$61,P$57,$C$68:$D73)</f>
        <v>0</v>
      </c>
      <c r="Q73" s="35">
        <f>DSUM($B$57:$Y$61,Q$57,$C$68:$D73)</f>
        <v>0</v>
      </c>
      <c r="R73" s="35">
        <f>DSUM($B$57:$Y$61,R$57,$C$68:$D73)</f>
        <v>0</v>
      </c>
      <c r="S73" s="35">
        <f>DSUM($B$57:$Y$61,S$57,$C$68:$D73)</f>
        <v>0</v>
      </c>
      <c r="T73" s="35">
        <f>DSUM($B$57:$Y$61,T$57,$C$68:$D73)</f>
        <v>0</v>
      </c>
      <c r="U73" s="35">
        <f>DSUM($B$57:$Y$61,U$57,$C$68:$D73)</f>
        <v>0</v>
      </c>
      <c r="V73" s="35">
        <f>DSUM($B$57:$Y$61,V$57,$C$68:$D73)</f>
        <v>0</v>
      </c>
      <c r="W73" s="35">
        <f>DSUM($B$57:$Y$61,W$57,$C$68:$D73)</f>
        <v>0</v>
      </c>
      <c r="X73" s="35">
        <f>DSUM($B$57:$Y$61,X$57,$C$68:$D73)</f>
        <v>0</v>
      </c>
      <c r="Y73" s="35">
        <f>DSUM($B$57:$Y$61,Y$57,$C$68:$D73)</f>
        <v>0</v>
      </c>
      <c r="Z73" s="7"/>
      <c r="AA73" s="7"/>
      <c r="AB73" s="7"/>
      <c r="AC73" s="7"/>
    </row>
    <row r="74" spans="1:29" customFormat="1">
      <c r="A74" s="7"/>
      <c r="B74" s="7" t="s">
        <v>83</v>
      </c>
      <c r="C74" s="50" t="s">
        <v>84</v>
      </c>
      <c r="D74" s="50" t="s">
        <v>85</v>
      </c>
      <c r="E74" s="35">
        <f>DSUM($B$57:$Y$61,E$57,$C$68:$D74)</f>
        <v>0</v>
      </c>
      <c r="F74" s="35">
        <f>DSUM($B$57:$Y$61,F$57,$C$68:$D74)</f>
        <v>0</v>
      </c>
      <c r="G74" s="35">
        <f>DSUM($B$57:$Y$61,G$57,$C$68:$D74)</f>
        <v>0</v>
      </c>
      <c r="H74" s="35">
        <f>DSUM($B$57:$Y$61,H$57,$C$68:$D74)</f>
        <v>0</v>
      </c>
      <c r="I74" s="35">
        <f>DSUM($B$57:$Y$61,I$57,$C$68:$D74)</f>
        <v>0</v>
      </c>
      <c r="J74" s="35">
        <f>DSUM($B$57:$Y$61,J$57,$C$68:$D74)</f>
        <v>0</v>
      </c>
      <c r="K74" s="35">
        <f>DSUM($B$57:$Y$61,K$57,$C$68:$D74)</f>
        <v>0</v>
      </c>
      <c r="L74" s="35">
        <f>DSUM($B$57:$Y$61,L$57,$C$68:$D74)</f>
        <v>0</v>
      </c>
      <c r="M74" s="35">
        <f>DSUM($B$57:$Y$61,M$57,$C$68:$D74)</f>
        <v>0</v>
      </c>
      <c r="N74" s="35">
        <f>DSUM($B$57:$Y$61,N$57,$C$68:$D74)</f>
        <v>0</v>
      </c>
      <c r="O74" s="35">
        <f>DSUM($B$57:$Y$61,O$57,$C$68:$D74)</f>
        <v>0</v>
      </c>
      <c r="P74" s="35">
        <f>DSUM($B$57:$Y$61,P$57,$C$68:$D74)</f>
        <v>0</v>
      </c>
      <c r="Q74" s="35">
        <f>DSUM($B$57:$Y$61,Q$57,$C$68:$D74)</f>
        <v>0</v>
      </c>
      <c r="R74" s="35">
        <f>DSUM($B$57:$Y$61,R$57,$C$68:$D74)</f>
        <v>0</v>
      </c>
      <c r="S74" s="35">
        <f>DSUM($B$57:$Y$61,S$57,$C$68:$D74)</f>
        <v>0</v>
      </c>
      <c r="T74" s="35">
        <f>DSUM($B$57:$Y$61,T$57,$C$68:$D74)</f>
        <v>0</v>
      </c>
      <c r="U74" s="35">
        <f>DSUM($B$57:$Y$61,U$57,$C$68:$D74)</f>
        <v>0</v>
      </c>
      <c r="V74" s="35">
        <f>DSUM($B$57:$Y$61,V$57,$C$68:$D74)</f>
        <v>0</v>
      </c>
      <c r="W74" s="35">
        <f>DSUM($B$57:$Y$61,W$57,$C$68:$D74)</f>
        <v>0</v>
      </c>
      <c r="X74" s="35">
        <f>DSUM($B$57:$Y$61,X$57,$C$68:$D74)</f>
        <v>0</v>
      </c>
      <c r="Y74" s="35">
        <f>DSUM($B$57:$Y$61,Y$57,$C$68:$D74)</f>
        <v>0</v>
      </c>
      <c r="Z74" s="7"/>
      <c r="AA74" s="7"/>
      <c r="AB74" s="7"/>
      <c r="AC74" s="7"/>
    </row>
    <row r="75" spans="1:29" customFormat="1">
      <c r="A75" s="7"/>
      <c r="B75" s="7" t="s">
        <v>86</v>
      </c>
      <c r="C75" s="50" t="s">
        <v>87</v>
      </c>
      <c r="D75" s="50" t="s">
        <v>88</v>
      </c>
      <c r="E75" s="35">
        <f>DSUM($B$57:$Y$61,E$57,$C$68:$D75)</f>
        <v>0</v>
      </c>
      <c r="F75" s="35">
        <f>DSUM($B$57:$Y$61,F$57,$C$68:$D75)</f>
        <v>0</v>
      </c>
      <c r="G75" s="35">
        <f>DSUM($B$57:$Y$61,G$57,$C$68:$D75)</f>
        <v>0</v>
      </c>
      <c r="H75" s="35">
        <f>DSUM($B$57:$Y$61,H$57,$C$68:$D75)</f>
        <v>0</v>
      </c>
      <c r="I75" s="35">
        <f>DSUM($B$57:$Y$61,I$57,$C$68:$D75)</f>
        <v>0</v>
      </c>
      <c r="J75" s="35">
        <f>DSUM($B$57:$Y$61,J$57,$C$68:$D75)</f>
        <v>0</v>
      </c>
      <c r="K75" s="35">
        <f>DSUM($B$57:$Y$61,K$57,$C$68:$D75)</f>
        <v>0</v>
      </c>
      <c r="L75" s="35">
        <f>DSUM($B$57:$Y$61,L$57,$C$68:$D75)</f>
        <v>0</v>
      </c>
      <c r="M75" s="35">
        <f>DSUM($B$57:$Y$61,M$57,$C$68:$D75)</f>
        <v>0</v>
      </c>
      <c r="N75" s="35">
        <f>DSUM($B$57:$Y$61,N$57,$C$68:$D75)</f>
        <v>0</v>
      </c>
      <c r="O75" s="35">
        <f>DSUM($B$57:$Y$61,O$57,$C$68:$D75)</f>
        <v>0</v>
      </c>
      <c r="P75" s="35">
        <f>DSUM($B$57:$Y$61,P$57,$C$68:$D75)</f>
        <v>0</v>
      </c>
      <c r="Q75" s="35">
        <f>DSUM($B$57:$Y$61,Q$57,$C$68:$D75)</f>
        <v>0</v>
      </c>
      <c r="R75" s="35">
        <f>DSUM($B$57:$Y$61,R$57,$C$68:$D75)</f>
        <v>0</v>
      </c>
      <c r="S75" s="35">
        <f>DSUM($B$57:$Y$61,S$57,$C$68:$D75)</f>
        <v>0</v>
      </c>
      <c r="T75" s="35">
        <f>DSUM($B$57:$Y$61,T$57,$C$68:$D75)</f>
        <v>0</v>
      </c>
      <c r="U75" s="35">
        <f>DSUM($B$57:$Y$61,U$57,$C$68:$D75)</f>
        <v>0</v>
      </c>
      <c r="V75" s="35">
        <f>DSUM($B$57:$Y$61,V$57,$C$68:$D75)</f>
        <v>0</v>
      </c>
      <c r="W75" s="35">
        <f>DSUM($B$57:$Y$61,W$57,$C$68:$D75)</f>
        <v>0</v>
      </c>
      <c r="X75" s="35">
        <f>DSUM($B$57:$Y$61,X$57,$C$68:$D75)</f>
        <v>0</v>
      </c>
      <c r="Y75" s="35">
        <f>DSUM($B$57:$Y$61,Y$57,$C$68:$D75)</f>
        <v>0</v>
      </c>
      <c r="Z75" s="7"/>
      <c r="AA75" s="7"/>
      <c r="AB75" s="7"/>
      <c r="AC75" s="7"/>
    </row>
    <row r="76" spans="1:29" customFormat="1">
      <c r="A76" s="7"/>
      <c r="B76" s="7" t="s">
        <v>89</v>
      </c>
      <c r="C76" s="50" t="s">
        <v>90</v>
      </c>
      <c r="D76" s="50" t="s">
        <v>91</v>
      </c>
      <c r="E76" s="35">
        <f>DSUM($B$57:$Y$61,E$57,$C$68:$D76)</f>
        <v>0</v>
      </c>
      <c r="F76" s="35">
        <f>DSUM($B$57:$Y$61,F$57,$C$68:$D76)</f>
        <v>0</v>
      </c>
      <c r="G76" s="35">
        <f>DSUM($B$57:$Y$61,G$57,$C$68:$D76)</f>
        <v>0</v>
      </c>
      <c r="H76" s="35">
        <f>DSUM($B$57:$Y$61,H$57,$C$68:$D76)</f>
        <v>0</v>
      </c>
      <c r="I76" s="35">
        <f>DSUM($B$57:$Y$61,I$57,$C$68:$D76)</f>
        <v>0</v>
      </c>
      <c r="J76" s="35">
        <f>DSUM($B$57:$Y$61,J$57,$C$68:$D76)</f>
        <v>0</v>
      </c>
      <c r="K76" s="35">
        <f>DSUM($B$57:$Y$61,K$57,$C$68:$D76)</f>
        <v>0</v>
      </c>
      <c r="L76" s="35">
        <f>DSUM($B$57:$Y$61,L$57,$C$68:$D76)</f>
        <v>0</v>
      </c>
      <c r="M76" s="35">
        <f>DSUM($B$57:$Y$61,M$57,$C$68:$D76)</f>
        <v>0</v>
      </c>
      <c r="N76" s="35">
        <f>DSUM($B$57:$Y$61,N$57,$C$68:$D76)</f>
        <v>0</v>
      </c>
      <c r="O76" s="35">
        <f>DSUM($B$57:$Y$61,O$57,$C$68:$D76)</f>
        <v>0</v>
      </c>
      <c r="P76" s="35">
        <f>DSUM($B$57:$Y$61,P$57,$C$68:$D76)</f>
        <v>0</v>
      </c>
      <c r="Q76" s="35">
        <f>DSUM($B$57:$Y$61,Q$57,$C$68:$D76)</f>
        <v>0</v>
      </c>
      <c r="R76" s="35">
        <f>DSUM($B$57:$Y$61,R$57,$C$68:$D76)</f>
        <v>0</v>
      </c>
      <c r="S76" s="35">
        <f>DSUM($B$57:$Y$61,S$57,$C$68:$D76)</f>
        <v>0</v>
      </c>
      <c r="T76" s="35">
        <f>DSUM($B$57:$Y$61,T$57,$C$68:$D76)</f>
        <v>0</v>
      </c>
      <c r="U76" s="35">
        <f>DSUM($B$57:$Y$61,U$57,$C$68:$D76)</f>
        <v>0</v>
      </c>
      <c r="V76" s="35">
        <f>DSUM($B$57:$Y$61,V$57,$C$68:$D76)</f>
        <v>0</v>
      </c>
      <c r="W76" s="35">
        <f>DSUM($B$57:$Y$61,W$57,$C$68:$D76)</f>
        <v>0</v>
      </c>
      <c r="X76" s="35">
        <f>DSUM($B$57:$Y$61,X$57,$C$68:$D76)</f>
        <v>0</v>
      </c>
      <c r="Y76" s="35">
        <f>DSUM($B$57:$Y$61,Y$57,$C$68:$D76)</f>
        <v>0</v>
      </c>
      <c r="Z76" s="7"/>
      <c r="AA76" s="7"/>
      <c r="AB76" s="7"/>
      <c r="AC76" s="7"/>
    </row>
    <row r="77" spans="1:29" customFormat="1">
      <c r="A77" s="7"/>
      <c r="B77" s="7" t="s">
        <v>92</v>
      </c>
      <c r="C77" s="50" t="s">
        <v>93</v>
      </c>
      <c r="D77" s="50" t="s">
        <v>94</v>
      </c>
      <c r="E77" s="35">
        <f>DSUM($B$57:$Y$61,E$57,$C$68:$D77)</f>
        <v>0</v>
      </c>
      <c r="F77" s="35">
        <f>DSUM($B$57:$Y$61,F$57,$C$68:$D77)</f>
        <v>0</v>
      </c>
      <c r="G77" s="35">
        <f>DSUM($B$57:$Y$61,G$57,$C$68:$D77)</f>
        <v>0</v>
      </c>
      <c r="H77" s="35">
        <f>DSUM($B$57:$Y$61,H$57,$C$68:$D77)</f>
        <v>0</v>
      </c>
      <c r="I77" s="35">
        <f>DSUM($B$57:$Y$61,I$57,$C$68:$D77)</f>
        <v>0</v>
      </c>
      <c r="J77" s="35">
        <f>DSUM($B$57:$Y$61,J$57,$C$68:$D77)</f>
        <v>0</v>
      </c>
      <c r="K77" s="35">
        <f>DSUM($B$57:$Y$61,K$57,$C$68:$D77)</f>
        <v>0</v>
      </c>
      <c r="L77" s="35">
        <f>DSUM($B$57:$Y$61,L$57,$C$68:$D77)</f>
        <v>0</v>
      </c>
      <c r="M77" s="35">
        <f>DSUM($B$57:$Y$61,M$57,$C$68:$D77)</f>
        <v>0</v>
      </c>
      <c r="N77" s="35">
        <f>DSUM($B$57:$Y$61,N$57,$C$68:$D77)</f>
        <v>0</v>
      </c>
      <c r="O77" s="35">
        <f>DSUM($B$57:$Y$61,O$57,$C$68:$D77)</f>
        <v>0</v>
      </c>
      <c r="P77" s="35">
        <f>DSUM($B$57:$Y$61,P$57,$C$68:$D77)</f>
        <v>0</v>
      </c>
      <c r="Q77" s="35">
        <f>DSUM($B$57:$Y$61,Q$57,$C$68:$D77)</f>
        <v>0</v>
      </c>
      <c r="R77" s="35">
        <f>DSUM($B$57:$Y$61,R$57,$C$68:$D77)</f>
        <v>0</v>
      </c>
      <c r="S77" s="35">
        <f>DSUM($B$57:$Y$61,S$57,$C$68:$D77)</f>
        <v>0</v>
      </c>
      <c r="T77" s="35">
        <f>DSUM($B$57:$Y$61,T$57,$C$68:$D77)</f>
        <v>0</v>
      </c>
      <c r="U77" s="35">
        <f>DSUM($B$57:$Y$61,U$57,$C$68:$D77)</f>
        <v>0</v>
      </c>
      <c r="V77" s="35">
        <f>DSUM($B$57:$Y$61,V$57,$C$68:$D77)</f>
        <v>0</v>
      </c>
      <c r="W77" s="35">
        <f>DSUM($B$57:$Y$61,W$57,$C$68:$D77)</f>
        <v>0</v>
      </c>
      <c r="X77" s="35">
        <f>DSUM($B$57:$Y$61,X$57,$C$68:$D77)</f>
        <v>0</v>
      </c>
      <c r="Y77" s="35">
        <f>DSUM($B$57:$Y$61,Y$57,$C$68:$D77)</f>
        <v>0</v>
      </c>
      <c r="Z77" s="7"/>
      <c r="AA77" s="7"/>
      <c r="AB77" s="7"/>
      <c r="AC77" s="7"/>
    </row>
    <row r="78" spans="1:29" customFormat="1">
      <c r="A78" s="7"/>
      <c r="B78" s="7" t="s">
        <v>95</v>
      </c>
      <c r="C78" s="50" t="s">
        <v>96</v>
      </c>
      <c r="D78" s="50" t="s">
        <v>97</v>
      </c>
      <c r="E78" s="35">
        <f>DSUM($B$57:$Y$61,E$57,$C$68:$D78)</f>
        <v>0</v>
      </c>
      <c r="F78" s="35">
        <f>DSUM($B$57:$Y$61,F$57,$C$68:$D78)</f>
        <v>0</v>
      </c>
      <c r="G78" s="35">
        <f>DSUM($B$57:$Y$61,G$57,$C$68:$D78)</f>
        <v>0</v>
      </c>
      <c r="H78" s="35">
        <f>DSUM($B$57:$Y$61,H$57,$C$68:$D78)</f>
        <v>0</v>
      </c>
      <c r="I78" s="35">
        <f>DSUM($B$57:$Y$61,I$57,$C$68:$D78)</f>
        <v>0</v>
      </c>
      <c r="J78" s="35">
        <f>DSUM($B$57:$Y$61,J$57,$C$68:$D78)</f>
        <v>0</v>
      </c>
      <c r="K78" s="35">
        <f>DSUM($B$57:$Y$61,K$57,$C$68:$D78)</f>
        <v>0</v>
      </c>
      <c r="L78" s="35">
        <f>DSUM($B$57:$Y$61,L$57,$C$68:$D78)</f>
        <v>0</v>
      </c>
      <c r="M78" s="35">
        <f>DSUM($B$57:$Y$61,M$57,$C$68:$D78)</f>
        <v>0</v>
      </c>
      <c r="N78" s="35">
        <f>DSUM($B$57:$Y$61,N$57,$C$68:$D78)</f>
        <v>0</v>
      </c>
      <c r="O78" s="35">
        <f>DSUM($B$57:$Y$61,O$57,$C$68:$D78)</f>
        <v>0</v>
      </c>
      <c r="P78" s="35">
        <f>DSUM($B$57:$Y$61,P$57,$C$68:$D78)</f>
        <v>0</v>
      </c>
      <c r="Q78" s="35">
        <f>DSUM($B$57:$Y$61,Q$57,$C$68:$D78)</f>
        <v>0</v>
      </c>
      <c r="R78" s="35">
        <f>DSUM($B$57:$Y$61,R$57,$C$68:$D78)</f>
        <v>0</v>
      </c>
      <c r="S78" s="35">
        <f>DSUM($B$57:$Y$61,S$57,$C$68:$D78)</f>
        <v>0</v>
      </c>
      <c r="T78" s="35">
        <f>DSUM($B$57:$Y$61,T$57,$C$68:$D78)</f>
        <v>0</v>
      </c>
      <c r="U78" s="35">
        <f>DSUM($B$57:$Y$61,U$57,$C$68:$D78)</f>
        <v>0</v>
      </c>
      <c r="V78" s="35">
        <f>DSUM($B$57:$Y$61,V$57,$C$68:$D78)</f>
        <v>0</v>
      </c>
      <c r="W78" s="35">
        <f>DSUM($B$57:$Y$61,W$57,$C$68:$D78)</f>
        <v>0</v>
      </c>
      <c r="X78" s="35">
        <f>DSUM($B$57:$Y$61,X$57,$C$68:$D78)</f>
        <v>0</v>
      </c>
      <c r="Y78" s="35">
        <f>DSUM($B$57:$Y$61,Y$57,$C$68:$D78)</f>
        <v>0</v>
      </c>
      <c r="Z78" s="7"/>
      <c r="AA78" s="7"/>
      <c r="AB78" s="7"/>
      <c r="AC78" s="7"/>
    </row>
    <row r="79" spans="1:29" customFormat="1">
      <c r="A79" s="7"/>
      <c r="B79" s="7" t="s">
        <v>98</v>
      </c>
      <c r="C79" s="50" t="s">
        <v>99</v>
      </c>
      <c r="D79" s="50" t="s">
        <v>100</v>
      </c>
      <c r="E79" s="35">
        <f>DSUM($B$57:$Y$61,E$57,$C$68:$D79)</f>
        <v>0</v>
      </c>
      <c r="F79" s="35">
        <f>DSUM($B$57:$Y$61,F$57,$C$68:$D79)</f>
        <v>0</v>
      </c>
      <c r="G79" s="35">
        <f>DSUM($B$57:$Y$61,G$57,$C$68:$D79)</f>
        <v>0</v>
      </c>
      <c r="H79" s="35">
        <f>DSUM($B$57:$Y$61,H$57,$C$68:$D79)</f>
        <v>0</v>
      </c>
      <c r="I79" s="35">
        <f>DSUM($B$57:$Y$61,I$57,$C$68:$D79)</f>
        <v>0</v>
      </c>
      <c r="J79" s="35">
        <f>DSUM($B$57:$Y$61,J$57,$C$68:$D79)</f>
        <v>0</v>
      </c>
      <c r="K79" s="35">
        <f>DSUM($B$57:$Y$61,K$57,$C$68:$D79)</f>
        <v>0</v>
      </c>
      <c r="L79" s="35">
        <f>DSUM($B$57:$Y$61,L$57,$C$68:$D79)</f>
        <v>0</v>
      </c>
      <c r="M79" s="35">
        <f>DSUM($B$57:$Y$61,M$57,$C$68:$D79)</f>
        <v>0</v>
      </c>
      <c r="N79" s="35">
        <f>DSUM($B$57:$Y$61,N$57,$C$68:$D79)</f>
        <v>0</v>
      </c>
      <c r="O79" s="35">
        <f>DSUM($B$57:$Y$61,O$57,$C$68:$D79)</f>
        <v>0</v>
      </c>
      <c r="P79" s="35">
        <f>DSUM($B$57:$Y$61,P$57,$C$68:$D79)</f>
        <v>0</v>
      </c>
      <c r="Q79" s="35">
        <f>DSUM($B$57:$Y$61,Q$57,$C$68:$D79)</f>
        <v>0</v>
      </c>
      <c r="R79" s="35">
        <f>DSUM($B$57:$Y$61,R$57,$C$68:$D79)</f>
        <v>0</v>
      </c>
      <c r="S79" s="35">
        <f>DSUM($B$57:$Y$61,S$57,$C$68:$D79)</f>
        <v>0</v>
      </c>
      <c r="T79" s="35">
        <f>DSUM($B$57:$Y$61,T$57,$C$68:$D79)</f>
        <v>0</v>
      </c>
      <c r="U79" s="35">
        <f>DSUM($B$57:$Y$61,U$57,$C$68:$D79)</f>
        <v>0</v>
      </c>
      <c r="V79" s="35">
        <f>DSUM($B$57:$Y$61,V$57,$C$68:$D79)</f>
        <v>0</v>
      </c>
      <c r="W79" s="35">
        <f>DSUM($B$57:$Y$61,W$57,$C$68:$D79)</f>
        <v>0</v>
      </c>
      <c r="X79" s="35">
        <f>DSUM($B$57:$Y$61,X$57,$C$68:$D79)</f>
        <v>0</v>
      </c>
      <c r="Y79" s="35">
        <f>DSUM($B$57:$Y$61,Y$57,$C$68:$D79)</f>
        <v>0</v>
      </c>
      <c r="Z79" s="7"/>
      <c r="AA79" s="7"/>
      <c r="AB79" s="7"/>
      <c r="AC79" s="7"/>
    </row>
    <row r="80" spans="1:29" customFormat="1">
      <c r="A80" s="7"/>
      <c r="B80" s="7" t="s">
        <v>101</v>
      </c>
      <c r="C80" s="50" t="s">
        <v>102</v>
      </c>
      <c r="D80" s="50" t="s">
        <v>103</v>
      </c>
      <c r="E80" s="35">
        <f>DSUM($B$57:$Y$61,E$57,$C$68:$D80)</f>
        <v>9.0187803965346203E-2</v>
      </c>
      <c r="F80" s="35">
        <f>DSUM($B$57:$Y$61,F$57,$C$68:$D80)</f>
        <v>0.20046778935459961</v>
      </c>
      <c r="G80" s="35">
        <f>DSUM($B$57:$Y$61,G$57,$C$68:$D80)</f>
        <v>0.3349065996909823</v>
      </c>
      <c r="H80" s="35">
        <f>DSUM($B$57:$Y$61,H$57,$C$68:$D80)</f>
        <v>0.490381229788519</v>
      </c>
      <c r="I80" s="35">
        <f>DSUM($B$57:$Y$61,I$57,$C$68:$D80)</f>
        <v>0.66706896450624242</v>
      </c>
      <c r="J80" s="35">
        <f>DSUM($B$57:$Y$61,J$57,$C$68:$D80)</f>
        <v>0.87295323937001335</v>
      </c>
      <c r="K80" s="35">
        <f>DSUM($B$57:$Y$61,K$57,$C$68:$D80)</f>
        <v>1.0979742759140552</v>
      </c>
      <c r="L80" s="35">
        <f>DSUM($B$57:$Y$61,L$57,$C$68:$D80)</f>
        <v>1.3268543511281266</v>
      </c>
      <c r="M80" s="35">
        <f>DSUM($B$57:$Y$61,M$57,$C$68:$D80)</f>
        <v>1.5413878308914193</v>
      </c>
      <c r="N80" s="35">
        <f>DSUM($B$57:$Y$61,N$57,$C$68:$D80)</f>
        <v>1.7244626637668077</v>
      </c>
      <c r="O80" s="35">
        <f>DSUM($B$57:$Y$61,O$57,$C$68:$D80)</f>
        <v>1.8645985342961229</v>
      </c>
      <c r="P80" s="35">
        <f>DSUM($B$57:$Y$61,P$57,$C$68:$D80)</f>
        <v>1.9589995172249131</v>
      </c>
      <c r="Q80" s="35">
        <f>DSUM($B$57:$Y$61,Q$57,$C$68:$D80)</f>
        <v>2.013441010380538</v>
      </c>
      <c r="R80" s="35">
        <f>DSUM($B$57:$Y$61,R$57,$C$68:$D80)</f>
        <v>2.0389533293874904</v>
      </c>
      <c r="S80" s="35">
        <f>DSUM($B$57:$Y$61,S$57,$C$68:$D80)</f>
        <v>2.0472012368720671</v>
      </c>
      <c r="T80" s="35">
        <f>DSUM($B$57:$Y$61,T$57,$C$68:$D80)</f>
        <v>2.5040574913040006</v>
      </c>
      <c r="U80" s="35">
        <f>DSUM($B$57:$Y$61,U$57,$C$68:$D80)</f>
        <v>2.4613398174724046</v>
      </c>
      <c r="V80" s="35">
        <f>DSUM($B$57:$Y$61,V$57,$C$68:$D80)</f>
        <v>2.412336380945499</v>
      </c>
      <c r="W80" s="35">
        <f>DSUM($B$57:$Y$61,W$57,$C$68:$D80)</f>
        <v>2.3698999125986298</v>
      </c>
      <c r="X80" s="35">
        <f>DSUM($B$57:$Y$61,X$57,$C$68:$D80)</f>
        <v>2.3277248103671351</v>
      </c>
      <c r="Y80" s="35">
        <f>DSUM($B$57:$Y$61,Y$57,$C$68:$D80)</f>
        <v>31.991940320213164</v>
      </c>
      <c r="Z80" s="7"/>
      <c r="AA80" s="7"/>
      <c r="AB80" s="7"/>
      <c r="AC80" s="7"/>
    </row>
    <row r="81" spans="1:29" customFormat="1">
      <c r="A81" s="7"/>
      <c r="B81" s="7" t="s">
        <v>104</v>
      </c>
      <c r="C81" s="50" t="s">
        <v>105</v>
      </c>
      <c r="D81" s="50" t="s">
        <v>106</v>
      </c>
      <c r="E81" s="35">
        <f>DSUM($B$57:$Y$61,E$57,$C$68:$D81)</f>
        <v>0.17921933056903083</v>
      </c>
      <c r="F81" s="35">
        <f>DSUM($B$57:$Y$61,F$57,$C$68:$D81)</f>
        <v>0.39836542668884256</v>
      </c>
      <c r="G81" s="35">
        <f>DSUM($B$57:$Y$61,G$57,$C$68:$D81)</f>
        <v>0.66551943789241197</v>
      </c>
      <c r="H81" s="35">
        <f>DSUM($B$57:$Y$61,H$57,$C$68:$D81)</f>
        <v>0.97447539314834342</v>
      </c>
      <c r="I81" s="35">
        <f>DSUM($B$57:$Y$61,I$57,$C$68:$D81)</f>
        <v>1.3255855892457691</v>
      </c>
      <c r="J81" s="35">
        <f>DSUM($B$57:$Y$61,J$57,$C$68:$D81)</f>
        <v>1.7347145434218043</v>
      </c>
      <c r="K81" s="35">
        <f>DSUM($B$57:$Y$61,K$57,$C$68:$D81)</f>
        <v>2.1818716728809973</v>
      </c>
      <c r="L81" s="35">
        <f>DSUM($B$57:$Y$61,L$57,$C$68:$D81)</f>
        <v>2.6366974038214774</v>
      </c>
      <c r="M81" s="35">
        <f>DSUM($B$57:$Y$61,M$57,$C$68:$D81)</f>
        <v>3.0630138783039413</v>
      </c>
      <c r="N81" s="35">
        <f>DSUM($B$57:$Y$61,N$57,$C$68:$D81)</f>
        <v>3.426816383181114</v>
      </c>
      <c r="O81" s="35">
        <f>DSUM($B$57:$Y$61,O$57,$C$68:$D81)</f>
        <v>3.7052914740550698</v>
      </c>
      <c r="P81" s="35">
        <f>DSUM($B$57:$Y$61,P$57,$C$68:$D81)</f>
        <v>3.8928831463399058</v>
      </c>
      <c r="Q81" s="35">
        <f>DSUM($B$57:$Y$61,Q$57,$C$68:$D81)</f>
        <v>4.0010681506258354</v>
      </c>
      <c r="R81" s="35">
        <f>DSUM($B$57:$Y$61,R$57,$C$68:$D81)</f>
        <v>4.0517657009891463</v>
      </c>
      <c r="S81" s="35">
        <f>DSUM($B$57:$Y$61,S$57,$C$68:$D81)</f>
        <v>4.0681557714087466</v>
      </c>
      <c r="T81" s="35">
        <f>DSUM($B$57:$Y$61,T$57,$C$68:$D81)</f>
        <v>4.9760110299426676</v>
      </c>
      <c r="U81" s="35">
        <f>DSUM($B$57:$Y$61,U$57,$C$68:$D81)</f>
        <v>4.8911233558785945</v>
      </c>
      <c r="V81" s="35">
        <f>DSUM($B$57:$Y$61,V$57,$C$68:$D81)</f>
        <v>4.7937447447605255</v>
      </c>
      <c r="W81" s="35">
        <f>DSUM($B$57:$Y$61,W$57,$C$68:$D81)</f>
        <v>4.7094158763942211</v>
      </c>
      <c r="X81" s="35">
        <f>DSUM($B$57:$Y$61,X$57,$C$68:$D81)</f>
        <v>4.6256063893430319</v>
      </c>
      <c r="Y81" s="35">
        <f>DSUM($B$57:$Y$61,Y$57,$C$68:$D81)</f>
        <v>63.573719235874293</v>
      </c>
      <c r="Z81" s="7"/>
      <c r="AA81" s="7"/>
      <c r="AB81" s="7"/>
      <c r="AC81" s="7"/>
    </row>
    <row r="82" spans="1:29" customFormat="1">
      <c r="A82" s="7"/>
      <c r="B82" s="7" t="s">
        <v>107</v>
      </c>
      <c r="C82" s="50" t="s">
        <v>108</v>
      </c>
      <c r="D82" s="50" t="s">
        <v>109</v>
      </c>
      <c r="E82" s="35">
        <f>DSUM($B$57:$Y$61,E$57,$C$68:$D82)</f>
        <v>0.17921933056903083</v>
      </c>
      <c r="F82" s="35">
        <f>DSUM($B$57:$Y$61,F$57,$C$68:$D82)</f>
        <v>0.39836542668884256</v>
      </c>
      <c r="G82" s="35">
        <f>DSUM($B$57:$Y$61,G$57,$C$68:$D82)</f>
        <v>0.66551943789241197</v>
      </c>
      <c r="H82" s="35">
        <f>DSUM($B$57:$Y$61,H$57,$C$68:$D82)</f>
        <v>0.97447539314834342</v>
      </c>
      <c r="I82" s="35">
        <f>DSUM($B$57:$Y$61,I$57,$C$68:$D82)</f>
        <v>1.3255855892457691</v>
      </c>
      <c r="J82" s="35">
        <f>DSUM($B$57:$Y$61,J$57,$C$68:$D82)</f>
        <v>1.7347145434218043</v>
      </c>
      <c r="K82" s="35">
        <f>DSUM($B$57:$Y$61,K$57,$C$68:$D82)</f>
        <v>2.1818716728809973</v>
      </c>
      <c r="L82" s="35">
        <f>DSUM($B$57:$Y$61,L$57,$C$68:$D82)</f>
        <v>2.6366974038214774</v>
      </c>
      <c r="M82" s="35">
        <f>DSUM($B$57:$Y$61,M$57,$C$68:$D82)</f>
        <v>3.0630138783039413</v>
      </c>
      <c r="N82" s="35">
        <f>DSUM($B$57:$Y$61,N$57,$C$68:$D82)</f>
        <v>3.426816383181114</v>
      </c>
      <c r="O82" s="35">
        <f>DSUM($B$57:$Y$61,O$57,$C$68:$D82)</f>
        <v>3.7052914740550698</v>
      </c>
      <c r="P82" s="35">
        <f>DSUM($B$57:$Y$61,P$57,$C$68:$D82)</f>
        <v>3.8928831463399058</v>
      </c>
      <c r="Q82" s="35">
        <f>DSUM($B$57:$Y$61,Q$57,$C$68:$D82)</f>
        <v>4.0010681506258354</v>
      </c>
      <c r="R82" s="35">
        <f>DSUM($B$57:$Y$61,R$57,$C$68:$D82)</f>
        <v>4.0517657009891463</v>
      </c>
      <c r="S82" s="35">
        <f>DSUM($B$57:$Y$61,S$57,$C$68:$D82)</f>
        <v>4.0681557714087466</v>
      </c>
      <c r="T82" s="35">
        <f>DSUM($B$57:$Y$61,T$57,$C$68:$D82)</f>
        <v>4.9760110299426676</v>
      </c>
      <c r="U82" s="35">
        <f>DSUM($B$57:$Y$61,U$57,$C$68:$D82)</f>
        <v>4.8911233558785945</v>
      </c>
      <c r="V82" s="35">
        <f>DSUM($B$57:$Y$61,V$57,$C$68:$D82)</f>
        <v>4.7937447447605255</v>
      </c>
      <c r="W82" s="35">
        <f>DSUM($B$57:$Y$61,W$57,$C$68:$D82)</f>
        <v>4.7094158763942211</v>
      </c>
      <c r="X82" s="35">
        <f>DSUM($B$57:$Y$61,X$57,$C$68:$D82)</f>
        <v>4.6256063893430319</v>
      </c>
      <c r="Y82" s="35">
        <f>DSUM($B$57:$Y$61,Y$57,$C$68:$D82)</f>
        <v>63.573719235874293</v>
      </c>
      <c r="Z82" s="7"/>
      <c r="AA82" s="7"/>
      <c r="AB82" s="7"/>
      <c r="AC82" s="7"/>
    </row>
    <row r="83" spans="1:29" customFormat="1">
      <c r="A83" s="7"/>
      <c r="B83" s="7" t="s">
        <v>110</v>
      </c>
      <c r="C83" s="50" t="s">
        <v>111</v>
      </c>
      <c r="D83" s="50" t="s">
        <v>112</v>
      </c>
      <c r="E83" s="35">
        <f>DSUM($B$57:$Y$61,E$57,$C$68:$D83)</f>
        <v>0.17921933056903083</v>
      </c>
      <c r="F83" s="35">
        <f>DSUM($B$57:$Y$61,F$57,$C$68:$D83)</f>
        <v>0.39836542668884256</v>
      </c>
      <c r="G83" s="35">
        <f>DSUM($B$57:$Y$61,G$57,$C$68:$D83)</f>
        <v>0.66551943789241197</v>
      </c>
      <c r="H83" s="35">
        <f>DSUM($B$57:$Y$61,H$57,$C$68:$D83)</f>
        <v>0.97447539314834342</v>
      </c>
      <c r="I83" s="35">
        <f>DSUM($B$57:$Y$61,I$57,$C$68:$D83)</f>
        <v>1.3255855892457691</v>
      </c>
      <c r="J83" s="35">
        <f>DSUM($B$57:$Y$61,J$57,$C$68:$D83)</f>
        <v>1.7347145434218043</v>
      </c>
      <c r="K83" s="35">
        <f>DSUM($B$57:$Y$61,K$57,$C$68:$D83)</f>
        <v>2.1818716728809973</v>
      </c>
      <c r="L83" s="35">
        <f>DSUM($B$57:$Y$61,L$57,$C$68:$D83)</f>
        <v>2.6366974038214774</v>
      </c>
      <c r="M83" s="35">
        <f>DSUM($B$57:$Y$61,M$57,$C$68:$D83)</f>
        <v>3.0630138783039413</v>
      </c>
      <c r="N83" s="35">
        <f>DSUM($B$57:$Y$61,N$57,$C$68:$D83)</f>
        <v>3.426816383181114</v>
      </c>
      <c r="O83" s="35">
        <f>DSUM($B$57:$Y$61,O$57,$C$68:$D83)</f>
        <v>3.7052914740550698</v>
      </c>
      <c r="P83" s="35">
        <f>DSUM($B$57:$Y$61,P$57,$C$68:$D83)</f>
        <v>3.8928831463399058</v>
      </c>
      <c r="Q83" s="35">
        <f>DSUM($B$57:$Y$61,Q$57,$C$68:$D83)</f>
        <v>4.0010681506258354</v>
      </c>
      <c r="R83" s="35">
        <f>DSUM($B$57:$Y$61,R$57,$C$68:$D83)</f>
        <v>4.0517657009891463</v>
      </c>
      <c r="S83" s="35">
        <f>DSUM($B$57:$Y$61,S$57,$C$68:$D83)</f>
        <v>4.0681557714087466</v>
      </c>
      <c r="T83" s="35">
        <f>DSUM($B$57:$Y$61,T$57,$C$68:$D83)</f>
        <v>4.9760110299426676</v>
      </c>
      <c r="U83" s="35">
        <f>DSUM($B$57:$Y$61,U$57,$C$68:$D83)</f>
        <v>4.8911233558785945</v>
      </c>
      <c r="V83" s="35">
        <f>DSUM($B$57:$Y$61,V$57,$C$68:$D83)</f>
        <v>4.7937447447605255</v>
      </c>
      <c r="W83" s="35">
        <f>DSUM($B$57:$Y$61,W$57,$C$68:$D83)</f>
        <v>4.7094158763942211</v>
      </c>
      <c r="X83" s="35">
        <f>DSUM($B$57:$Y$61,X$57,$C$68:$D83)</f>
        <v>4.6256063893430319</v>
      </c>
      <c r="Y83" s="35">
        <f>DSUM($B$57:$Y$61,Y$57,$C$68:$D83)</f>
        <v>63.573719235874293</v>
      </c>
      <c r="Z83" s="7"/>
      <c r="AA83" s="7"/>
      <c r="AB83" s="7"/>
      <c r="AC83" s="7"/>
    </row>
    <row r="84" spans="1:29" customFormat="1">
      <c r="A84" s="7"/>
      <c r="B84" s="7" t="s">
        <v>113</v>
      </c>
      <c r="C84" s="50" t="s">
        <v>114</v>
      </c>
      <c r="D84" s="50" t="s">
        <v>115</v>
      </c>
      <c r="E84" s="35">
        <f>DSUM($B$57:$Y$61,E$57,$C$68:$D84)</f>
        <v>0.40316235804870315</v>
      </c>
      <c r="F84" s="35">
        <f>DSUM($B$57:$Y$61,F$57,$C$68:$D84)</f>
        <v>0.89614186304021581</v>
      </c>
      <c r="G84" s="35">
        <f>DSUM($B$57:$Y$61,G$57,$C$68:$D84)</f>
        <v>1.4971174429457261</v>
      </c>
      <c r="H84" s="35">
        <f>DSUM($B$57:$Y$61,H$57,$C$68:$D84)</f>
        <v>2.1921284724964352</v>
      </c>
      <c r="I84" s="35">
        <f>DSUM($B$57:$Y$61,I$57,$C$68:$D84)</f>
        <v>2.9819674599769597</v>
      </c>
      <c r="J84" s="35">
        <f>DSUM($B$57:$Y$61,J$57,$C$68:$D84)</f>
        <v>3.9023223870258437</v>
      </c>
      <c r="K84" s="35">
        <f>DSUM($B$57:$Y$61,K$57,$C$68:$D84)</f>
        <v>4.9082234924404702</v>
      </c>
      <c r="L84" s="35">
        <f>DSUM($B$57:$Y$61,L$57,$C$68:$D84)</f>
        <v>5.9313754794777154</v>
      </c>
      <c r="M84" s="35">
        <f>DSUM($B$57:$Y$61,M$57,$C$68:$D84)</f>
        <v>6.8903945461244254</v>
      </c>
      <c r="N84" s="35">
        <f>DSUM($B$57:$Y$61,N$57,$C$68:$D84)</f>
        <v>7.708785482328774</v>
      </c>
      <c r="O84" s="35">
        <f>DSUM($B$57:$Y$61,O$57,$C$68:$D84)</f>
        <v>8.3352283662414948</v>
      </c>
      <c r="P84" s="35">
        <f>DSUM($B$57:$Y$61,P$57,$C$68:$D84)</f>
        <v>8.7572247028449475</v>
      </c>
      <c r="Q84" s="35">
        <f>DSUM($B$57:$Y$61,Q$57,$C$68:$D84)</f>
        <v>9.0005919852409981</v>
      </c>
      <c r="R84" s="35">
        <f>DSUM($B$57:$Y$61,R$57,$C$68:$D84)</f>
        <v>9.1146385218889634</v>
      </c>
      <c r="S84" s="35">
        <f>DSUM($B$57:$Y$61,S$57,$C$68:$D84)</f>
        <v>9.1515087602609633</v>
      </c>
      <c r="T84" s="35">
        <f>DSUM($B$57:$Y$61,T$57,$C$68:$D84)</f>
        <v>11.193772089977351</v>
      </c>
      <c r="U84" s="35">
        <f>DSUM($B$57:$Y$61,U$57,$C$68:$D84)</f>
        <v>11.002813253470823</v>
      </c>
      <c r="V84" s="35">
        <f>DSUM($B$57:$Y$61,V$57,$C$68:$D84)</f>
        <v>10.783755463458895</v>
      </c>
      <c r="W84" s="35">
        <f>DSUM($B$57:$Y$61,W$57,$C$68:$D84)</f>
        <v>10.594053686791213</v>
      </c>
      <c r="X84" s="35">
        <f>DSUM($B$57:$Y$61,X$57,$C$68:$D84)</f>
        <v>10.405520282949515</v>
      </c>
      <c r="Y84" s="35">
        <f>DSUM($B$57:$Y$61,Y$57,$C$68:$D84)</f>
        <v>143.01208734394328</v>
      </c>
      <c r="Z84" s="7"/>
      <c r="AA84" s="7"/>
      <c r="AB84" s="7"/>
      <c r="AC84" s="7"/>
    </row>
    <row r="85" spans="1:29" customFormat="1">
      <c r="A85" s="7"/>
      <c r="B85" s="7" t="s">
        <v>116</v>
      </c>
      <c r="C85" s="50" t="s">
        <v>117</v>
      </c>
      <c r="D85" s="50" t="s">
        <v>118</v>
      </c>
      <c r="E85" s="35">
        <f>DSUM($B$57:$Y$61,E$57,$C$68:$D85)</f>
        <v>0.40316235804870315</v>
      </c>
      <c r="F85" s="35">
        <f>DSUM($B$57:$Y$61,F$57,$C$68:$D85)</f>
        <v>0.89614186304021581</v>
      </c>
      <c r="G85" s="35">
        <f>DSUM($B$57:$Y$61,G$57,$C$68:$D85)</f>
        <v>1.4971174429457261</v>
      </c>
      <c r="H85" s="35">
        <f>DSUM($B$57:$Y$61,H$57,$C$68:$D85)</f>
        <v>2.1921284724964352</v>
      </c>
      <c r="I85" s="35">
        <f>DSUM($B$57:$Y$61,I$57,$C$68:$D85)</f>
        <v>2.9819674599769597</v>
      </c>
      <c r="J85" s="35">
        <f>DSUM($B$57:$Y$61,J$57,$C$68:$D85)</f>
        <v>3.9023223870258437</v>
      </c>
      <c r="K85" s="35">
        <f>DSUM($B$57:$Y$61,K$57,$C$68:$D85)</f>
        <v>4.9082234924404702</v>
      </c>
      <c r="L85" s="35">
        <f>DSUM($B$57:$Y$61,L$57,$C$68:$D85)</f>
        <v>5.9313754794777154</v>
      </c>
      <c r="M85" s="35">
        <f>DSUM($B$57:$Y$61,M$57,$C$68:$D85)</f>
        <v>6.8903945461244254</v>
      </c>
      <c r="N85" s="35">
        <f>DSUM($B$57:$Y$61,N$57,$C$68:$D85)</f>
        <v>7.708785482328774</v>
      </c>
      <c r="O85" s="35">
        <f>DSUM($B$57:$Y$61,O$57,$C$68:$D85)</f>
        <v>8.3352283662414948</v>
      </c>
      <c r="P85" s="35">
        <f>DSUM($B$57:$Y$61,P$57,$C$68:$D85)</f>
        <v>8.7572247028449475</v>
      </c>
      <c r="Q85" s="35">
        <f>DSUM($B$57:$Y$61,Q$57,$C$68:$D85)</f>
        <v>9.0005919852409981</v>
      </c>
      <c r="R85" s="35">
        <f>DSUM($B$57:$Y$61,R$57,$C$68:$D85)</f>
        <v>9.1146385218889634</v>
      </c>
      <c r="S85" s="35">
        <f>DSUM($B$57:$Y$61,S$57,$C$68:$D85)</f>
        <v>9.1515087602609633</v>
      </c>
      <c r="T85" s="35">
        <f>DSUM($B$57:$Y$61,T$57,$C$68:$D85)</f>
        <v>11.193772089977351</v>
      </c>
      <c r="U85" s="35">
        <f>DSUM($B$57:$Y$61,U$57,$C$68:$D85)</f>
        <v>11.002813253470823</v>
      </c>
      <c r="V85" s="35">
        <f>DSUM($B$57:$Y$61,V$57,$C$68:$D85)</f>
        <v>10.783755463458895</v>
      </c>
      <c r="W85" s="35">
        <f>DSUM($B$57:$Y$61,W$57,$C$68:$D85)</f>
        <v>10.594053686791213</v>
      </c>
      <c r="X85" s="35">
        <f>DSUM($B$57:$Y$61,X$57,$C$68:$D85)</f>
        <v>10.405520282949515</v>
      </c>
      <c r="Y85" s="35">
        <f>DSUM($B$57:$Y$61,Y$57,$C$68:$D85)</f>
        <v>143.01208734394328</v>
      </c>
      <c r="Z85" s="7"/>
      <c r="AA85" s="7"/>
      <c r="AB85" s="7"/>
      <c r="AC85" s="7"/>
    </row>
    <row r="86" spans="1:29" customFormat="1">
      <c r="A86" s="7"/>
      <c r="B86" s="7" t="s">
        <v>119</v>
      </c>
      <c r="C86" s="50" t="s">
        <v>120</v>
      </c>
      <c r="D86" s="50" t="s">
        <v>121</v>
      </c>
      <c r="E86" s="35">
        <f>DSUM($B$57:$Y$61,E$57,$C$68:$D86)</f>
        <v>0.40316235804870315</v>
      </c>
      <c r="F86" s="35">
        <f>DSUM($B$57:$Y$61,F$57,$C$68:$D86)</f>
        <v>0.89614186304021581</v>
      </c>
      <c r="G86" s="35">
        <f>DSUM($B$57:$Y$61,G$57,$C$68:$D86)</f>
        <v>1.4971174429457261</v>
      </c>
      <c r="H86" s="35">
        <f>DSUM($B$57:$Y$61,H$57,$C$68:$D86)</f>
        <v>2.1921284724964352</v>
      </c>
      <c r="I86" s="35">
        <f>DSUM($B$57:$Y$61,I$57,$C$68:$D86)</f>
        <v>2.9819674599769597</v>
      </c>
      <c r="J86" s="35">
        <f>DSUM($B$57:$Y$61,J$57,$C$68:$D86)</f>
        <v>3.9023223870258437</v>
      </c>
      <c r="K86" s="35">
        <f>DSUM($B$57:$Y$61,K$57,$C$68:$D86)</f>
        <v>4.9082234924404702</v>
      </c>
      <c r="L86" s="35">
        <f>DSUM($B$57:$Y$61,L$57,$C$68:$D86)</f>
        <v>5.9313754794777154</v>
      </c>
      <c r="M86" s="35">
        <f>DSUM($B$57:$Y$61,M$57,$C$68:$D86)</f>
        <v>6.8903945461244254</v>
      </c>
      <c r="N86" s="35">
        <f>DSUM($B$57:$Y$61,N$57,$C$68:$D86)</f>
        <v>7.708785482328774</v>
      </c>
      <c r="O86" s="35">
        <f>DSUM($B$57:$Y$61,O$57,$C$68:$D86)</f>
        <v>8.3352283662414948</v>
      </c>
      <c r="P86" s="35">
        <f>DSUM($B$57:$Y$61,P$57,$C$68:$D86)</f>
        <v>8.7572247028449475</v>
      </c>
      <c r="Q86" s="35">
        <f>DSUM($B$57:$Y$61,Q$57,$C$68:$D86)</f>
        <v>9.0005919852409981</v>
      </c>
      <c r="R86" s="35">
        <f>DSUM($B$57:$Y$61,R$57,$C$68:$D86)</f>
        <v>9.1146385218889634</v>
      </c>
      <c r="S86" s="35">
        <f>DSUM($B$57:$Y$61,S$57,$C$68:$D86)</f>
        <v>9.1515087602609633</v>
      </c>
      <c r="T86" s="35">
        <f>DSUM($B$57:$Y$61,T$57,$C$68:$D86)</f>
        <v>11.193772089977351</v>
      </c>
      <c r="U86" s="35">
        <f>DSUM($B$57:$Y$61,U$57,$C$68:$D86)</f>
        <v>11.002813253470823</v>
      </c>
      <c r="V86" s="35">
        <f>DSUM($B$57:$Y$61,V$57,$C$68:$D86)</f>
        <v>10.783755463458895</v>
      </c>
      <c r="W86" s="35">
        <f>DSUM($B$57:$Y$61,W$57,$C$68:$D86)</f>
        <v>10.594053686791213</v>
      </c>
      <c r="X86" s="35">
        <f>DSUM($B$57:$Y$61,X$57,$C$68:$D86)</f>
        <v>10.405520282949515</v>
      </c>
      <c r="Y86" s="35">
        <f>DSUM($B$57:$Y$61,Y$57,$C$68:$D86)</f>
        <v>143.01208734394328</v>
      </c>
      <c r="Z86" s="7"/>
      <c r="AA86" s="7"/>
      <c r="AB86" s="7"/>
      <c r="AC86" s="7"/>
    </row>
    <row r="87" spans="1:29" customFormat="1">
      <c r="A87" s="7"/>
      <c r="B87" s="7" t="s">
        <v>122</v>
      </c>
      <c r="C87" s="50" t="s">
        <v>123</v>
      </c>
      <c r="D87" s="50" t="s">
        <v>124</v>
      </c>
      <c r="E87" s="35">
        <f>DSUM($B$57:$Y$61,E$57,$C$68:$D87)</f>
        <v>0.40316235804870315</v>
      </c>
      <c r="F87" s="35">
        <f>DSUM($B$57:$Y$61,F$57,$C$68:$D87)</f>
        <v>0.89614186304021581</v>
      </c>
      <c r="G87" s="35">
        <f>DSUM($B$57:$Y$61,G$57,$C$68:$D87)</f>
        <v>1.4971174429457261</v>
      </c>
      <c r="H87" s="35">
        <f>DSUM($B$57:$Y$61,H$57,$C$68:$D87)</f>
        <v>2.1921284724964352</v>
      </c>
      <c r="I87" s="35">
        <f>DSUM($B$57:$Y$61,I$57,$C$68:$D87)</f>
        <v>2.9819674599769597</v>
      </c>
      <c r="J87" s="35">
        <f>DSUM($B$57:$Y$61,J$57,$C$68:$D87)</f>
        <v>3.9023223870258437</v>
      </c>
      <c r="K87" s="35">
        <f>DSUM($B$57:$Y$61,K$57,$C$68:$D87)</f>
        <v>4.9082234924404702</v>
      </c>
      <c r="L87" s="35">
        <f>DSUM($B$57:$Y$61,L$57,$C$68:$D87)</f>
        <v>5.9313754794777154</v>
      </c>
      <c r="M87" s="35">
        <f>DSUM($B$57:$Y$61,M$57,$C$68:$D87)</f>
        <v>6.8903945461244254</v>
      </c>
      <c r="N87" s="35">
        <f>DSUM($B$57:$Y$61,N$57,$C$68:$D87)</f>
        <v>7.708785482328774</v>
      </c>
      <c r="O87" s="35">
        <f>DSUM($B$57:$Y$61,O$57,$C$68:$D87)</f>
        <v>8.3352283662414948</v>
      </c>
      <c r="P87" s="35">
        <f>DSUM($B$57:$Y$61,P$57,$C$68:$D87)</f>
        <v>8.7572247028449475</v>
      </c>
      <c r="Q87" s="35">
        <f>DSUM($B$57:$Y$61,Q$57,$C$68:$D87)</f>
        <v>9.0005919852409981</v>
      </c>
      <c r="R87" s="35">
        <f>DSUM($B$57:$Y$61,R$57,$C$68:$D87)</f>
        <v>9.1146385218889634</v>
      </c>
      <c r="S87" s="35">
        <f>DSUM($B$57:$Y$61,S$57,$C$68:$D87)</f>
        <v>9.1515087602609633</v>
      </c>
      <c r="T87" s="35">
        <f>DSUM($B$57:$Y$61,T$57,$C$68:$D87)</f>
        <v>11.193772089977351</v>
      </c>
      <c r="U87" s="35">
        <f>DSUM($B$57:$Y$61,U$57,$C$68:$D87)</f>
        <v>11.002813253470823</v>
      </c>
      <c r="V87" s="35">
        <f>DSUM($B$57:$Y$61,V$57,$C$68:$D87)</f>
        <v>10.783755463458895</v>
      </c>
      <c r="W87" s="35">
        <f>DSUM($B$57:$Y$61,W$57,$C$68:$D87)</f>
        <v>10.594053686791213</v>
      </c>
      <c r="X87" s="35">
        <f>DSUM($B$57:$Y$61,X$57,$C$68:$D87)</f>
        <v>10.405520282949515</v>
      </c>
      <c r="Y87" s="35">
        <f>DSUM($B$57:$Y$61,Y$57,$C$68:$D87)</f>
        <v>143.01208734394328</v>
      </c>
      <c r="Z87" s="7"/>
      <c r="AA87" s="7"/>
      <c r="AB87" s="7"/>
      <c r="AC87" s="7"/>
    </row>
    <row r="88" spans="1:29" customFormat="1">
      <c r="A88" s="7"/>
      <c r="B88" s="7" t="s">
        <v>125</v>
      </c>
      <c r="C88" s="50" t="s">
        <v>126</v>
      </c>
      <c r="D88" s="50" t="s">
        <v>127</v>
      </c>
      <c r="E88" s="35">
        <f>DSUM($B$57:$Y$61,E$57,$C$68:$D88)</f>
        <v>0.40316235804870315</v>
      </c>
      <c r="F88" s="35">
        <f>DSUM($B$57:$Y$61,F$57,$C$68:$D88)</f>
        <v>0.89614186304021581</v>
      </c>
      <c r="G88" s="35">
        <f>DSUM($B$57:$Y$61,G$57,$C$68:$D88)</f>
        <v>1.4971174429457261</v>
      </c>
      <c r="H88" s="35">
        <f>DSUM($B$57:$Y$61,H$57,$C$68:$D88)</f>
        <v>2.1921284724964352</v>
      </c>
      <c r="I88" s="35">
        <f>DSUM($B$57:$Y$61,I$57,$C$68:$D88)</f>
        <v>2.9819674599769597</v>
      </c>
      <c r="J88" s="35">
        <f>DSUM($B$57:$Y$61,J$57,$C$68:$D88)</f>
        <v>3.9023223870258437</v>
      </c>
      <c r="K88" s="35">
        <f>DSUM($B$57:$Y$61,K$57,$C$68:$D88)</f>
        <v>4.9082234924404702</v>
      </c>
      <c r="L88" s="35">
        <f>DSUM($B$57:$Y$61,L$57,$C$68:$D88)</f>
        <v>5.9313754794777154</v>
      </c>
      <c r="M88" s="35">
        <f>DSUM($B$57:$Y$61,M$57,$C$68:$D88)</f>
        <v>6.8903945461244254</v>
      </c>
      <c r="N88" s="35">
        <f>DSUM($B$57:$Y$61,N$57,$C$68:$D88)</f>
        <v>7.708785482328774</v>
      </c>
      <c r="O88" s="35">
        <f>DSUM($B$57:$Y$61,O$57,$C$68:$D88)</f>
        <v>8.3352283662414948</v>
      </c>
      <c r="P88" s="35">
        <f>DSUM($B$57:$Y$61,P$57,$C$68:$D88)</f>
        <v>8.7572247028449475</v>
      </c>
      <c r="Q88" s="35">
        <f>DSUM($B$57:$Y$61,Q$57,$C$68:$D88)</f>
        <v>9.0005919852409981</v>
      </c>
      <c r="R88" s="35">
        <f>DSUM($B$57:$Y$61,R$57,$C$68:$D88)</f>
        <v>9.1146385218889634</v>
      </c>
      <c r="S88" s="35">
        <f>DSUM($B$57:$Y$61,S$57,$C$68:$D88)</f>
        <v>9.1515087602609633</v>
      </c>
      <c r="T88" s="35">
        <f>DSUM($B$57:$Y$61,T$57,$C$68:$D88)</f>
        <v>11.193772089977351</v>
      </c>
      <c r="U88" s="35">
        <f>DSUM($B$57:$Y$61,U$57,$C$68:$D88)</f>
        <v>11.002813253470823</v>
      </c>
      <c r="V88" s="35">
        <f>DSUM($B$57:$Y$61,V$57,$C$68:$D88)</f>
        <v>10.783755463458895</v>
      </c>
      <c r="W88" s="35">
        <f>DSUM($B$57:$Y$61,W$57,$C$68:$D88)</f>
        <v>10.594053686791213</v>
      </c>
      <c r="X88" s="35">
        <f>DSUM($B$57:$Y$61,X$57,$C$68:$D88)</f>
        <v>10.405520282949515</v>
      </c>
      <c r="Y88" s="35">
        <f>DSUM($B$57:$Y$61,Y$57,$C$68:$D88)</f>
        <v>143.01208734394328</v>
      </c>
      <c r="Z88" s="7"/>
      <c r="AA88" s="7"/>
      <c r="AB88" s="7"/>
      <c r="AC88" s="7"/>
    </row>
    <row r="89" spans="1:29" customFormat="1">
      <c r="A89" s="7"/>
      <c r="B89" s="7" t="s">
        <v>128</v>
      </c>
      <c r="C89" s="50" t="s">
        <v>129</v>
      </c>
      <c r="D89" s="50" t="s">
        <v>130</v>
      </c>
      <c r="E89" s="35">
        <f>DSUM($B$57:$Y$61,E$57,$C$68:$D89)</f>
        <v>0.40316235804870315</v>
      </c>
      <c r="F89" s="35">
        <f>DSUM($B$57:$Y$61,F$57,$C$68:$D89)</f>
        <v>0.89614186304021581</v>
      </c>
      <c r="G89" s="35">
        <f>DSUM($B$57:$Y$61,G$57,$C$68:$D89)</f>
        <v>1.4971174429457261</v>
      </c>
      <c r="H89" s="35">
        <f>DSUM($B$57:$Y$61,H$57,$C$68:$D89)</f>
        <v>2.1921284724964352</v>
      </c>
      <c r="I89" s="35">
        <f>DSUM($B$57:$Y$61,I$57,$C$68:$D89)</f>
        <v>2.9819674599769597</v>
      </c>
      <c r="J89" s="35">
        <f>DSUM($B$57:$Y$61,J$57,$C$68:$D89)</f>
        <v>3.9023223870258437</v>
      </c>
      <c r="K89" s="35">
        <f>DSUM($B$57:$Y$61,K$57,$C$68:$D89)</f>
        <v>4.9082234924404702</v>
      </c>
      <c r="L89" s="35">
        <f>DSUM($B$57:$Y$61,L$57,$C$68:$D89)</f>
        <v>5.9313754794777154</v>
      </c>
      <c r="M89" s="35">
        <f>DSUM($B$57:$Y$61,M$57,$C$68:$D89)</f>
        <v>6.8903945461244254</v>
      </c>
      <c r="N89" s="35">
        <f>DSUM($B$57:$Y$61,N$57,$C$68:$D89)</f>
        <v>7.708785482328774</v>
      </c>
      <c r="O89" s="35">
        <f>DSUM($B$57:$Y$61,O$57,$C$68:$D89)</f>
        <v>8.3352283662414948</v>
      </c>
      <c r="P89" s="35">
        <f>DSUM($B$57:$Y$61,P$57,$C$68:$D89)</f>
        <v>8.7572247028449475</v>
      </c>
      <c r="Q89" s="35">
        <f>DSUM($B$57:$Y$61,Q$57,$C$68:$D89)</f>
        <v>9.0005919852409981</v>
      </c>
      <c r="R89" s="35">
        <f>DSUM($B$57:$Y$61,R$57,$C$68:$D89)</f>
        <v>9.1146385218889634</v>
      </c>
      <c r="S89" s="35">
        <f>DSUM($B$57:$Y$61,S$57,$C$68:$D89)</f>
        <v>9.1515087602609633</v>
      </c>
      <c r="T89" s="35">
        <f>DSUM($B$57:$Y$61,T$57,$C$68:$D89)</f>
        <v>11.193772089977351</v>
      </c>
      <c r="U89" s="35">
        <f>DSUM($B$57:$Y$61,U$57,$C$68:$D89)</f>
        <v>11.002813253470823</v>
      </c>
      <c r="V89" s="35">
        <f>DSUM($B$57:$Y$61,V$57,$C$68:$D89)</f>
        <v>10.783755463458895</v>
      </c>
      <c r="W89" s="35">
        <f>DSUM($B$57:$Y$61,W$57,$C$68:$D89)</f>
        <v>10.594053686791213</v>
      </c>
      <c r="X89" s="35">
        <f>DSUM($B$57:$Y$61,X$57,$C$68:$D89)</f>
        <v>10.405520282949515</v>
      </c>
      <c r="Y89" s="35">
        <f>DSUM($B$57:$Y$61,Y$57,$C$68:$D89)</f>
        <v>143.01208734394328</v>
      </c>
      <c r="Z89" s="7"/>
      <c r="AA89" s="7"/>
      <c r="AB89" s="7"/>
      <c r="AC89" s="7"/>
    </row>
    <row r="90" spans="1:29" customFormat="1">
      <c r="A90" s="7"/>
      <c r="B90" s="7" t="s">
        <v>372</v>
      </c>
      <c r="C90" s="50" t="s">
        <v>132</v>
      </c>
      <c r="D90" s="50" t="s">
        <v>362</v>
      </c>
      <c r="E90" s="35">
        <f>DSUM($B$57:$Y$61,E$57,$C$68:$D90)</f>
        <v>0.40316235804870315</v>
      </c>
      <c r="F90" s="35">
        <f>DSUM($B$57:$Y$61,F$57,$C$68:$D90)</f>
        <v>0.89614186304021581</v>
      </c>
      <c r="G90" s="35">
        <f>DSUM($B$57:$Y$61,G$57,$C$68:$D90)</f>
        <v>1.4971174429457261</v>
      </c>
      <c r="H90" s="35">
        <f>DSUM($B$57:$Y$61,H$57,$C$68:$D90)</f>
        <v>2.1921284724964352</v>
      </c>
      <c r="I90" s="35">
        <f>DSUM($B$57:$Y$61,I$57,$C$68:$D90)</f>
        <v>2.9819674599769597</v>
      </c>
      <c r="J90" s="35">
        <f>DSUM($B$57:$Y$61,J$57,$C$68:$D90)</f>
        <v>3.9023223870258437</v>
      </c>
      <c r="K90" s="35">
        <f>DSUM($B$57:$Y$61,K$57,$C$68:$D90)</f>
        <v>4.9082234924404702</v>
      </c>
      <c r="L90" s="35">
        <f>DSUM($B$57:$Y$61,L$57,$C$68:$D90)</f>
        <v>5.9313754794777154</v>
      </c>
      <c r="M90" s="35">
        <f>DSUM($B$57:$Y$61,M$57,$C$68:$D90)</f>
        <v>6.8903945461244254</v>
      </c>
      <c r="N90" s="35">
        <f>DSUM($B$57:$Y$61,N$57,$C$68:$D90)</f>
        <v>7.708785482328774</v>
      </c>
      <c r="O90" s="35">
        <f>DSUM($B$57:$Y$61,O$57,$C$68:$D90)</f>
        <v>8.3352283662414948</v>
      </c>
      <c r="P90" s="35">
        <f>DSUM($B$57:$Y$61,P$57,$C$68:$D90)</f>
        <v>8.7572247028449475</v>
      </c>
      <c r="Q90" s="35">
        <f>DSUM($B$57:$Y$61,Q$57,$C$68:$D90)</f>
        <v>9.0005919852409981</v>
      </c>
      <c r="R90" s="35">
        <f>DSUM($B$57:$Y$61,R$57,$C$68:$D90)</f>
        <v>9.1146385218889634</v>
      </c>
      <c r="S90" s="35">
        <f>DSUM($B$57:$Y$61,S$57,$C$68:$D90)</f>
        <v>9.1515087602609633</v>
      </c>
      <c r="T90" s="35">
        <f>DSUM($B$57:$Y$61,T$57,$C$68:$D90)</f>
        <v>11.193772089977351</v>
      </c>
      <c r="U90" s="35">
        <f>DSUM($B$57:$Y$61,U$57,$C$68:$D90)</f>
        <v>11.002813253470823</v>
      </c>
      <c r="V90" s="35">
        <f>DSUM($B$57:$Y$61,V$57,$C$68:$D90)</f>
        <v>10.783755463458895</v>
      </c>
      <c r="W90" s="35">
        <f>DSUM($B$57:$Y$61,W$57,$C$68:$D90)</f>
        <v>10.594053686791213</v>
      </c>
      <c r="X90" s="35">
        <f>DSUM($B$57:$Y$61,X$57,$C$68:$D90)</f>
        <v>10.405520282949515</v>
      </c>
      <c r="Y90" s="35">
        <f>DSUM($B$57:$Y$61,Y$57,$C$68:$D90)</f>
        <v>143.01208734394328</v>
      </c>
      <c r="Z90" s="7"/>
      <c r="AA90" s="7"/>
      <c r="AB90" s="7"/>
      <c r="AC90" s="7"/>
    </row>
    <row r="91" spans="1:29" customFormat="1">
      <c r="A91" s="7"/>
      <c r="B91" s="7" t="s">
        <v>373</v>
      </c>
      <c r="C91" s="50" t="s">
        <v>352</v>
      </c>
      <c r="D91" s="50" t="s">
        <v>363</v>
      </c>
      <c r="E91" s="35">
        <f>DSUM($B$57:$Y$61,E$57,$C$68:$D91)</f>
        <v>0.40316235804870315</v>
      </c>
      <c r="F91" s="35">
        <f>DSUM($B$57:$Y$61,F$57,$C$68:$D91)</f>
        <v>0.89614186304021581</v>
      </c>
      <c r="G91" s="35">
        <f>DSUM($B$57:$Y$61,G$57,$C$68:$D91)</f>
        <v>1.4971174429457261</v>
      </c>
      <c r="H91" s="35">
        <f>DSUM($B$57:$Y$61,H$57,$C$68:$D91)</f>
        <v>2.1921284724964352</v>
      </c>
      <c r="I91" s="35">
        <f>DSUM($B$57:$Y$61,I$57,$C$68:$D91)</f>
        <v>2.9819674599769597</v>
      </c>
      <c r="J91" s="35">
        <f>DSUM($B$57:$Y$61,J$57,$C$68:$D91)</f>
        <v>3.9023223870258437</v>
      </c>
      <c r="K91" s="35">
        <f>DSUM($B$57:$Y$61,K$57,$C$68:$D91)</f>
        <v>4.9082234924404702</v>
      </c>
      <c r="L91" s="35">
        <f>DSUM($B$57:$Y$61,L$57,$C$68:$D91)</f>
        <v>5.9313754794777154</v>
      </c>
      <c r="M91" s="35">
        <f>DSUM($B$57:$Y$61,M$57,$C$68:$D91)</f>
        <v>6.8903945461244254</v>
      </c>
      <c r="N91" s="35">
        <f>DSUM($B$57:$Y$61,N$57,$C$68:$D91)</f>
        <v>7.708785482328774</v>
      </c>
      <c r="O91" s="35">
        <f>DSUM($B$57:$Y$61,O$57,$C$68:$D91)</f>
        <v>8.3352283662414948</v>
      </c>
      <c r="P91" s="35">
        <f>DSUM($B$57:$Y$61,P$57,$C$68:$D91)</f>
        <v>8.7572247028449475</v>
      </c>
      <c r="Q91" s="35">
        <f>DSUM($B$57:$Y$61,Q$57,$C$68:$D91)</f>
        <v>9.0005919852409981</v>
      </c>
      <c r="R91" s="35">
        <f>DSUM($B$57:$Y$61,R$57,$C$68:$D91)</f>
        <v>9.1146385218889634</v>
      </c>
      <c r="S91" s="35">
        <f>DSUM($B$57:$Y$61,S$57,$C$68:$D91)</f>
        <v>9.1515087602609633</v>
      </c>
      <c r="T91" s="35">
        <f>DSUM($B$57:$Y$61,T$57,$C$68:$D91)</f>
        <v>11.193772089977351</v>
      </c>
      <c r="U91" s="35">
        <f>DSUM($B$57:$Y$61,U$57,$C$68:$D91)</f>
        <v>11.002813253470823</v>
      </c>
      <c r="V91" s="35">
        <f>DSUM($B$57:$Y$61,V$57,$C$68:$D91)</f>
        <v>10.783755463458895</v>
      </c>
      <c r="W91" s="35">
        <f>DSUM($B$57:$Y$61,W$57,$C$68:$D91)</f>
        <v>10.594053686791213</v>
      </c>
      <c r="X91" s="35">
        <f>DSUM($B$57:$Y$61,X$57,$C$68:$D91)</f>
        <v>10.405520282949515</v>
      </c>
      <c r="Y91" s="35">
        <f>DSUM($B$57:$Y$61,Y$57,$C$68:$D91)</f>
        <v>143.01208734394328</v>
      </c>
      <c r="Z91" s="7"/>
      <c r="AA91" s="7"/>
      <c r="AB91" s="7"/>
      <c r="AC91" s="7"/>
    </row>
    <row r="92" spans="1:29" customFormat="1">
      <c r="A92" s="7"/>
      <c r="B92" s="7" t="s">
        <v>374</v>
      </c>
      <c r="C92" s="50" t="s">
        <v>353</v>
      </c>
      <c r="D92" s="50" t="s">
        <v>364</v>
      </c>
      <c r="E92" s="35">
        <f>DSUM($B$57:$Y$61,E$57,$C$68:$D92)</f>
        <v>0.40316235804870315</v>
      </c>
      <c r="F92" s="35">
        <f>DSUM($B$57:$Y$61,F$57,$C$68:$D92)</f>
        <v>0.89614186304021581</v>
      </c>
      <c r="G92" s="35">
        <f>DSUM($B$57:$Y$61,G$57,$C$68:$D92)</f>
        <v>1.4971174429457261</v>
      </c>
      <c r="H92" s="35">
        <f>DSUM($B$57:$Y$61,H$57,$C$68:$D92)</f>
        <v>2.1921284724964352</v>
      </c>
      <c r="I92" s="35">
        <f>DSUM($B$57:$Y$61,I$57,$C$68:$D92)</f>
        <v>2.9819674599769597</v>
      </c>
      <c r="J92" s="35">
        <f>DSUM($B$57:$Y$61,J$57,$C$68:$D92)</f>
        <v>3.9023223870258437</v>
      </c>
      <c r="K92" s="35">
        <f>DSUM($B$57:$Y$61,K$57,$C$68:$D92)</f>
        <v>4.9082234924404702</v>
      </c>
      <c r="L92" s="35">
        <f>DSUM($B$57:$Y$61,L$57,$C$68:$D92)</f>
        <v>5.9313754794777154</v>
      </c>
      <c r="M92" s="35">
        <f>DSUM($B$57:$Y$61,M$57,$C$68:$D92)</f>
        <v>6.8903945461244254</v>
      </c>
      <c r="N92" s="35">
        <f>DSUM($B$57:$Y$61,N$57,$C$68:$D92)</f>
        <v>7.708785482328774</v>
      </c>
      <c r="O92" s="35">
        <f>DSUM($B$57:$Y$61,O$57,$C$68:$D92)</f>
        <v>8.3352283662414948</v>
      </c>
      <c r="P92" s="35">
        <f>DSUM($B$57:$Y$61,P$57,$C$68:$D92)</f>
        <v>8.7572247028449475</v>
      </c>
      <c r="Q92" s="35">
        <f>DSUM($B$57:$Y$61,Q$57,$C$68:$D92)</f>
        <v>9.0005919852409981</v>
      </c>
      <c r="R92" s="35">
        <f>DSUM($B$57:$Y$61,R$57,$C$68:$D92)</f>
        <v>9.1146385218889634</v>
      </c>
      <c r="S92" s="35">
        <f>DSUM($B$57:$Y$61,S$57,$C$68:$D92)</f>
        <v>9.1515087602609633</v>
      </c>
      <c r="T92" s="35">
        <f>DSUM($B$57:$Y$61,T$57,$C$68:$D92)</f>
        <v>11.193772089977351</v>
      </c>
      <c r="U92" s="35">
        <f>DSUM($B$57:$Y$61,U$57,$C$68:$D92)</f>
        <v>11.002813253470823</v>
      </c>
      <c r="V92" s="35">
        <f>DSUM($B$57:$Y$61,V$57,$C$68:$D92)</f>
        <v>10.783755463458895</v>
      </c>
      <c r="W92" s="35">
        <f>DSUM($B$57:$Y$61,W$57,$C$68:$D92)</f>
        <v>10.594053686791213</v>
      </c>
      <c r="X92" s="35">
        <f>DSUM($B$57:$Y$61,X$57,$C$68:$D92)</f>
        <v>10.405520282949515</v>
      </c>
      <c r="Y92" s="35">
        <f>DSUM($B$57:$Y$61,Y$57,$C$68:$D92)</f>
        <v>143.01208734394328</v>
      </c>
      <c r="Z92" s="7"/>
      <c r="AA92" s="7"/>
      <c r="AB92" s="7"/>
      <c r="AC92" s="7"/>
    </row>
    <row r="93" spans="1:29" customFormat="1">
      <c r="A93" s="7"/>
      <c r="B93" s="7" t="s">
        <v>375</v>
      </c>
      <c r="C93" s="50" t="s">
        <v>354</v>
      </c>
      <c r="D93" s="50" t="s">
        <v>365</v>
      </c>
      <c r="E93" s="35">
        <f>DSUM($B$57:$Y$61,E$57,$C$68:$D93)</f>
        <v>0.40316235804870315</v>
      </c>
      <c r="F93" s="35">
        <f>DSUM($B$57:$Y$61,F$57,$C$68:$D93)</f>
        <v>0.89614186304021581</v>
      </c>
      <c r="G93" s="35">
        <f>DSUM($B$57:$Y$61,G$57,$C$68:$D93)</f>
        <v>1.4971174429457261</v>
      </c>
      <c r="H93" s="35">
        <f>DSUM($B$57:$Y$61,H$57,$C$68:$D93)</f>
        <v>2.1921284724964352</v>
      </c>
      <c r="I93" s="35">
        <f>DSUM($B$57:$Y$61,I$57,$C$68:$D93)</f>
        <v>2.9819674599769597</v>
      </c>
      <c r="J93" s="35">
        <f>DSUM($B$57:$Y$61,J$57,$C$68:$D93)</f>
        <v>3.9023223870258437</v>
      </c>
      <c r="K93" s="35">
        <f>DSUM($B$57:$Y$61,K$57,$C$68:$D93)</f>
        <v>4.9082234924404702</v>
      </c>
      <c r="L93" s="35">
        <f>DSUM($B$57:$Y$61,L$57,$C$68:$D93)</f>
        <v>5.9313754794777154</v>
      </c>
      <c r="M93" s="35">
        <f>DSUM($B$57:$Y$61,M$57,$C$68:$D93)</f>
        <v>6.8903945461244254</v>
      </c>
      <c r="N93" s="35">
        <f>DSUM($B$57:$Y$61,N$57,$C$68:$D93)</f>
        <v>7.708785482328774</v>
      </c>
      <c r="O93" s="35">
        <f>DSUM($B$57:$Y$61,O$57,$C$68:$D93)</f>
        <v>8.3352283662414948</v>
      </c>
      <c r="P93" s="35">
        <f>DSUM($B$57:$Y$61,P$57,$C$68:$D93)</f>
        <v>8.7572247028449475</v>
      </c>
      <c r="Q93" s="35">
        <f>DSUM($B$57:$Y$61,Q$57,$C$68:$D93)</f>
        <v>9.0005919852409981</v>
      </c>
      <c r="R93" s="35">
        <f>DSUM($B$57:$Y$61,R$57,$C$68:$D93)</f>
        <v>9.1146385218889634</v>
      </c>
      <c r="S93" s="35">
        <f>DSUM($B$57:$Y$61,S$57,$C$68:$D93)</f>
        <v>9.1515087602609633</v>
      </c>
      <c r="T93" s="35">
        <f>DSUM($B$57:$Y$61,T$57,$C$68:$D93)</f>
        <v>11.193772089977351</v>
      </c>
      <c r="U93" s="35">
        <f>DSUM($B$57:$Y$61,U$57,$C$68:$D93)</f>
        <v>11.002813253470823</v>
      </c>
      <c r="V93" s="35">
        <f>DSUM($B$57:$Y$61,V$57,$C$68:$D93)</f>
        <v>10.783755463458895</v>
      </c>
      <c r="W93" s="35">
        <f>DSUM($B$57:$Y$61,W$57,$C$68:$D93)</f>
        <v>10.594053686791213</v>
      </c>
      <c r="X93" s="35">
        <f>DSUM($B$57:$Y$61,X$57,$C$68:$D93)</f>
        <v>10.405520282949515</v>
      </c>
      <c r="Y93" s="35">
        <f>DSUM($B$57:$Y$61,Y$57,$C$68:$D93)</f>
        <v>143.01208734394328</v>
      </c>
      <c r="Z93" s="7"/>
      <c r="AA93" s="7"/>
      <c r="AB93" s="7"/>
      <c r="AC93" s="7"/>
    </row>
    <row r="94" spans="1:29" customFormat="1">
      <c r="A94" s="7"/>
      <c r="B94" s="7" t="s">
        <v>376</v>
      </c>
      <c r="C94" s="50" t="s">
        <v>355</v>
      </c>
      <c r="D94" s="50" t="s">
        <v>366</v>
      </c>
      <c r="E94" s="35">
        <f>DSUM($B$57:$Y$61,E$57,$C$68:$D94)</f>
        <v>0.40316235804870315</v>
      </c>
      <c r="F94" s="35">
        <f>DSUM($B$57:$Y$61,F$57,$C$68:$D94)</f>
        <v>0.89614186304021581</v>
      </c>
      <c r="G94" s="35">
        <f>DSUM($B$57:$Y$61,G$57,$C$68:$D94)</f>
        <v>1.4971174429457261</v>
      </c>
      <c r="H94" s="35">
        <f>DSUM($B$57:$Y$61,H$57,$C$68:$D94)</f>
        <v>2.1921284724964352</v>
      </c>
      <c r="I94" s="35">
        <f>DSUM($B$57:$Y$61,I$57,$C$68:$D94)</f>
        <v>2.9819674599769597</v>
      </c>
      <c r="J94" s="35">
        <f>DSUM($B$57:$Y$61,J$57,$C$68:$D94)</f>
        <v>3.9023223870258437</v>
      </c>
      <c r="K94" s="35">
        <f>DSUM($B$57:$Y$61,K$57,$C$68:$D94)</f>
        <v>4.9082234924404702</v>
      </c>
      <c r="L94" s="35">
        <f>DSUM($B$57:$Y$61,L$57,$C$68:$D94)</f>
        <v>5.9313754794777154</v>
      </c>
      <c r="M94" s="35">
        <f>DSUM($B$57:$Y$61,M$57,$C$68:$D94)</f>
        <v>6.8903945461244254</v>
      </c>
      <c r="N94" s="35">
        <f>DSUM($B$57:$Y$61,N$57,$C$68:$D94)</f>
        <v>7.708785482328774</v>
      </c>
      <c r="O94" s="35">
        <f>DSUM($B$57:$Y$61,O$57,$C$68:$D94)</f>
        <v>8.3352283662414948</v>
      </c>
      <c r="P94" s="35">
        <f>DSUM($B$57:$Y$61,P$57,$C$68:$D94)</f>
        <v>8.7572247028449475</v>
      </c>
      <c r="Q94" s="35">
        <f>DSUM($B$57:$Y$61,Q$57,$C$68:$D94)</f>
        <v>9.0005919852409981</v>
      </c>
      <c r="R94" s="35">
        <f>DSUM($B$57:$Y$61,R$57,$C$68:$D94)</f>
        <v>9.1146385218889634</v>
      </c>
      <c r="S94" s="35">
        <f>DSUM($B$57:$Y$61,S$57,$C$68:$D94)</f>
        <v>9.1515087602609633</v>
      </c>
      <c r="T94" s="35">
        <f>DSUM($B$57:$Y$61,T$57,$C$68:$D94)</f>
        <v>11.193772089977351</v>
      </c>
      <c r="U94" s="35">
        <f>DSUM($B$57:$Y$61,U$57,$C$68:$D94)</f>
        <v>11.002813253470823</v>
      </c>
      <c r="V94" s="35">
        <f>DSUM($B$57:$Y$61,V$57,$C$68:$D94)</f>
        <v>10.783755463458895</v>
      </c>
      <c r="W94" s="35">
        <f>DSUM($B$57:$Y$61,W$57,$C$68:$D94)</f>
        <v>10.594053686791213</v>
      </c>
      <c r="X94" s="35">
        <f>DSUM($B$57:$Y$61,X$57,$C$68:$D94)</f>
        <v>10.405520282949515</v>
      </c>
      <c r="Y94" s="35">
        <f>DSUM($B$57:$Y$61,Y$57,$C$68:$D94)</f>
        <v>143.01208734394328</v>
      </c>
      <c r="Z94" s="7"/>
      <c r="AA94" s="7"/>
      <c r="AB94" s="7"/>
      <c r="AC94" s="7"/>
    </row>
    <row r="95" spans="1:29" customFormat="1">
      <c r="A95" s="7"/>
      <c r="B95" s="7" t="s">
        <v>377</v>
      </c>
      <c r="C95" s="50" t="s">
        <v>356</v>
      </c>
      <c r="D95" s="50" t="s">
        <v>367</v>
      </c>
      <c r="E95" s="35">
        <f>DSUM($B$57:$Y$61,E$57,$C$68:$D95)</f>
        <v>0.40316235804870315</v>
      </c>
      <c r="F95" s="35">
        <f>DSUM($B$57:$Y$61,F$57,$C$68:$D95)</f>
        <v>0.89614186304021581</v>
      </c>
      <c r="G95" s="35">
        <f>DSUM($B$57:$Y$61,G$57,$C$68:$D95)</f>
        <v>1.4971174429457261</v>
      </c>
      <c r="H95" s="35">
        <f>DSUM($B$57:$Y$61,H$57,$C$68:$D95)</f>
        <v>2.1921284724964352</v>
      </c>
      <c r="I95" s="35">
        <f>DSUM($B$57:$Y$61,I$57,$C$68:$D95)</f>
        <v>2.9819674599769597</v>
      </c>
      <c r="J95" s="35">
        <f>DSUM($B$57:$Y$61,J$57,$C$68:$D95)</f>
        <v>3.9023223870258437</v>
      </c>
      <c r="K95" s="35">
        <f>DSUM($B$57:$Y$61,K$57,$C$68:$D95)</f>
        <v>4.9082234924404702</v>
      </c>
      <c r="L95" s="35">
        <f>DSUM($B$57:$Y$61,L$57,$C$68:$D95)</f>
        <v>5.9313754794777154</v>
      </c>
      <c r="M95" s="35">
        <f>DSUM($B$57:$Y$61,M$57,$C$68:$D95)</f>
        <v>6.8903945461244254</v>
      </c>
      <c r="N95" s="35">
        <f>DSUM($B$57:$Y$61,N$57,$C$68:$D95)</f>
        <v>7.708785482328774</v>
      </c>
      <c r="O95" s="35">
        <f>DSUM($B$57:$Y$61,O$57,$C$68:$D95)</f>
        <v>8.3352283662414948</v>
      </c>
      <c r="P95" s="35">
        <f>DSUM($B$57:$Y$61,P$57,$C$68:$D95)</f>
        <v>8.7572247028449475</v>
      </c>
      <c r="Q95" s="35">
        <f>DSUM($B$57:$Y$61,Q$57,$C$68:$D95)</f>
        <v>9.0005919852409981</v>
      </c>
      <c r="R95" s="35">
        <f>DSUM($B$57:$Y$61,R$57,$C$68:$D95)</f>
        <v>9.1146385218889634</v>
      </c>
      <c r="S95" s="35">
        <f>DSUM($B$57:$Y$61,S$57,$C$68:$D95)</f>
        <v>9.1515087602609633</v>
      </c>
      <c r="T95" s="35">
        <f>DSUM($B$57:$Y$61,T$57,$C$68:$D95)</f>
        <v>11.193772089977351</v>
      </c>
      <c r="U95" s="35">
        <f>DSUM($B$57:$Y$61,U$57,$C$68:$D95)</f>
        <v>11.002813253470823</v>
      </c>
      <c r="V95" s="35">
        <f>DSUM($B$57:$Y$61,V$57,$C$68:$D95)</f>
        <v>10.783755463458895</v>
      </c>
      <c r="W95" s="35">
        <f>DSUM($B$57:$Y$61,W$57,$C$68:$D95)</f>
        <v>10.594053686791213</v>
      </c>
      <c r="X95" s="35">
        <f>DSUM($B$57:$Y$61,X$57,$C$68:$D95)</f>
        <v>10.405520282949515</v>
      </c>
      <c r="Y95" s="35">
        <f>DSUM($B$57:$Y$61,Y$57,$C$68:$D95)</f>
        <v>143.01208734394328</v>
      </c>
      <c r="Z95" s="7"/>
      <c r="AA95" s="7"/>
      <c r="AB95" s="7"/>
      <c r="AC95" s="7"/>
    </row>
    <row r="96" spans="1:29" customFormat="1">
      <c r="A96" s="7"/>
      <c r="B96" s="7" t="s">
        <v>378</v>
      </c>
      <c r="C96" s="50" t="s">
        <v>357</v>
      </c>
      <c r="D96" s="50" t="s">
        <v>368</v>
      </c>
      <c r="E96" s="35">
        <f>DSUM($B$57:$Y$61,E$57,$C$68:$D96)</f>
        <v>0.40316235804870315</v>
      </c>
      <c r="F96" s="35">
        <f>DSUM($B$57:$Y$61,F$57,$C$68:$D96)</f>
        <v>0.89614186304021581</v>
      </c>
      <c r="G96" s="35">
        <f>DSUM($B$57:$Y$61,G$57,$C$68:$D96)</f>
        <v>1.4971174429457261</v>
      </c>
      <c r="H96" s="35">
        <f>DSUM($B$57:$Y$61,H$57,$C$68:$D96)</f>
        <v>2.1921284724964352</v>
      </c>
      <c r="I96" s="35">
        <f>DSUM($B$57:$Y$61,I$57,$C$68:$D96)</f>
        <v>2.9819674599769597</v>
      </c>
      <c r="J96" s="35">
        <f>DSUM($B$57:$Y$61,J$57,$C$68:$D96)</f>
        <v>3.9023223870258437</v>
      </c>
      <c r="K96" s="35">
        <f>DSUM($B$57:$Y$61,K$57,$C$68:$D96)</f>
        <v>4.9082234924404702</v>
      </c>
      <c r="L96" s="35">
        <f>DSUM($B$57:$Y$61,L$57,$C$68:$D96)</f>
        <v>5.9313754794777154</v>
      </c>
      <c r="M96" s="35">
        <f>DSUM($B$57:$Y$61,M$57,$C$68:$D96)</f>
        <v>6.8903945461244254</v>
      </c>
      <c r="N96" s="35">
        <f>DSUM($B$57:$Y$61,N$57,$C$68:$D96)</f>
        <v>7.708785482328774</v>
      </c>
      <c r="O96" s="35">
        <f>DSUM($B$57:$Y$61,O$57,$C$68:$D96)</f>
        <v>8.3352283662414948</v>
      </c>
      <c r="P96" s="35">
        <f>DSUM($B$57:$Y$61,P$57,$C$68:$D96)</f>
        <v>8.7572247028449475</v>
      </c>
      <c r="Q96" s="35">
        <f>DSUM($B$57:$Y$61,Q$57,$C$68:$D96)</f>
        <v>9.0005919852409981</v>
      </c>
      <c r="R96" s="35">
        <f>DSUM($B$57:$Y$61,R$57,$C$68:$D96)</f>
        <v>9.1146385218889634</v>
      </c>
      <c r="S96" s="35">
        <f>DSUM($B$57:$Y$61,S$57,$C$68:$D96)</f>
        <v>9.1515087602609633</v>
      </c>
      <c r="T96" s="35">
        <f>DSUM($B$57:$Y$61,T$57,$C$68:$D96)</f>
        <v>11.193772089977351</v>
      </c>
      <c r="U96" s="35">
        <f>DSUM($B$57:$Y$61,U$57,$C$68:$D96)</f>
        <v>11.002813253470823</v>
      </c>
      <c r="V96" s="35">
        <f>DSUM($B$57:$Y$61,V$57,$C$68:$D96)</f>
        <v>10.783755463458895</v>
      </c>
      <c r="W96" s="35">
        <f>DSUM($B$57:$Y$61,W$57,$C$68:$D96)</f>
        <v>10.594053686791213</v>
      </c>
      <c r="X96" s="35">
        <f>DSUM($B$57:$Y$61,X$57,$C$68:$D96)</f>
        <v>10.405520282949515</v>
      </c>
      <c r="Y96" s="35">
        <f>DSUM($B$57:$Y$61,Y$57,$C$68:$D96)</f>
        <v>143.01208734394328</v>
      </c>
      <c r="Z96" s="7"/>
      <c r="AA96" s="7"/>
      <c r="AB96" s="7"/>
      <c r="AC96" s="7"/>
    </row>
    <row r="97" spans="1:29" customFormat="1">
      <c r="A97" s="7"/>
      <c r="B97" s="7" t="s">
        <v>379</v>
      </c>
      <c r="C97" s="50" t="s">
        <v>358</v>
      </c>
      <c r="D97" s="50" t="s">
        <v>369</v>
      </c>
      <c r="E97" s="35">
        <f>DSUM($B$57:$Y$61,E$57,$C$68:$D97)</f>
        <v>0.40316235804870315</v>
      </c>
      <c r="F97" s="35">
        <f>DSUM($B$57:$Y$61,F$57,$C$68:$D97)</f>
        <v>0.89614186304021581</v>
      </c>
      <c r="G97" s="35">
        <f>DSUM($B$57:$Y$61,G$57,$C$68:$D97)</f>
        <v>1.4971174429457261</v>
      </c>
      <c r="H97" s="35">
        <f>DSUM($B$57:$Y$61,H$57,$C$68:$D97)</f>
        <v>2.1921284724964352</v>
      </c>
      <c r="I97" s="35">
        <f>DSUM($B$57:$Y$61,I$57,$C$68:$D97)</f>
        <v>2.9819674599769597</v>
      </c>
      <c r="J97" s="35">
        <f>DSUM($B$57:$Y$61,J$57,$C$68:$D97)</f>
        <v>3.9023223870258437</v>
      </c>
      <c r="K97" s="35">
        <f>DSUM($B$57:$Y$61,K$57,$C$68:$D97)</f>
        <v>4.9082234924404702</v>
      </c>
      <c r="L97" s="35">
        <f>DSUM($B$57:$Y$61,L$57,$C$68:$D97)</f>
        <v>5.9313754794777154</v>
      </c>
      <c r="M97" s="35">
        <f>DSUM($B$57:$Y$61,M$57,$C$68:$D97)</f>
        <v>6.8903945461244254</v>
      </c>
      <c r="N97" s="35">
        <f>DSUM($B$57:$Y$61,N$57,$C$68:$D97)</f>
        <v>7.708785482328774</v>
      </c>
      <c r="O97" s="35">
        <f>DSUM($B$57:$Y$61,O$57,$C$68:$D97)</f>
        <v>8.3352283662414948</v>
      </c>
      <c r="P97" s="35">
        <f>DSUM($B$57:$Y$61,P$57,$C$68:$D97)</f>
        <v>8.7572247028449475</v>
      </c>
      <c r="Q97" s="35">
        <f>DSUM($B$57:$Y$61,Q$57,$C$68:$D97)</f>
        <v>9.0005919852409981</v>
      </c>
      <c r="R97" s="35">
        <f>DSUM($B$57:$Y$61,R$57,$C$68:$D97)</f>
        <v>9.1146385218889634</v>
      </c>
      <c r="S97" s="35">
        <f>DSUM($B$57:$Y$61,S$57,$C$68:$D97)</f>
        <v>9.1515087602609633</v>
      </c>
      <c r="T97" s="35">
        <f>DSUM($B$57:$Y$61,T$57,$C$68:$D97)</f>
        <v>11.193772089977351</v>
      </c>
      <c r="U97" s="35">
        <f>DSUM($B$57:$Y$61,U$57,$C$68:$D97)</f>
        <v>11.002813253470823</v>
      </c>
      <c r="V97" s="35">
        <f>DSUM($B$57:$Y$61,V$57,$C$68:$D97)</f>
        <v>10.783755463458895</v>
      </c>
      <c r="W97" s="35">
        <f>DSUM($B$57:$Y$61,W$57,$C$68:$D97)</f>
        <v>10.594053686791213</v>
      </c>
      <c r="X97" s="35">
        <f>DSUM($B$57:$Y$61,X$57,$C$68:$D97)</f>
        <v>10.405520282949515</v>
      </c>
      <c r="Y97" s="35">
        <f>DSUM($B$57:$Y$61,Y$57,$C$68:$D97)</f>
        <v>143.01208734394328</v>
      </c>
      <c r="Z97" s="7"/>
      <c r="AA97" s="7"/>
      <c r="AB97" s="7"/>
      <c r="AC97" s="7"/>
    </row>
    <row r="98" spans="1:29" customFormat="1">
      <c r="A98" s="7"/>
      <c r="B98" s="7" t="s">
        <v>380</v>
      </c>
      <c r="C98" s="50" t="s">
        <v>359</v>
      </c>
      <c r="D98" s="50" t="s">
        <v>370</v>
      </c>
      <c r="E98" s="35">
        <f>DSUM($B$57:$Y$61,E$57,$C$68:$D98)</f>
        <v>0.40316235804870315</v>
      </c>
      <c r="F98" s="35">
        <f>DSUM($B$57:$Y$61,F$57,$C$68:$D98)</f>
        <v>0.89614186304021581</v>
      </c>
      <c r="G98" s="35">
        <f>DSUM($B$57:$Y$61,G$57,$C$68:$D98)</f>
        <v>1.4971174429457261</v>
      </c>
      <c r="H98" s="35">
        <f>DSUM($B$57:$Y$61,H$57,$C$68:$D98)</f>
        <v>2.1921284724964352</v>
      </c>
      <c r="I98" s="35">
        <f>DSUM($B$57:$Y$61,I$57,$C$68:$D98)</f>
        <v>2.9819674599769597</v>
      </c>
      <c r="J98" s="35">
        <f>DSUM($B$57:$Y$61,J$57,$C$68:$D98)</f>
        <v>3.9023223870258437</v>
      </c>
      <c r="K98" s="35">
        <f>DSUM($B$57:$Y$61,K$57,$C$68:$D98)</f>
        <v>4.9082234924404702</v>
      </c>
      <c r="L98" s="35">
        <f>DSUM($B$57:$Y$61,L$57,$C$68:$D98)</f>
        <v>5.9313754794777154</v>
      </c>
      <c r="M98" s="35">
        <f>DSUM($B$57:$Y$61,M$57,$C$68:$D98)</f>
        <v>6.8903945461244254</v>
      </c>
      <c r="N98" s="35">
        <f>DSUM($B$57:$Y$61,N$57,$C$68:$D98)</f>
        <v>7.708785482328774</v>
      </c>
      <c r="O98" s="35">
        <f>DSUM($B$57:$Y$61,O$57,$C$68:$D98)</f>
        <v>8.3352283662414948</v>
      </c>
      <c r="P98" s="35">
        <f>DSUM($B$57:$Y$61,P$57,$C$68:$D98)</f>
        <v>8.7572247028449475</v>
      </c>
      <c r="Q98" s="35">
        <f>DSUM($B$57:$Y$61,Q$57,$C$68:$D98)</f>
        <v>9.0005919852409981</v>
      </c>
      <c r="R98" s="35">
        <f>DSUM($B$57:$Y$61,R$57,$C$68:$D98)</f>
        <v>9.1146385218889634</v>
      </c>
      <c r="S98" s="35">
        <f>DSUM($B$57:$Y$61,S$57,$C$68:$D98)</f>
        <v>9.1515087602609633</v>
      </c>
      <c r="T98" s="35">
        <f>DSUM($B$57:$Y$61,T$57,$C$68:$D98)</f>
        <v>11.193772089977351</v>
      </c>
      <c r="U98" s="35">
        <f>DSUM($B$57:$Y$61,U$57,$C$68:$D98)</f>
        <v>11.002813253470823</v>
      </c>
      <c r="V98" s="35">
        <f>DSUM($B$57:$Y$61,V$57,$C$68:$D98)</f>
        <v>10.783755463458895</v>
      </c>
      <c r="W98" s="35">
        <f>DSUM($B$57:$Y$61,W$57,$C$68:$D98)</f>
        <v>10.594053686791213</v>
      </c>
      <c r="X98" s="35">
        <f>DSUM($B$57:$Y$61,X$57,$C$68:$D98)</f>
        <v>10.405520282949515</v>
      </c>
      <c r="Y98" s="35">
        <f>DSUM($B$57:$Y$61,Y$57,$C$68:$D98)</f>
        <v>143.01208734394328</v>
      </c>
      <c r="Z98" s="7"/>
      <c r="AA98" s="7"/>
      <c r="AB98" s="7"/>
      <c r="AC98" s="7"/>
    </row>
    <row r="99" spans="1:29" customFormat="1">
      <c r="A99" s="7"/>
      <c r="B99" s="7" t="s">
        <v>381</v>
      </c>
      <c r="C99" s="50" t="s">
        <v>360</v>
      </c>
      <c r="D99" s="50" t="s">
        <v>371</v>
      </c>
      <c r="E99" s="35">
        <f>DSUM($B$57:$Y$61,E$57,$C$68:$D99)</f>
        <v>0.40316235804870315</v>
      </c>
      <c r="F99" s="35">
        <f>DSUM($B$57:$Y$61,F$57,$C$68:$D99)</f>
        <v>0.89614186304021581</v>
      </c>
      <c r="G99" s="35">
        <f>DSUM($B$57:$Y$61,G$57,$C$68:$D99)</f>
        <v>1.4971174429457261</v>
      </c>
      <c r="H99" s="35">
        <f>DSUM($B$57:$Y$61,H$57,$C$68:$D99)</f>
        <v>2.1921284724964352</v>
      </c>
      <c r="I99" s="35">
        <f>DSUM($B$57:$Y$61,I$57,$C$68:$D99)</f>
        <v>2.9819674599769597</v>
      </c>
      <c r="J99" s="35">
        <f>DSUM($B$57:$Y$61,J$57,$C$68:$D99)</f>
        <v>3.9023223870258437</v>
      </c>
      <c r="K99" s="35">
        <f>DSUM($B$57:$Y$61,K$57,$C$68:$D99)</f>
        <v>4.9082234924404702</v>
      </c>
      <c r="L99" s="35">
        <f>DSUM($B$57:$Y$61,L$57,$C$68:$D99)</f>
        <v>5.9313754794777154</v>
      </c>
      <c r="M99" s="35">
        <f>DSUM($B$57:$Y$61,M$57,$C$68:$D99)</f>
        <v>6.8903945461244254</v>
      </c>
      <c r="N99" s="35">
        <f>DSUM($B$57:$Y$61,N$57,$C$68:$D99)</f>
        <v>7.708785482328774</v>
      </c>
      <c r="O99" s="35">
        <f>DSUM($B$57:$Y$61,O$57,$C$68:$D99)</f>
        <v>8.3352283662414948</v>
      </c>
      <c r="P99" s="35">
        <f>DSUM($B$57:$Y$61,P$57,$C$68:$D99)</f>
        <v>8.7572247028449475</v>
      </c>
      <c r="Q99" s="35">
        <f>DSUM($B$57:$Y$61,Q$57,$C$68:$D99)</f>
        <v>9.0005919852409981</v>
      </c>
      <c r="R99" s="35">
        <f>DSUM($B$57:$Y$61,R$57,$C$68:$D99)</f>
        <v>9.1146385218889634</v>
      </c>
      <c r="S99" s="35">
        <f>DSUM($B$57:$Y$61,S$57,$C$68:$D99)</f>
        <v>9.1515087602609633</v>
      </c>
      <c r="T99" s="35">
        <f>DSUM($B$57:$Y$61,T$57,$C$68:$D99)</f>
        <v>11.193772089977351</v>
      </c>
      <c r="U99" s="35">
        <f>DSUM($B$57:$Y$61,U$57,$C$68:$D99)</f>
        <v>11.002813253470823</v>
      </c>
      <c r="V99" s="35">
        <f>DSUM($B$57:$Y$61,V$57,$C$68:$D99)</f>
        <v>10.783755463458895</v>
      </c>
      <c r="W99" s="35">
        <f>DSUM($B$57:$Y$61,W$57,$C$68:$D99)</f>
        <v>10.594053686791213</v>
      </c>
      <c r="X99" s="35">
        <f>DSUM($B$57:$Y$61,X$57,$C$68:$D99)</f>
        <v>10.405520282949515</v>
      </c>
      <c r="Y99" s="35">
        <f>DSUM($B$57:$Y$61,Y$57,$C$68:$D99)</f>
        <v>143.01208734394328</v>
      </c>
      <c r="Z99" s="7"/>
      <c r="AA99" s="7"/>
      <c r="AB99" s="7"/>
      <c r="AC99" s="7"/>
    </row>
    <row r="100" spans="1:29" customFormat="1">
      <c r="A100" s="7"/>
      <c r="B100" s="7" t="s">
        <v>382</v>
      </c>
      <c r="C100" s="50" t="s">
        <v>361</v>
      </c>
      <c r="D100" s="50" t="s">
        <v>133</v>
      </c>
      <c r="E100" s="35">
        <f>DSUM($B$57:$Y$61,E$57,$C$68:$D100)</f>
        <v>0.40316235804870315</v>
      </c>
      <c r="F100" s="35">
        <f>DSUM($B$57:$Y$61,F$57,$C$68:$D100)</f>
        <v>0.89614186304021581</v>
      </c>
      <c r="G100" s="35">
        <f>DSUM($B$57:$Y$61,G$57,$C$68:$D100)</f>
        <v>1.4971174429457261</v>
      </c>
      <c r="H100" s="35">
        <f>DSUM($B$57:$Y$61,H$57,$C$68:$D100)</f>
        <v>2.1921284724964352</v>
      </c>
      <c r="I100" s="35">
        <f>DSUM($B$57:$Y$61,I$57,$C$68:$D100)</f>
        <v>2.9819674599769597</v>
      </c>
      <c r="J100" s="35">
        <f>DSUM($B$57:$Y$61,J$57,$C$68:$D100)</f>
        <v>3.9023223870258437</v>
      </c>
      <c r="K100" s="35">
        <f>DSUM($B$57:$Y$61,K$57,$C$68:$D100)</f>
        <v>4.9082234924404702</v>
      </c>
      <c r="L100" s="35">
        <f>DSUM($B$57:$Y$61,L$57,$C$68:$D100)</f>
        <v>5.9313754794777154</v>
      </c>
      <c r="M100" s="35">
        <f>DSUM($B$57:$Y$61,M$57,$C$68:$D100)</f>
        <v>6.8903945461244254</v>
      </c>
      <c r="N100" s="35">
        <f>DSUM($B$57:$Y$61,N$57,$C$68:$D100)</f>
        <v>7.708785482328774</v>
      </c>
      <c r="O100" s="35">
        <f>DSUM($B$57:$Y$61,O$57,$C$68:$D100)</f>
        <v>8.3352283662414948</v>
      </c>
      <c r="P100" s="35">
        <f>DSUM($B$57:$Y$61,P$57,$C$68:$D100)</f>
        <v>8.7572247028449475</v>
      </c>
      <c r="Q100" s="35">
        <f>DSUM($B$57:$Y$61,Q$57,$C$68:$D100)</f>
        <v>9.0005919852409981</v>
      </c>
      <c r="R100" s="35">
        <f>DSUM($B$57:$Y$61,R$57,$C$68:$D100)</f>
        <v>9.1146385218889634</v>
      </c>
      <c r="S100" s="35">
        <f>DSUM($B$57:$Y$61,S$57,$C$68:$D100)</f>
        <v>9.1515087602609633</v>
      </c>
      <c r="T100" s="35">
        <f>DSUM($B$57:$Y$61,T$57,$C$68:$D100)</f>
        <v>11.193772089977351</v>
      </c>
      <c r="U100" s="35">
        <f>DSUM($B$57:$Y$61,U$57,$C$68:$D100)</f>
        <v>11.002813253470823</v>
      </c>
      <c r="V100" s="35">
        <f>DSUM($B$57:$Y$61,V$57,$C$68:$D100)</f>
        <v>10.783755463458895</v>
      </c>
      <c r="W100" s="35">
        <f>DSUM($B$57:$Y$61,W$57,$C$68:$D100)</f>
        <v>10.594053686791213</v>
      </c>
      <c r="X100" s="35">
        <f>DSUM($B$57:$Y$61,X$57,$C$68:$D100)</f>
        <v>10.405520282949515</v>
      </c>
      <c r="Y100" s="35">
        <f>DSUM($B$57:$Y$61,Y$57,$C$68:$D100)</f>
        <v>143.01208734394328</v>
      </c>
      <c r="Z100" s="7"/>
      <c r="AA100" s="7"/>
      <c r="AB100" s="7"/>
      <c r="AC100" s="7"/>
    </row>
    <row r="101" spans="1:29" customForma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row>
    <row r="102" spans="1:29" customForma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row>
    <row r="103" spans="1:29" customFormat="1" ht="15">
      <c r="A103" s="55" t="s">
        <v>134</v>
      </c>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row>
    <row r="104" spans="1:29" customFormat="1" ht="15">
      <c r="A104" s="7"/>
      <c r="B104" s="7"/>
      <c r="C104" s="7"/>
      <c r="D104" s="129" t="str">
        <f>C8</f>
        <v>DHP</v>
      </c>
      <c r="E104" s="58">
        <f t="shared" ref="E104:X104" si="19">E11</f>
        <v>2016</v>
      </c>
      <c r="F104" s="59">
        <f t="shared" si="19"/>
        <v>2017</v>
      </c>
      <c r="G104" s="59">
        <f t="shared" si="19"/>
        <v>2018</v>
      </c>
      <c r="H104" s="59">
        <f t="shared" si="19"/>
        <v>2019</v>
      </c>
      <c r="I104" s="59">
        <f t="shared" si="19"/>
        <v>2020</v>
      </c>
      <c r="J104" s="59">
        <f t="shared" si="19"/>
        <v>2021</v>
      </c>
      <c r="K104" s="59">
        <f t="shared" si="19"/>
        <v>2022</v>
      </c>
      <c r="L104" s="59">
        <f t="shared" si="19"/>
        <v>2023</v>
      </c>
      <c r="M104" s="59">
        <f t="shared" si="19"/>
        <v>2024</v>
      </c>
      <c r="N104" s="59">
        <f t="shared" si="19"/>
        <v>2025</v>
      </c>
      <c r="O104" s="59">
        <f t="shared" si="19"/>
        <v>2026</v>
      </c>
      <c r="P104" s="59">
        <f t="shared" si="19"/>
        <v>2027</v>
      </c>
      <c r="Q104" s="59">
        <f t="shared" si="19"/>
        <v>2028</v>
      </c>
      <c r="R104" s="59">
        <f t="shared" si="19"/>
        <v>2029</v>
      </c>
      <c r="S104" s="59">
        <f t="shared" si="19"/>
        <v>2030</v>
      </c>
      <c r="T104" s="59">
        <f t="shared" si="19"/>
        <v>2031</v>
      </c>
      <c r="U104" s="59">
        <f t="shared" si="19"/>
        <v>2032</v>
      </c>
      <c r="V104" s="59">
        <f t="shared" si="19"/>
        <v>2033</v>
      </c>
      <c r="W104" s="59">
        <f t="shared" si="19"/>
        <v>2034</v>
      </c>
      <c r="X104" s="59">
        <f t="shared" si="19"/>
        <v>2035</v>
      </c>
      <c r="Y104" s="60" t="s">
        <v>60</v>
      </c>
      <c r="Z104" s="7"/>
      <c r="AA104" s="7"/>
      <c r="AB104" s="7"/>
      <c r="AC104" s="7"/>
    </row>
    <row r="105" spans="1:29" customFormat="1" ht="15">
      <c r="A105" s="7"/>
      <c r="B105" s="7"/>
      <c r="C105" s="7"/>
      <c r="D105" s="7" t="str">
        <f>C8</f>
        <v>DHP</v>
      </c>
      <c r="E105" s="61" t="str">
        <f>CONCATENATE("aMW_",E$11)</f>
        <v>aMW_2016</v>
      </c>
      <c r="F105" s="62" t="str">
        <f t="shared" ref="F105:X105" si="20">CONCATENATE("aMW_",F$11)</f>
        <v>aMW_2017</v>
      </c>
      <c r="G105" s="62" t="str">
        <f t="shared" si="20"/>
        <v>aMW_2018</v>
      </c>
      <c r="H105" s="62" t="str">
        <f t="shared" si="20"/>
        <v>aMW_2019</v>
      </c>
      <c r="I105" s="62" t="str">
        <f t="shared" si="20"/>
        <v>aMW_2020</v>
      </c>
      <c r="J105" s="62" t="str">
        <f t="shared" si="20"/>
        <v>aMW_2021</v>
      </c>
      <c r="K105" s="62" t="str">
        <f t="shared" si="20"/>
        <v>aMW_2022</v>
      </c>
      <c r="L105" s="62" t="str">
        <f t="shared" si="20"/>
        <v>aMW_2023</v>
      </c>
      <c r="M105" s="62" t="str">
        <f t="shared" si="20"/>
        <v>aMW_2024</v>
      </c>
      <c r="N105" s="62" t="str">
        <f t="shared" si="20"/>
        <v>aMW_2025</v>
      </c>
      <c r="O105" s="62" t="str">
        <f t="shared" si="20"/>
        <v>aMW_2026</v>
      </c>
      <c r="P105" s="62" t="str">
        <f t="shared" si="20"/>
        <v>aMW_2027</v>
      </c>
      <c r="Q105" s="62" t="str">
        <f t="shared" si="20"/>
        <v>aMW_2028</v>
      </c>
      <c r="R105" s="62" t="str">
        <f t="shared" si="20"/>
        <v>aMW_2029</v>
      </c>
      <c r="S105" s="62" t="str">
        <f t="shared" si="20"/>
        <v>aMW_2030</v>
      </c>
      <c r="T105" s="62" t="str">
        <f t="shared" si="20"/>
        <v>aMW_2031</v>
      </c>
      <c r="U105" s="62" t="str">
        <f t="shared" si="20"/>
        <v>aMW_2032</v>
      </c>
      <c r="V105" s="62" t="str">
        <f t="shared" si="20"/>
        <v>aMW_2033</v>
      </c>
      <c r="W105" s="62" t="str">
        <f t="shared" si="20"/>
        <v>aMW_2034</v>
      </c>
      <c r="X105" s="62" t="str">
        <f t="shared" si="20"/>
        <v>aMW_2035</v>
      </c>
      <c r="Y105" s="63" t="s">
        <v>60</v>
      </c>
      <c r="Z105" s="7"/>
      <c r="AA105" s="7"/>
      <c r="AB105" s="7"/>
      <c r="AC105" s="7"/>
    </row>
    <row r="106" spans="1:29" customFormat="1">
      <c r="A106" s="7"/>
      <c r="B106" s="7"/>
      <c r="C106" s="7"/>
      <c r="D106" s="7" t="s">
        <v>68</v>
      </c>
      <c r="E106" s="29">
        <f t="shared" ref="E106:Y106" si="21">E69</f>
        <v>0</v>
      </c>
      <c r="F106" s="29">
        <f t="shared" si="21"/>
        <v>0</v>
      </c>
      <c r="G106" s="29">
        <f t="shared" si="21"/>
        <v>0</v>
      </c>
      <c r="H106" s="29">
        <f t="shared" si="21"/>
        <v>0</v>
      </c>
      <c r="I106" s="29">
        <f t="shared" si="21"/>
        <v>0</v>
      </c>
      <c r="J106" s="29">
        <f t="shared" si="21"/>
        <v>0</v>
      </c>
      <c r="K106" s="29">
        <f t="shared" si="21"/>
        <v>0</v>
      </c>
      <c r="L106" s="29">
        <f t="shared" si="21"/>
        <v>0</v>
      </c>
      <c r="M106" s="29">
        <f t="shared" si="21"/>
        <v>0</v>
      </c>
      <c r="N106" s="29">
        <f t="shared" si="21"/>
        <v>0</v>
      </c>
      <c r="O106" s="29">
        <f t="shared" si="21"/>
        <v>0</v>
      </c>
      <c r="P106" s="29">
        <f t="shared" si="21"/>
        <v>0</v>
      </c>
      <c r="Q106" s="29">
        <f t="shared" si="21"/>
        <v>0</v>
      </c>
      <c r="R106" s="29">
        <f t="shared" si="21"/>
        <v>0</v>
      </c>
      <c r="S106" s="29">
        <f t="shared" si="21"/>
        <v>0</v>
      </c>
      <c r="T106" s="29">
        <f t="shared" si="21"/>
        <v>0</v>
      </c>
      <c r="U106" s="29">
        <f t="shared" si="21"/>
        <v>0</v>
      </c>
      <c r="V106" s="29">
        <f t="shared" si="21"/>
        <v>0</v>
      </c>
      <c r="W106" s="29">
        <f t="shared" si="21"/>
        <v>0</v>
      </c>
      <c r="X106" s="29">
        <f t="shared" si="21"/>
        <v>0</v>
      </c>
      <c r="Y106" s="29">
        <f t="shared" si="21"/>
        <v>0</v>
      </c>
      <c r="Z106" s="7"/>
      <c r="AA106" s="7"/>
      <c r="AB106" s="7"/>
      <c r="AC106" s="7"/>
    </row>
    <row r="107" spans="1:29" customFormat="1">
      <c r="A107" s="7"/>
      <c r="B107" s="7"/>
      <c r="C107" s="7"/>
      <c r="D107" s="7" t="s">
        <v>544</v>
      </c>
      <c r="E107" s="29">
        <f t="shared" ref="E107:Y119" si="22">E70-E69</f>
        <v>0</v>
      </c>
      <c r="F107" s="29">
        <f t="shared" si="22"/>
        <v>0</v>
      </c>
      <c r="G107" s="29">
        <f t="shared" si="22"/>
        <v>0</v>
      </c>
      <c r="H107" s="29">
        <f t="shared" si="22"/>
        <v>0</v>
      </c>
      <c r="I107" s="29">
        <f t="shared" si="22"/>
        <v>0</v>
      </c>
      <c r="J107" s="29">
        <f t="shared" si="22"/>
        <v>0</v>
      </c>
      <c r="K107" s="29">
        <f t="shared" si="22"/>
        <v>0</v>
      </c>
      <c r="L107" s="29">
        <f t="shared" si="22"/>
        <v>0</v>
      </c>
      <c r="M107" s="29">
        <f t="shared" si="22"/>
        <v>0</v>
      </c>
      <c r="N107" s="29">
        <f t="shared" si="22"/>
        <v>0</v>
      </c>
      <c r="O107" s="29">
        <f t="shared" si="22"/>
        <v>0</v>
      </c>
      <c r="P107" s="29">
        <f t="shared" si="22"/>
        <v>0</v>
      </c>
      <c r="Q107" s="29">
        <f t="shared" si="22"/>
        <v>0</v>
      </c>
      <c r="R107" s="29">
        <f t="shared" si="22"/>
        <v>0</v>
      </c>
      <c r="S107" s="29">
        <f t="shared" si="22"/>
        <v>0</v>
      </c>
      <c r="T107" s="29">
        <f t="shared" si="22"/>
        <v>0</v>
      </c>
      <c r="U107" s="29">
        <f t="shared" si="22"/>
        <v>0</v>
      </c>
      <c r="V107" s="29">
        <f t="shared" si="22"/>
        <v>0</v>
      </c>
      <c r="W107" s="29">
        <f t="shared" si="22"/>
        <v>0</v>
      </c>
      <c r="X107" s="29">
        <f t="shared" si="22"/>
        <v>0</v>
      </c>
      <c r="Y107" s="29">
        <f t="shared" si="22"/>
        <v>0</v>
      </c>
      <c r="Z107" s="7"/>
      <c r="AA107" s="7"/>
      <c r="AB107" s="7"/>
      <c r="AC107" s="7"/>
    </row>
    <row r="108" spans="1:29" customFormat="1">
      <c r="A108" s="7"/>
      <c r="B108" s="7"/>
      <c r="C108" s="7"/>
      <c r="D108" s="7" t="s">
        <v>74</v>
      </c>
      <c r="E108" s="29">
        <f t="shared" si="22"/>
        <v>0</v>
      </c>
      <c r="F108" s="29">
        <f t="shared" si="22"/>
        <v>0</v>
      </c>
      <c r="G108" s="29">
        <f t="shared" si="22"/>
        <v>0</v>
      </c>
      <c r="H108" s="29">
        <f t="shared" si="22"/>
        <v>0</v>
      </c>
      <c r="I108" s="29">
        <f t="shared" si="22"/>
        <v>0</v>
      </c>
      <c r="J108" s="29">
        <f t="shared" si="22"/>
        <v>0</v>
      </c>
      <c r="K108" s="29">
        <f t="shared" si="22"/>
        <v>0</v>
      </c>
      <c r="L108" s="29">
        <f t="shared" si="22"/>
        <v>0</v>
      </c>
      <c r="M108" s="29">
        <f t="shared" si="22"/>
        <v>0</v>
      </c>
      <c r="N108" s="29">
        <f t="shared" si="22"/>
        <v>0</v>
      </c>
      <c r="O108" s="29">
        <f t="shared" si="22"/>
        <v>0</v>
      </c>
      <c r="P108" s="29">
        <f t="shared" si="22"/>
        <v>0</v>
      </c>
      <c r="Q108" s="29">
        <f t="shared" si="22"/>
        <v>0</v>
      </c>
      <c r="R108" s="29">
        <f t="shared" si="22"/>
        <v>0</v>
      </c>
      <c r="S108" s="29">
        <f t="shared" si="22"/>
        <v>0</v>
      </c>
      <c r="T108" s="29">
        <f t="shared" si="22"/>
        <v>0</v>
      </c>
      <c r="U108" s="29">
        <f t="shared" si="22"/>
        <v>0</v>
      </c>
      <c r="V108" s="29">
        <f t="shared" si="22"/>
        <v>0</v>
      </c>
      <c r="W108" s="29">
        <f t="shared" si="22"/>
        <v>0</v>
      </c>
      <c r="X108" s="29">
        <f t="shared" si="22"/>
        <v>0</v>
      </c>
      <c r="Y108" s="29">
        <f t="shared" si="22"/>
        <v>0</v>
      </c>
      <c r="Z108" s="7"/>
      <c r="AA108" s="7"/>
      <c r="AB108" s="7"/>
      <c r="AC108" s="7"/>
    </row>
    <row r="109" spans="1:29" customFormat="1">
      <c r="A109" s="7"/>
      <c r="B109" s="7"/>
      <c r="C109" s="7"/>
      <c r="D109" s="7" t="s">
        <v>77</v>
      </c>
      <c r="E109" s="29">
        <f t="shared" si="22"/>
        <v>0</v>
      </c>
      <c r="F109" s="29">
        <f t="shared" si="22"/>
        <v>0</v>
      </c>
      <c r="G109" s="29">
        <f t="shared" si="22"/>
        <v>0</v>
      </c>
      <c r="H109" s="29">
        <f t="shared" si="22"/>
        <v>0</v>
      </c>
      <c r="I109" s="29">
        <f t="shared" si="22"/>
        <v>0</v>
      </c>
      <c r="J109" s="29">
        <f t="shared" si="22"/>
        <v>0</v>
      </c>
      <c r="K109" s="29">
        <f t="shared" si="22"/>
        <v>0</v>
      </c>
      <c r="L109" s="29">
        <f t="shared" si="22"/>
        <v>0</v>
      </c>
      <c r="M109" s="29">
        <f t="shared" si="22"/>
        <v>0</v>
      </c>
      <c r="N109" s="29">
        <f t="shared" si="22"/>
        <v>0</v>
      </c>
      <c r="O109" s="29">
        <f t="shared" si="22"/>
        <v>0</v>
      </c>
      <c r="P109" s="29">
        <f t="shared" si="22"/>
        <v>0</v>
      </c>
      <c r="Q109" s="29">
        <f t="shared" si="22"/>
        <v>0</v>
      </c>
      <c r="R109" s="29">
        <f t="shared" si="22"/>
        <v>0</v>
      </c>
      <c r="S109" s="29">
        <f t="shared" si="22"/>
        <v>0</v>
      </c>
      <c r="T109" s="29">
        <f t="shared" si="22"/>
        <v>0</v>
      </c>
      <c r="U109" s="29">
        <f t="shared" si="22"/>
        <v>0</v>
      </c>
      <c r="V109" s="29">
        <f t="shared" si="22"/>
        <v>0</v>
      </c>
      <c r="W109" s="29">
        <f t="shared" si="22"/>
        <v>0</v>
      </c>
      <c r="X109" s="29">
        <f t="shared" si="22"/>
        <v>0</v>
      </c>
      <c r="Y109" s="29">
        <f t="shared" si="22"/>
        <v>0</v>
      </c>
      <c r="Z109" s="7"/>
      <c r="AA109" s="7"/>
      <c r="AB109" s="7"/>
      <c r="AC109" s="7"/>
    </row>
    <row r="110" spans="1:29" customFormat="1">
      <c r="A110" s="7"/>
      <c r="B110" s="7"/>
      <c r="C110" s="7"/>
      <c r="D110" s="7" t="s">
        <v>80</v>
      </c>
      <c r="E110" s="29">
        <f t="shared" si="22"/>
        <v>0</v>
      </c>
      <c r="F110" s="29">
        <f t="shared" si="22"/>
        <v>0</v>
      </c>
      <c r="G110" s="29">
        <f t="shared" si="22"/>
        <v>0</v>
      </c>
      <c r="H110" s="29">
        <f t="shared" si="22"/>
        <v>0</v>
      </c>
      <c r="I110" s="29">
        <f t="shared" si="22"/>
        <v>0</v>
      </c>
      <c r="J110" s="29">
        <f t="shared" si="22"/>
        <v>0</v>
      </c>
      <c r="K110" s="29">
        <f t="shared" si="22"/>
        <v>0</v>
      </c>
      <c r="L110" s="29">
        <f t="shared" si="22"/>
        <v>0</v>
      </c>
      <c r="M110" s="29">
        <f t="shared" si="22"/>
        <v>0</v>
      </c>
      <c r="N110" s="29">
        <f t="shared" si="22"/>
        <v>0</v>
      </c>
      <c r="O110" s="29">
        <f t="shared" si="22"/>
        <v>0</v>
      </c>
      <c r="P110" s="29">
        <f t="shared" si="22"/>
        <v>0</v>
      </c>
      <c r="Q110" s="29">
        <f t="shared" si="22"/>
        <v>0</v>
      </c>
      <c r="R110" s="29">
        <f t="shared" si="22"/>
        <v>0</v>
      </c>
      <c r="S110" s="29">
        <f t="shared" si="22"/>
        <v>0</v>
      </c>
      <c r="T110" s="29">
        <f t="shared" si="22"/>
        <v>0</v>
      </c>
      <c r="U110" s="29">
        <f t="shared" si="22"/>
        <v>0</v>
      </c>
      <c r="V110" s="29">
        <f t="shared" si="22"/>
        <v>0</v>
      </c>
      <c r="W110" s="29">
        <f t="shared" si="22"/>
        <v>0</v>
      </c>
      <c r="X110" s="29">
        <f t="shared" si="22"/>
        <v>0</v>
      </c>
      <c r="Y110" s="29">
        <f t="shared" si="22"/>
        <v>0</v>
      </c>
      <c r="Z110" s="7"/>
      <c r="AA110" s="7"/>
      <c r="AB110" s="7"/>
      <c r="AC110" s="7"/>
    </row>
    <row r="111" spans="1:29" customFormat="1">
      <c r="A111" s="7"/>
      <c r="B111" s="7"/>
      <c r="C111" s="7"/>
      <c r="D111" s="7" t="s">
        <v>83</v>
      </c>
      <c r="E111" s="29">
        <f t="shared" si="22"/>
        <v>0</v>
      </c>
      <c r="F111" s="29">
        <f>F74-F73</f>
        <v>0</v>
      </c>
      <c r="G111" s="29">
        <f t="shared" si="22"/>
        <v>0</v>
      </c>
      <c r="H111" s="29">
        <f t="shared" si="22"/>
        <v>0</v>
      </c>
      <c r="I111" s="29">
        <f t="shared" si="22"/>
        <v>0</v>
      </c>
      <c r="J111" s="29">
        <f t="shared" si="22"/>
        <v>0</v>
      </c>
      <c r="K111" s="29">
        <f t="shared" si="22"/>
        <v>0</v>
      </c>
      <c r="L111" s="29">
        <f t="shared" si="22"/>
        <v>0</v>
      </c>
      <c r="M111" s="29">
        <f t="shared" si="22"/>
        <v>0</v>
      </c>
      <c r="N111" s="29">
        <f t="shared" si="22"/>
        <v>0</v>
      </c>
      <c r="O111" s="29">
        <f t="shared" si="22"/>
        <v>0</v>
      </c>
      <c r="P111" s="29">
        <f t="shared" si="22"/>
        <v>0</v>
      </c>
      <c r="Q111" s="29">
        <f t="shared" si="22"/>
        <v>0</v>
      </c>
      <c r="R111" s="29">
        <f t="shared" si="22"/>
        <v>0</v>
      </c>
      <c r="S111" s="29">
        <f t="shared" si="22"/>
        <v>0</v>
      </c>
      <c r="T111" s="29">
        <f t="shared" si="22"/>
        <v>0</v>
      </c>
      <c r="U111" s="29">
        <f t="shared" si="22"/>
        <v>0</v>
      </c>
      <c r="V111" s="29">
        <f t="shared" si="22"/>
        <v>0</v>
      </c>
      <c r="W111" s="29">
        <f t="shared" si="22"/>
        <v>0</v>
      </c>
      <c r="X111" s="29">
        <f t="shared" si="22"/>
        <v>0</v>
      </c>
      <c r="Y111" s="29">
        <f t="shared" si="22"/>
        <v>0</v>
      </c>
      <c r="Z111" s="7"/>
      <c r="AA111" s="7"/>
      <c r="AB111" s="7"/>
      <c r="AC111" s="7"/>
    </row>
    <row r="112" spans="1:29" customFormat="1">
      <c r="A112" s="7"/>
      <c r="B112" s="7"/>
      <c r="C112" s="7"/>
      <c r="D112" s="7" t="s">
        <v>86</v>
      </c>
      <c r="E112" s="29">
        <f t="shared" si="22"/>
        <v>0</v>
      </c>
      <c r="F112" s="29">
        <f t="shared" si="22"/>
        <v>0</v>
      </c>
      <c r="G112" s="29">
        <f t="shared" si="22"/>
        <v>0</v>
      </c>
      <c r="H112" s="29">
        <f t="shared" si="22"/>
        <v>0</v>
      </c>
      <c r="I112" s="29">
        <f t="shared" si="22"/>
        <v>0</v>
      </c>
      <c r="J112" s="29">
        <f t="shared" si="22"/>
        <v>0</v>
      </c>
      <c r="K112" s="29">
        <f t="shared" si="22"/>
        <v>0</v>
      </c>
      <c r="L112" s="29">
        <f t="shared" si="22"/>
        <v>0</v>
      </c>
      <c r="M112" s="29">
        <f t="shared" si="22"/>
        <v>0</v>
      </c>
      <c r="N112" s="29">
        <f t="shared" si="22"/>
        <v>0</v>
      </c>
      <c r="O112" s="29">
        <f t="shared" si="22"/>
        <v>0</v>
      </c>
      <c r="P112" s="29">
        <f t="shared" si="22"/>
        <v>0</v>
      </c>
      <c r="Q112" s="29">
        <f t="shared" si="22"/>
        <v>0</v>
      </c>
      <c r="R112" s="29">
        <f t="shared" si="22"/>
        <v>0</v>
      </c>
      <c r="S112" s="29">
        <f t="shared" si="22"/>
        <v>0</v>
      </c>
      <c r="T112" s="29">
        <f t="shared" si="22"/>
        <v>0</v>
      </c>
      <c r="U112" s="29">
        <f t="shared" si="22"/>
        <v>0</v>
      </c>
      <c r="V112" s="29">
        <f t="shared" si="22"/>
        <v>0</v>
      </c>
      <c r="W112" s="29">
        <f t="shared" si="22"/>
        <v>0</v>
      </c>
      <c r="X112" s="29">
        <f t="shared" si="22"/>
        <v>0</v>
      </c>
      <c r="Y112" s="29">
        <f t="shared" si="22"/>
        <v>0</v>
      </c>
      <c r="Z112" s="7"/>
      <c r="AA112" s="7"/>
      <c r="AB112" s="7"/>
      <c r="AC112" s="7"/>
    </row>
    <row r="113" spans="1:29" customFormat="1">
      <c r="A113" s="7"/>
      <c r="B113" s="7"/>
      <c r="C113" s="7"/>
      <c r="D113" s="7" t="s">
        <v>89</v>
      </c>
      <c r="E113" s="29">
        <f t="shared" si="22"/>
        <v>0</v>
      </c>
      <c r="F113" s="29">
        <f t="shared" si="22"/>
        <v>0</v>
      </c>
      <c r="G113" s="29">
        <f t="shared" si="22"/>
        <v>0</v>
      </c>
      <c r="H113" s="29">
        <f t="shared" si="22"/>
        <v>0</v>
      </c>
      <c r="I113" s="29">
        <f t="shared" si="22"/>
        <v>0</v>
      </c>
      <c r="J113" s="29">
        <f t="shared" si="22"/>
        <v>0</v>
      </c>
      <c r="K113" s="29">
        <f t="shared" si="22"/>
        <v>0</v>
      </c>
      <c r="L113" s="29">
        <f t="shared" si="22"/>
        <v>0</v>
      </c>
      <c r="M113" s="29">
        <f t="shared" si="22"/>
        <v>0</v>
      </c>
      <c r="N113" s="29">
        <f t="shared" si="22"/>
        <v>0</v>
      </c>
      <c r="O113" s="29">
        <f t="shared" si="22"/>
        <v>0</v>
      </c>
      <c r="P113" s="29">
        <f t="shared" si="22"/>
        <v>0</v>
      </c>
      <c r="Q113" s="29">
        <f t="shared" si="22"/>
        <v>0</v>
      </c>
      <c r="R113" s="29">
        <f t="shared" si="22"/>
        <v>0</v>
      </c>
      <c r="S113" s="29">
        <f t="shared" si="22"/>
        <v>0</v>
      </c>
      <c r="T113" s="29">
        <f t="shared" si="22"/>
        <v>0</v>
      </c>
      <c r="U113" s="29">
        <f t="shared" si="22"/>
        <v>0</v>
      </c>
      <c r="V113" s="29">
        <f t="shared" si="22"/>
        <v>0</v>
      </c>
      <c r="W113" s="29">
        <f t="shared" si="22"/>
        <v>0</v>
      </c>
      <c r="X113" s="29">
        <f t="shared" si="22"/>
        <v>0</v>
      </c>
      <c r="Y113" s="29">
        <f t="shared" si="22"/>
        <v>0</v>
      </c>
      <c r="Z113" s="7"/>
      <c r="AA113" s="7"/>
      <c r="AB113" s="7"/>
      <c r="AC113" s="7"/>
    </row>
    <row r="114" spans="1:29" customFormat="1">
      <c r="A114" s="7"/>
      <c r="B114" s="7"/>
      <c r="C114" s="7"/>
      <c r="D114" s="7" t="s">
        <v>92</v>
      </c>
      <c r="E114" s="29">
        <f t="shared" si="22"/>
        <v>0</v>
      </c>
      <c r="F114" s="29">
        <f t="shared" si="22"/>
        <v>0</v>
      </c>
      <c r="G114" s="29">
        <f t="shared" si="22"/>
        <v>0</v>
      </c>
      <c r="H114" s="29">
        <f t="shared" si="22"/>
        <v>0</v>
      </c>
      <c r="I114" s="29">
        <f t="shared" si="22"/>
        <v>0</v>
      </c>
      <c r="J114" s="29">
        <f t="shared" si="22"/>
        <v>0</v>
      </c>
      <c r="K114" s="29">
        <f t="shared" si="22"/>
        <v>0</v>
      </c>
      <c r="L114" s="29">
        <f t="shared" si="22"/>
        <v>0</v>
      </c>
      <c r="M114" s="29">
        <f t="shared" si="22"/>
        <v>0</v>
      </c>
      <c r="N114" s="29">
        <f t="shared" si="22"/>
        <v>0</v>
      </c>
      <c r="O114" s="29">
        <f t="shared" si="22"/>
        <v>0</v>
      </c>
      <c r="P114" s="29">
        <f t="shared" si="22"/>
        <v>0</v>
      </c>
      <c r="Q114" s="29">
        <f t="shared" si="22"/>
        <v>0</v>
      </c>
      <c r="R114" s="29">
        <f t="shared" si="22"/>
        <v>0</v>
      </c>
      <c r="S114" s="29">
        <f t="shared" si="22"/>
        <v>0</v>
      </c>
      <c r="T114" s="29">
        <f t="shared" si="22"/>
        <v>0</v>
      </c>
      <c r="U114" s="29">
        <f t="shared" si="22"/>
        <v>0</v>
      </c>
      <c r="V114" s="29">
        <f t="shared" si="22"/>
        <v>0</v>
      </c>
      <c r="W114" s="29">
        <f t="shared" si="22"/>
        <v>0</v>
      </c>
      <c r="X114" s="29">
        <f t="shared" si="22"/>
        <v>0</v>
      </c>
      <c r="Y114" s="29">
        <f t="shared" si="22"/>
        <v>0</v>
      </c>
      <c r="Z114" s="7"/>
      <c r="AA114" s="7"/>
      <c r="AB114" s="7"/>
      <c r="AC114" s="7"/>
    </row>
    <row r="115" spans="1:29" customFormat="1">
      <c r="A115" s="7"/>
      <c r="B115" s="7"/>
      <c r="C115" s="7"/>
      <c r="D115" s="7" t="s">
        <v>95</v>
      </c>
      <c r="E115" s="29">
        <f t="shared" si="22"/>
        <v>0</v>
      </c>
      <c r="F115" s="29">
        <f t="shared" si="22"/>
        <v>0</v>
      </c>
      <c r="G115" s="29">
        <f t="shared" si="22"/>
        <v>0</v>
      </c>
      <c r="H115" s="29">
        <f t="shared" si="22"/>
        <v>0</v>
      </c>
      <c r="I115" s="29">
        <f t="shared" si="22"/>
        <v>0</v>
      </c>
      <c r="J115" s="29">
        <f t="shared" si="22"/>
        <v>0</v>
      </c>
      <c r="K115" s="29">
        <f t="shared" si="22"/>
        <v>0</v>
      </c>
      <c r="L115" s="29">
        <f t="shared" si="22"/>
        <v>0</v>
      </c>
      <c r="M115" s="29">
        <f t="shared" si="22"/>
        <v>0</v>
      </c>
      <c r="N115" s="29">
        <f t="shared" si="22"/>
        <v>0</v>
      </c>
      <c r="O115" s="29">
        <f t="shared" si="22"/>
        <v>0</v>
      </c>
      <c r="P115" s="29">
        <f t="shared" si="22"/>
        <v>0</v>
      </c>
      <c r="Q115" s="29">
        <f t="shared" si="22"/>
        <v>0</v>
      </c>
      <c r="R115" s="29">
        <f t="shared" si="22"/>
        <v>0</v>
      </c>
      <c r="S115" s="29">
        <f t="shared" si="22"/>
        <v>0</v>
      </c>
      <c r="T115" s="29">
        <f t="shared" si="22"/>
        <v>0</v>
      </c>
      <c r="U115" s="29">
        <f t="shared" si="22"/>
        <v>0</v>
      </c>
      <c r="V115" s="29">
        <f t="shared" si="22"/>
        <v>0</v>
      </c>
      <c r="W115" s="29">
        <f t="shared" si="22"/>
        <v>0</v>
      </c>
      <c r="X115" s="29">
        <f t="shared" si="22"/>
        <v>0</v>
      </c>
      <c r="Y115" s="29">
        <f t="shared" si="22"/>
        <v>0</v>
      </c>
      <c r="Z115" s="7"/>
      <c r="AA115" s="7"/>
      <c r="AB115" s="7"/>
      <c r="AC115" s="7"/>
    </row>
    <row r="116" spans="1:29" customFormat="1">
      <c r="A116" s="7"/>
      <c r="B116" s="7"/>
      <c r="C116" s="7"/>
      <c r="D116" s="7" t="s">
        <v>98</v>
      </c>
      <c r="E116" s="29">
        <f t="shared" si="22"/>
        <v>0</v>
      </c>
      <c r="F116" s="29">
        <f t="shared" si="22"/>
        <v>0</v>
      </c>
      <c r="G116" s="29">
        <f t="shared" si="22"/>
        <v>0</v>
      </c>
      <c r="H116" s="29">
        <f t="shared" si="22"/>
        <v>0</v>
      </c>
      <c r="I116" s="29">
        <f t="shared" si="22"/>
        <v>0</v>
      </c>
      <c r="J116" s="29">
        <f t="shared" si="22"/>
        <v>0</v>
      </c>
      <c r="K116" s="29">
        <f t="shared" si="22"/>
        <v>0</v>
      </c>
      <c r="L116" s="29">
        <f t="shared" si="22"/>
        <v>0</v>
      </c>
      <c r="M116" s="29">
        <f t="shared" si="22"/>
        <v>0</v>
      </c>
      <c r="N116" s="29">
        <f t="shared" si="22"/>
        <v>0</v>
      </c>
      <c r="O116" s="29">
        <f t="shared" si="22"/>
        <v>0</v>
      </c>
      <c r="P116" s="29">
        <f t="shared" si="22"/>
        <v>0</v>
      </c>
      <c r="Q116" s="29">
        <f t="shared" si="22"/>
        <v>0</v>
      </c>
      <c r="R116" s="29">
        <f t="shared" si="22"/>
        <v>0</v>
      </c>
      <c r="S116" s="29">
        <f t="shared" si="22"/>
        <v>0</v>
      </c>
      <c r="T116" s="29">
        <f t="shared" si="22"/>
        <v>0</v>
      </c>
      <c r="U116" s="29">
        <f t="shared" si="22"/>
        <v>0</v>
      </c>
      <c r="V116" s="29">
        <f t="shared" si="22"/>
        <v>0</v>
      </c>
      <c r="W116" s="29">
        <f t="shared" si="22"/>
        <v>0</v>
      </c>
      <c r="X116" s="29">
        <f t="shared" si="22"/>
        <v>0</v>
      </c>
      <c r="Y116" s="29">
        <f t="shared" si="22"/>
        <v>0</v>
      </c>
      <c r="Z116" s="7"/>
      <c r="AA116" s="7"/>
      <c r="AB116" s="7"/>
      <c r="AC116" s="7"/>
    </row>
    <row r="117" spans="1:29" customFormat="1">
      <c r="A117" s="7"/>
      <c r="B117" s="7"/>
      <c r="C117" s="7"/>
      <c r="D117" s="7" t="s">
        <v>101</v>
      </c>
      <c r="E117" s="29">
        <f t="shared" si="22"/>
        <v>9.0187803965346203E-2</v>
      </c>
      <c r="F117" s="29">
        <f t="shared" si="22"/>
        <v>0.20046778935459961</v>
      </c>
      <c r="G117" s="29">
        <f t="shared" si="22"/>
        <v>0.3349065996909823</v>
      </c>
      <c r="H117" s="29">
        <f t="shared" si="22"/>
        <v>0.490381229788519</v>
      </c>
      <c r="I117" s="29">
        <f t="shared" si="22"/>
        <v>0.66706896450624242</v>
      </c>
      <c r="J117" s="29">
        <f t="shared" si="22"/>
        <v>0.87295323937001335</v>
      </c>
      <c r="K117" s="29">
        <f t="shared" si="22"/>
        <v>1.0979742759140552</v>
      </c>
      <c r="L117" s="29">
        <f t="shared" si="22"/>
        <v>1.3268543511281266</v>
      </c>
      <c r="M117" s="29">
        <f t="shared" si="22"/>
        <v>1.5413878308914193</v>
      </c>
      <c r="N117" s="29">
        <f t="shared" si="22"/>
        <v>1.7244626637668077</v>
      </c>
      <c r="O117" s="29">
        <f t="shared" si="22"/>
        <v>1.8645985342961229</v>
      </c>
      <c r="P117" s="29">
        <f t="shared" si="22"/>
        <v>1.9589995172249131</v>
      </c>
      <c r="Q117" s="29">
        <f t="shared" si="22"/>
        <v>2.013441010380538</v>
      </c>
      <c r="R117" s="29">
        <f t="shared" si="22"/>
        <v>2.0389533293874904</v>
      </c>
      <c r="S117" s="29">
        <f t="shared" si="22"/>
        <v>2.0472012368720671</v>
      </c>
      <c r="T117" s="29">
        <f t="shared" si="22"/>
        <v>2.5040574913040006</v>
      </c>
      <c r="U117" s="29">
        <f t="shared" si="22"/>
        <v>2.4613398174724046</v>
      </c>
      <c r="V117" s="29">
        <f t="shared" si="22"/>
        <v>2.412336380945499</v>
      </c>
      <c r="W117" s="29">
        <f t="shared" si="22"/>
        <v>2.3698999125986298</v>
      </c>
      <c r="X117" s="29">
        <f t="shared" si="22"/>
        <v>2.3277248103671351</v>
      </c>
      <c r="Y117" s="29">
        <f t="shared" si="22"/>
        <v>31.991940320213164</v>
      </c>
      <c r="Z117" s="7"/>
      <c r="AA117" s="7"/>
      <c r="AB117" s="7"/>
      <c r="AC117" s="7"/>
    </row>
    <row r="118" spans="1:29" customFormat="1">
      <c r="A118" s="7"/>
      <c r="B118" s="7"/>
      <c r="C118" s="7"/>
      <c r="D118" s="7" t="s">
        <v>104</v>
      </c>
      <c r="E118" s="29">
        <f t="shared" si="22"/>
        <v>8.903152660368463E-2</v>
      </c>
      <c r="F118" s="29">
        <f t="shared" si="22"/>
        <v>0.19789763733424295</v>
      </c>
      <c r="G118" s="29">
        <f t="shared" si="22"/>
        <v>0.33061283820142967</v>
      </c>
      <c r="H118" s="29">
        <f t="shared" si="22"/>
        <v>0.48409416335982441</v>
      </c>
      <c r="I118" s="29">
        <f t="shared" si="22"/>
        <v>0.65851662473952666</v>
      </c>
      <c r="J118" s="29">
        <f t="shared" si="22"/>
        <v>0.86176130405179097</v>
      </c>
      <c r="K118" s="29">
        <f t="shared" si="22"/>
        <v>1.0838973969669421</v>
      </c>
      <c r="L118" s="29">
        <f t="shared" si="22"/>
        <v>1.3098430526933509</v>
      </c>
      <c r="M118" s="29">
        <f t="shared" si="22"/>
        <v>1.5216260474125221</v>
      </c>
      <c r="N118" s="29">
        <f t="shared" si="22"/>
        <v>1.7023537194143064</v>
      </c>
      <c r="O118" s="29">
        <f t="shared" si="22"/>
        <v>1.8406929397589469</v>
      </c>
      <c r="P118" s="29">
        <f t="shared" si="22"/>
        <v>1.9338836291149928</v>
      </c>
      <c r="Q118" s="29">
        <f t="shared" si="22"/>
        <v>1.9876271402452974</v>
      </c>
      <c r="R118" s="29">
        <f t="shared" si="22"/>
        <v>2.0128123716016559</v>
      </c>
      <c r="S118" s="29">
        <f t="shared" si="22"/>
        <v>2.0209545345366795</v>
      </c>
      <c r="T118" s="29">
        <f t="shared" si="22"/>
        <v>2.4719535386386671</v>
      </c>
      <c r="U118" s="29">
        <f t="shared" si="22"/>
        <v>2.4297835384061899</v>
      </c>
      <c r="V118" s="29">
        <f t="shared" si="22"/>
        <v>2.3814083638150265</v>
      </c>
      <c r="W118" s="29">
        <f t="shared" si="22"/>
        <v>2.3395159637955913</v>
      </c>
      <c r="X118" s="29">
        <f t="shared" si="22"/>
        <v>2.2978815789758968</v>
      </c>
      <c r="Y118" s="29">
        <f t="shared" si="22"/>
        <v>31.581778915661129</v>
      </c>
      <c r="Z118" s="7"/>
      <c r="AA118" s="7"/>
      <c r="AB118" s="7"/>
      <c r="AC118" s="7"/>
    </row>
    <row r="119" spans="1:29" customFormat="1">
      <c r="A119" s="7"/>
      <c r="B119" s="7"/>
      <c r="C119" s="7"/>
      <c r="D119" s="7" t="s">
        <v>107</v>
      </c>
      <c r="E119" s="29">
        <f t="shared" si="22"/>
        <v>0</v>
      </c>
      <c r="F119" s="29">
        <f t="shared" si="22"/>
        <v>0</v>
      </c>
      <c r="G119" s="29">
        <f t="shared" si="22"/>
        <v>0</v>
      </c>
      <c r="H119" s="29">
        <f t="shared" si="22"/>
        <v>0</v>
      </c>
      <c r="I119" s="29">
        <f t="shared" ref="E119:Y131" si="23">I82-I81</f>
        <v>0</v>
      </c>
      <c r="J119" s="29">
        <f t="shared" si="23"/>
        <v>0</v>
      </c>
      <c r="K119" s="29">
        <f t="shared" si="23"/>
        <v>0</v>
      </c>
      <c r="L119" s="29">
        <f t="shared" si="23"/>
        <v>0</v>
      </c>
      <c r="M119" s="29">
        <f t="shared" si="23"/>
        <v>0</v>
      </c>
      <c r="N119" s="29">
        <f t="shared" si="23"/>
        <v>0</v>
      </c>
      <c r="O119" s="29">
        <f t="shared" si="23"/>
        <v>0</v>
      </c>
      <c r="P119" s="29">
        <f t="shared" si="23"/>
        <v>0</v>
      </c>
      <c r="Q119" s="29">
        <f t="shared" si="23"/>
        <v>0</v>
      </c>
      <c r="R119" s="29">
        <f t="shared" si="23"/>
        <v>0</v>
      </c>
      <c r="S119" s="29">
        <f t="shared" si="23"/>
        <v>0</v>
      </c>
      <c r="T119" s="29">
        <f t="shared" si="23"/>
        <v>0</v>
      </c>
      <c r="U119" s="29">
        <f t="shared" si="23"/>
        <v>0</v>
      </c>
      <c r="V119" s="29">
        <f t="shared" si="23"/>
        <v>0</v>
      </c>
      <c r="W119" s="29">
        <f t="shared" si="23"/>
        <v>0</v>
      </c>
      <c r="X119" s="29">
        <f t="shared" si="23"/>
        <v>0</v>
      </c>
      <c r="Y119" s="29">
        <f t="shared" si="23"/>
        <v>0</v>
      </c>
      <c r="Z119" s="7"/>
      <c r="AA119" s="7"/>
      <c r="AB119" s="7"/>
      <c r="AC119" s="7"/>
    </row>
    <row r="120" spans="1:29" customFormat="1">
      <c r="A120" s="7"/>
      <c r="B120" s="7"/>
      <c r="C120" s="7"/>
      <c r="D120" s="7" t="s">
        <v>110</v>
      </c>
      <c r="E120" s="29">
        <f t="shared" si="23"/>
        <v>0</v>
      </c>
      <c r="F120" s="29">
        <f t="shared" si="23"/>
        <v>0</v>
      </c>
      <c r="G120" s="29">
        <f t="shared" si="23"/>
        <v>0</v>
      </c>
      <c r="H120" s="29">
        <f t="shared" si="23"/>
        <v>0</v>
      </c>
      <c r="I120" s="29">
        <f t="shared" si="23"/>
        <v>0</v>
      </c>
      <c r="J120" s="29">
        <f t="shared" si="23"/>
        <v>0</v>
      </c>
      <c r="K120" s="29">
        <f t="shared" si="23"/>
        <v>0</v>
      </c>
      <c r="L120" s="29">
        <f t="shared" si="23"/>
        <v>0</v>
      </c>
      <c r="M120" s="29">
        <f t="shared" si="23"/>
        <v>0</v>
      </c>
      <c r="N120" s="29">
        <f t="shared" si="23"/>
        <v>0</v>
      </c>
      <c r="O120" s="29">
        <f t="shared" si="23"/>
        <v>0</v>
      </c>
      <c r="P120" s="29">
        <f t="shared" si="23"/>
        <v>0</v>
      </c>
      <c r="Q120" s="29">
        <f t="shared" si="23"/>
        <v>0</v>
      </c>
      <c r="R120" s="29">
        <f t="shared" si="23"/>
        <v>0</v>
      </c>
      <c r="S120" s="29">
        <f t="shared" si="23"/>
        <v>0</v>
      </c>
      <c r="T120" s="29">
        <f t="shared" si="23"/>
        <v>0</v>
      </c>
      <c r="U120" s="29">
        <f t="shared" si="23"/>
        <v>0</v>
      </c>
      <c r="V120" s="29">
        <f t="shared" si="23"/>
        <v>0</v>
      </c>
      <c r="W120" s="29">
        <f t="shared" si="23"/>
        <v>0</v>
      </c>
      <c r="X120" s="29">
        <f t="shared" si="23"/>
        <v>0</v>
      </c>
      <c r="Y120" s="29">
        <f t="shared" si="23"/>
        <v>0</v>
      </c>
      <c r="Z120" s="7"/>
      <c r="AA120" s="7"/>
      <c r="AB120" s="7"/>
      <c r="AC120" s="7"/>
    </row>
    <row r="121" spans="1:29" customFormat="1">
      <c r="A121" s="7"/>
      <c r="B121" s="7"/>
      <c r="C121" s="7"/>
      <c r="D121" s="7" t="s">
        <v>113</v>
      </c>
      <c r="E121" s="29">
        <f t="shared" si="23"/>
        <v>0.22394302747967232</v>
      </c>
      <c r="F121" s="29">
        <f t="shared" si="23"/>
        <v>0.49777643635137325</v>
      </c>
      <c r="G121" s="29">
        <f t="shared" si="23"/>
        <v>0.83159800505331416</v>
      </c>
      <c r="H121" s="29">
        <f t="shared" si="23"/>
        <v>1.2176530793480917</v>
      </c>
      <c r="I121" s="29">
        <f t="shared" si="23"/>
        <v>1.6563818707311906</v>
      </c>
      <c r="J121" s="29">
        <f t="shared" si="23"/>
        <v>2.1676078436040394</v>
      </c>
      <c r="K121" s="29">
        <f t="shared" si="23"/>
        <v>2.7263518195594729</v>
      </c>
      <c r="L121" s="29">
        <f t="shared" si="23"/>
        <v>3.2946780756562379</v>
      </c>
      <c r="M121" s="29">
        <f t="shared" si="23"/>
        <v>3.827380667820484</v>
      </c>
      <c r="N121" s="29">
        <f t="shared" si="23"/>
        <v>4.28196909914766</v>
      </c>
      <c r="O121" s="29">
        <f t="shared" si="23"/>
        <v>4.629936892186425</v>
      </c>
      <c r="P121" s="29">
        <f t="shared" si="23"/>
        <v>4.8643415565050416</v>
      </c>
      <c r="Q121" s="29">
        <f t="shared" si="23"/>
        <v>4.9995238346151627</v>
      </c>
      <c r="R121" s="29">
        <f t="shared" si="23"/>
        <v>5.0628728208998171</v>
      </c>
      <c r="S121" s="29">
        <f t="shared" si="23"/>
        <v>5.0833529888522166</v>
      </c>
      <c r="T121" s="29">
        <f t="shared" si="23"/>
        <v>6.2177610600346833</v>
      </c>
      <c r="U121" s="29">
        <f t="shared" si="23"/>
        <v>6.1116898975922282</v>
      </c>
      <c r="V121" s="29">
        <f t="shared" si="23"/>
        <v>5.99001071869837</v>
      </c>
      <c r="W121" s="29">
        <f t="shared" si="23"/>
        <v>5.8846378103969919</v>
      </c>
      <c r="X121" s="29">
        <f t="shared" si="23"/>
        <v>5.7799138936064836</v>
      </c>
      <c r="Y121" s="29">
        <f t="shared" si="23"/>
        <v>79.438368108068985</v>
      </c>
      <c r="Z121" s="7"/>
      <c r="AA121" s="7"/>
      <c r="AB121" s="7"/>
      <c r="AC121" s="7"/>
    </row>
    <row r="122" spans="1:29" customFormat="1">
      <c r="A122" s="7"/>
      <c r="B122" s="7"/>
      <c r="C122" s="7"/>
      <c r="D122" s="7" t="s">
        <v>116</v>
      </c>
      <c r="E122" s="29">
        <f t="shared" si="23"/>
        <v>0</v>
      </c>
      <c r="F122" s="29">
        <f t="shared" si="23"/>
        <v>0</v>
      </c>
      <c r="G122" s="29">
        <f t="shared" si="23"/>
        <v>0</v>
      </c>
      <c r="H122" s="29">
        <f t="shared" si="23"/>
        <v>0</v>
      </c>
      <c r="I122" s="29">
        <f t="shared" si="23"/>
        <v>0</v>
      </c>
      <c r="J122" s="29">
        <f t="shared" si="23"/>
        <v>0</v>
      </c>
      <c r="K122" s="29">
        <f t="shared" si="23"/>
        <v>0</v>
      </c>
      <c r="L122" s="29">
        <f t="shared" si="23"/>
        <v>0</v>
      </c>
      <c r="M122" s="29">
        <f t="shared" si="23"/>
        <v>0</v>
      </c>
      <c r="N122" s="29">
        <f t="shared" si="23"/>
        <v>0</v>
      </c>
      <c r="O122" s="29">
        <f t="shared" si="23"/>
        <v>0</v>
      </c>
      <c r="P122" s="29">
        <f t="shared" si="23"/>
        <v>0</v>
      </c>
      <c r="Q122" s="29">
        <f t="shared" si="23"/>
        <v>0</v>
      </c>
      <c r="R122" s="29">
        <f t="shared" si="23"/>
        <v>0</v>
      </c>
      <c r="S122" s="29">
        <f t="shared" si="23"/>
        <v>0</v>
      </c>
      <c r="T122" s="29">
        <f t="shared" si="23"/>
        <v>0</v>
      </c>
      <c r="U122" s="29">
        <f t="shared" si="23"/>
        <v>0</v>
      </c>
      <c r="V122" s="29">
        <f t="shared" si="23"/>
        <v>0</v>
      </c>
      <c r="W122" s="29">
        <f t="shared" si="23"/>
        <v>0</v>
      </c>
      <c r="X122" s="29">
        <f t="shared" si="23"/>
        <v>0</v>
      </c>
      <c r="Y122" s="29">
        <f t="shared" si="23"/>
        <v>0</v>
      </c>
      <c r="Z122" s="7"/>
      <c r="AA122" s="7"/>
      <c r="AB122" s="7"/>
      <c r="AC122" s="7"/>
    </row>
    <row r="123" spans="1:29" customFormat="1">
      <c r="A123" s="7"/>
      <c r="B123" s="7"/>
      <c r="C123" s="7"/>
      <c r="D123" s="7" t="s">
        <v>119</v>
      </c>
      <c r="E123" s="29">
        <f t="shared" si="23"/>
        <v>0</v>
      </c>
      <c r="F123" s="29">
        <f t="shared" si="23"/>
        <v>0</v>
      </c>
      <c r="G123" s="29">
        <f t="shared" si="23"/>
        <v>0</v>
      </c>
      <c r="H123" s="29">
        <f t="shared" si="23"/>
        <v>0</v>
      </c>
      <c r="I123" s="29">
        <f t="shared" si="23"/>
        <v>0</v>
      </c>
      <c r="J123" s="29">
        <f t="shared" si="23"/>
        <v>0</v>
      </c>
      <c r="K123" s="29">
        <f t="shared" si="23"/>
        <v>0</v>
      </c>
      <c r="L123" s="29">
        <f t="shared" si="23"/>
        <v>0</v>
      </c>
      <c r="M123" s="29">
        <f t="shared" si="23"/>
        <v>0</v>
      </c>
      <c r="N123" s="29">
        <f t="shared" si="23"/>
        <v>0</v>
      </c>
      <c r="O123" s="29">
        <f t="shared" si="23"/>
        <v>0</v>
      </c>
      <c r="P123" s="29">
        <f t="shared" si="23"/>
        <v>0</v>
      </c>
      <c r="Q123" s="29">
        <f t="shared" si="23"/>
        <v>0</v>
      </c>
      <c r="R123" s="29">
        <f t="shared" si="23"/>
        <v>0</v>
      </c>
      <c r="S123" s="29">
        <f t="shared" si="23"/>
        <v>0</v>
      </c>
      <c r="T123" s="29">
        <f t="shared" si="23"/>
        <v>0</v>
      </c>
      <c r="U123" s="29">
        <f t="shared" si="23"/>
        <v>0</v>
      </c>
      <c r="V123" s="29">
        <f t="shared" si="23"/>
        <v>0</v>
      </c>
      <c r="W123" s="29">
        <f t="shared" si="23"/>
        <v>0</v>
      </c>
      <c r="X123" s="29">
        <f t="shared" si="23"/>
        <v>0</v>
      </c>
      <c r="Y123" s="29">
        <f t="shared" si="23"/>
        <v>0</v>
      </c>
      <c r="Z123" s="7"/>
      <c r="AA123" s="7"/>
      <c r="AB123" s="7"/>
      <c r="AC123" s="7"/>
    </row>
    <row r="124" spans="1:29" customFormat="1">
      <c r="A124" s="7"/>
      <c r="B124" s="7"/>
      <c r="C124" s="7"/>
      <c r="D124" s="7" t="s">
        <v>122</v>
      </c>
      <c r="E124" s="29">
        <f t="shared" si="23"/>
        <v>0</v>
      </c>
      <c r="F124" s="29">
        <f t="shared" si="23"/>
        <v>0</v>
      </c>
      <c r="G124" s="29">
        <f t="shared" si="23"/>
        <v>0</v>
      </c>
      <c r="H124" s="29">
        <f t="shared" si="23"/>
        <v>0</v>
      </c>
      <c r="I124" s="29">
        <f t="shared" si="23"/>
        <v>0</v>
      </c>
      <c r="J124" s="29">
        <f t="shared" si="23"/>
        <v>0</v>
      </c>
      <c r="K124" s="29">
        <f t="shared" si="23"/>
        <v>0</v>
      </c>
      <c r="L124" s="29">
        <f t="shared" si="23"/>
        <v>0</v>
      </c>
      <c r="M124" s="29">
        <f t="shared" si="23"/>
        <v>0</v>
      </c>
      <c r="N124" s="29">
        <f t="shared" si="23"/>
        <v>0</v>
      </c>
      <c r="O124" s="29">
        <f t="shared" si="23"/>
        <v>0</v>
      </c>
      <c r="P124" s="29">
        <f t="shared" si="23"/>
        <v>0</v>
      </c>
      <c r="Q124" s="29">
        <f t="shared" si="23"/>
        <v>0</v>
      </c>
      <c r="R124" s="29">
        <f t="shared" si="23"/>
        <v>0</v>
      </c>
      <c r="S124" s="29">
        <f t="shared" si="23"/>
        <v>0</v>
      </c>
      <c r="T124" s="29">
        <f t="shared" si="23"/>
        <v>0</v>
      </c>
      <c r="U124" s="29">
        <f t="shared" si="23"/>
        <v>0</v>
      </c>
      <c r="V124" s="29">
        <f t="shared" si="23"/>
        <v>0</v>
      </c>
      <c r="W124" s="29">
        <f t="shared" si="23"/>
        <v>0</v>
      </c>
      <c r="X124" s="29">
        <f t="shared" si="23"/>
        <v>0</v>
      </c>
      <c r="Y124" s="29">
        <f t="shared" si="23"/>
        <v>0</v>
      </c>
      <c r="Z124" s="7"/>
      <c r="AA124" s="7"/>
      <c r="AB124" s="7"/>
      <c r="AC124" s="7"/>
    </row>
    <row r="125" spans="1:29" customFormat="1">
      <c r="A125" s="7"/>
      <c r="B125" s="7"/>
      <c r="C125" s="7"/>
      <c r="D125" s="7" t="s">
        <v>125</v>
      </c>
      <c r="E125" s="29">
        <f t="shared" si="23"/>
        <v>0</v>
      </c>
      <c r="F125" s="29">
        <f t="shared" si="23"/>
        <v>0</v>
      </c>
      <c r="G125" s="29">
        <f t="shared" si="23"/>
        <v>0</v>
      </c>
      <c r="H125" s="29">
        <f t="shared" si="23"/>
        <v>0</v>
      </c>
      <c r="I125" s="29">
        <f t="shared" si="23"/>
        <v>0</v>
      </c>
      <c r="J125" s="29">
        <f t="shared" si="23"/>
        <v>0</v>
      </c>
      <c r="K125" s="29">
        <f t="shared" si="23"/>
        <v>0</v>
      </c>
      <c r="L125" s="29">
        <f t="shared" si="23"/>
        <v>0</v>
      </c>
      <c r="M125" s="29">
        <f t="shared" si="23"/>
        <v>0</v>
      </c>
      <c r="N125" s="29">
        <f t="shared" si="23"/>
        <v>0</v>
      </c>
      <c r="O125" s="29">
        <f t="shared" si="23"/>
        <v>0</v>
      </c>
      <c r="P125" s="29">
        <f t="shared" si="23"/>
        <v>0</v>
      </c>
      <c r="Q125" s="29">
        <f t="shared" si="23"/>
        <v>0</v>
      </c>
      <c r="R125" s="29">
        <f t="shared" si="23"/>
        <v>0</v>
      </c>
      <c r="S125" s="29">
        <f t="shared" si="23"/>
        <v>0</v>
      </c>
      <c r="T125" s="29">
        <f t="shared" si="23"/>
        <v>0</v>
      </c>
      <c r="U125" s="29">
        <f t="shared" si="23"/>
        <v>0</v>
      </c>
      <c r="V125" s="29">
        <f t="shared" si="23"/>
        <v>0</v>
      </c>
      <c r="W125" s="29">
        <f t="shared" si="23"/>
        <v>0</v>
      </c>
      <c r="X125" s="29">
        <f t="shared" si="23"/>
        <v>0</v>
      </c>
      <c r="Y125" s="29">
        <f t="shared" si="23"/>
        <v>0</v>
      </c>
      <c r="Z125" s="7"/>
      <c r="AA125" s="7"/>
      <c r="AB125" s="7"/>
      <c r="AC125" s="7"/>
    </row>
    <row r="126" spans="1:29" customFormat="1">
      <c r="A126" s="7"/>
      <c r="B126" s="7"/>
      <c r="C126" s="7"/>
      <c r="D126" s="7" t="s">
        <v>128</v>
      </c>
      <c r="E126" s="29">
        <f t="shared" si="23"/>
        <v>0</v>
      </c>
      <c r="F126" s="29">
        <f t="shared" si="23"/>
        <v>0</v>
      </c>
      <c r="G126" s="29">
        <f t="shared" si="23"/>
        <v>0</v>
      </c>
      <c r="H126" s="29">
        <f t="shared" si="23"/>
        <v>0</v>
      </c>
      <c r="I126" s="29">
        <f t="shared" si="23"/>
        <v>0</v>
      </c>
      <c r="J126" s="29">
        <f t="shared" si="23"/>
        <v>0</v>
      </c>
      <c r="K126" s="29">
        <f t="shared" si="23"/>
        <v>0</v>
      </c>
      <c r="L126" s="29">
        <f t="shared" si="23"/>
        <v>0</v>
      </c>
      <c r="M126" s="29">
        <f t="shared" si="23"/>
        <v>0</v>
      </c>
      <c r="N126" s="29">
        <f t="shared" si="23"/>
        <v>0</v>
      </c>
      <c r="O126" s="29">
        <f t="shared" si="23"/>
        <v>0</v>
      </c>
      <c r="P126" s="29">
        <f t="shared" si="23"/>
        <v>0</v>
      </c>
      <c r="Q126" s="29">
        <f t="shared" si="23"/>
        <v>0</v>
      </c>
      <c r="R126" s="29">
        <f t="shared" si="23"/>
        <v>0</v>
      </c>
      <c r="S126" s="29">
        <f t="shared" si="23"/>
        <v>0</v>
      </c>
      <c r="T126" s="29">
        <f t="shared" si="23"/>
        <v>0</v>
      </c>
      <c r="U126" s="29">
        <f t="shared" si="23"/>
        <v>0</v>
      </c>
      <c r="V126" s="29">
        <f t="shared" si="23"/>
        <v>0</v>
      </c>
      <c r="W126" s="29">
        <f t="shared" si="23"/>
        <v>0</v>
      </c>
      <c r="X126" s="29">
        <f t="shared" si="23"/>
        <v>0</v>
      </c>
      <c r="Y126" s="29">
        <f t="shared" si="23"/>
        <v>0</v>
      </c>
      <c r="Z126" s="7"/>
      <c r="AA126" s="7"/>
      <c r="AB126" s="7"/>
      <c r="AC126" s="7"/>
    </row>
    <row r="127" spans="1:29" customFormat="1">
      <c r="A127" s="7"/>
      <c r="B127" s="7"/>
      <c r="C127" s="7"/>
      <c r="D127" s="7" t="s">
        <v>372</v>
      </c>
      <c r="E127" s="29">
        <f t="shared" si="23"/>
        <v>0</v>
      </c>
      <c r="F127" s="29">
        <f t="shared" si="23"/>
        <v>0</v>
      </c>
      <c r="G127" s="29">
        <f t="shared" si="23"/>
        <v>0</v>
      </c>
      <c r="H127" s="29">
        <f t="shared" si="23"/>
        <v>0</v>
      </c>
      <c r="I127" s="29">
        <f t="shared" si="23"/>
        <v>0</v>
      </c>
      <c r="J127" s="29">
        <f t="shared" si="23"/>
        <v>0</v>
      </c>
      <c r="K127" s="29">
        <f t="shared" si="23"/>
        <v>0</v>
      </c>
      <c r="L127" s="29">
        <f t="shared" si="23"/>
        <v>0</v>
      </c>
      <c r="M127" s="29">
        <f t="shared" si="23"/>
        <v>0</v>
      </c>
      <c r="N127" s="29">
        <f t="shared" si="23"/>
        <v>0</v>
      </c>
      <c r="O127" s="29">
        <f t="shared" si="23"/>
        <v>0</v>
      </c>
      <c r="P127" s="29">
        <f t="shared" si="23"/>
        <v>0</v>
      </c>
      <c r="Q127" s="29">
        <f t="shared" si="23"/>
        <v>0</v>
      </c>
      <c r="R127" s="29">
        <f t="shared" si="23"/>
        <v>0</v>
      </c>
      <c r="S127" s="29">
        <f t="shared" si="23"/>
        <v>0</v>
      </c>
      <c r="T127" s="29">
        <f t="shared" si="23"/>
        <v>0</v>
      </c>
      <c r="U127" s="29">
        <f t="shared" si="23"/>
        <v>0</v>
      </c>
      <c r="V127" s="29">
        <f t="shared" si="23"/>
        <v>0</v>
      </c>
      <c r="W127" s="29">
        <f t="shared" si="23"/>
        <v>0</v>
      </c>
      <c r="X127" s="29">
        <f t="shared" si="23"/>
        <v>0</v>
      </c>
      <c r="Y127" s="29">
        <f t="shared" si="23"/>
        <v>0</v>
      </c>
      <c r="Z127" s="7"/>
      <c r="AA127" s="7"/>
      <c r="AB127" s="7"/>
      <c r="AC127" s="7"/>
    </row>
    <row r="128" spans="1:29" customFormat="1">
      <c r="A128" s="7"/>
      <c r="B128" s="7"/>
      <c r="C128" s="7"/>
      <c r="D128" s="7" t="s">
        <v>373</v>
      </c>
      <c r="E128" s="29">
        <f t="shared" si="23"/>
        <v>0</v>
      </c>
      <c r="F128" s="29">
        <f t="shared" si="23"/>
        <v>0</v>
      </c>
      <c r="G128" s="29">
        <f t="shared" si="23"/>
        <v>0</v>
      </c>
      <c r="H128" s="29">
        <f t="shared" si="23"/>
        <v>0</v>
      </c>
      <c r="I128" s="29">
        <f t="shared" si="23"/>
        <v>0</v>
      </c>
      <c r="J128" s="29">
        <f t="shared" si="23"/>
        <v>0</v>
      </c>
      <c r="K128" s="29">
        <f t="shared" si="23"/>
        <v>0</v>
      </c>
      <c r="L128" s="29">
        <f t="shared" si="23"/>
        <v>0</v>
      </c>
      <c r="M128" s="29">
        <f t="shared" si="23"/>
        <v>0</v>
      </c>
      <c r="N128" s="29">
        <f t="shared" si="23"/>
        <v>0</v>
      </c>
      <c r="O128" s="29">
        <f t="shared" si="23"/>
        <v>0</v>
      </c>
      <c r="P128" s="29">
        <f t="shared" si="23"/>
        <v>0</v>
      </c>
      <c r="Q128" s="29">
        <f t="shared" si="23"/>
        <v>0</v>
      </c>
      <c r="R128" s="29">
        <f t="shared" si="23"/>
        <v>0</v>
      </c>
      <c r="S128" s="29">
        <f t="shared" si="23"/>
        <v>0</v>
      </c>
      <c r="T128" s="29">
        <f t="shared" si="23"/>
        <v>0</v>
      </c>
      <c r="U128" s="29">
        <f t="shared" si="23"/>
        <v>0</v>
      </c>
      <c r="V128" s="29">
        <f t="shared" si="23"/>
        <v>0</v>
      </c>
      <c r="W128" s="29">
        <f t="shared" si="23"/>
        <v>0</v>
      </c>
      <c r="X128" s="29">
        <f t="shared" si="23"/>
        <v>0</v>
      </c>
      <c r="Y128" s="29">
        <f t="shared" si="23"/>
        <v>0</v>
      </c>
      <c r="Z128" s="7"/>
      <c r="AA128" s="7"/>
      <c r="AB128" s="7"/>
      <c r="AC128" s="7"/>
    </row>
    <row r="129" spans="1:29" customFormat="1">
      <c r="A129" s="7"/>
      <c r="B129" s="7"/>
      <c r="C129" s="7"/>
      <c r="D129" s="7" t="s">
        <v>374</v>
      </c>
      <c r="E129" s="29">
        <f t="shared" si="23"/>
        <v>0</v>
      </c>
      <c r="F129" s="29">
        <f t="shared" si="23"/>
        <v>0</v>
      </c>
      <c r="G129" s="29">
        <f t="shared" si="23"/>
        <v>0</v>
      </c>
      <c r="H129" s="29">
        <f t="shared" si="23"/>
        <v>0</v>
      </c>
      <c r="I129" s="29">
        <f t="shared" si="23"/>
        <v>0</v>
      </c>
      <c r="J129" s="29">
        <f t="shared" si="23"/>
        <v>0</v>
      </c>
      <c r="K129" s="29">
        <f t="shared" si="23"/>
        <v>0</v>
      </c>
      <c r="L129" s="29">
        <f t="shared" si="23"/>
        <v>0</v>
      </c>
      <c r="M129" s="29">
        <f t="shared" si="23"/>
        <v>0</v>
      </c>
      <c r="N129" s="29">
        <f t="shared" si="23"/>
        <v>0</v>
      </c>
      <c r="O129" s="29">
        <f t="shared" si="23"/>
        <v>0</v>
      </c>
      <c r="P129" s="29">
        <f t="shared" si="23"/>
        <v>0</v>
      </c>
      <c r="Q129" s="29">
        <f t="shared" si="23"/>
        <v>0</v>
      </c>
      <c r="R129" s="29">
        <f t="shared" si="23"/>
        <v>0</v>
      </c>
      <c r="S129" s="29">
        <f t="shared" si="23"/>
        <v>0</v>
      </c>
      <c r="T129" s="29">
        <f t="shared" si="23"/>
        <v>0</v>
      </c>
      <c r="U129" s="29">
        <f t="shared" si="23"/>
        <v>0</v>
      </c>
      <c r="V129" s="29">
        <f t="shared" si="23"/>
        <v>0</v>
      </c>
      <c r="W129" s="29">
        <f t="shared" si="23"/>
        <v>0</v>
      </c>
      <c r="X129" s="29">
        <f t="shared" si="23"/>
        <v>0</v>
      </c>
      <c r="Y129" s="29">
        <f t="shared" si="23"/>
        <v>0</v>
      </c>
      <c r="Z129" s="7"/>
      <c r="AA129" s="7"/>
      <c r="AB129" s="7"/>
      <c r="AC129" s="7"/>
    </row>
    <row r="130" spans="1:29" customFormat="1">
      <c r="A130" s="7"/>
      <c r="B130" s="7"/>
      <c r="C130" s="7"/>
      <c r="D130" s="7" t="s">
        <v>375</v>
      </c>
      <c r="E130" s="29">
        <f t="shared" si="23"/>
        <v>0</v>
      </c>
      <c r="F130" s="29">
        <f t="shared" si="23"/>
        <v>0</v>
      </c>
      <c r="G130" s="29">
        <f t="shared" si="23"/>
        <v>0</v>
      </c>
      <c r="H130" s="29">
        <f t="shared" si="23"/>
        <v>0</v>
      </c>
      <c r="I130" s="29">
        <f t="shared" si="23"/>
        <v>0</v>
      </c>
      <c r="J130" s="29">
        <f t="shared" si="23"/>
        <v>0</v>
      </c>
      <c r="K130" s="29">
        <f t="shared" si="23"/>
        <v>0</v>
      </c>
      <c r="L130" s="29">
        <f t="shared" si="23"/>
        <v>0</v>
      </c>
      <c r="M130" s="29">
        <f t="shared" si="23"/>
        <v>0</v>
      </c>
      <c r="N130" s="29">
        <f t="shared" si="23"/>
        <v>0</v>
      </c>
      <c r="O130" s="29">
        <f t="shared" si="23"/>
        <v>0</v>
      </c>
      <c r="P130" s="29">
        <f t="shared" si="23"/>
        <v>0</v>
      </c>
      <c r="Q130" s="29">
        <f t="shared" si="23"/>
        <v>0</v>
      </c>
      <c r="R130" s="29">
        <f t="shared" si="23"/>
        <v>0</v>
      </c>
      <c r="S130" s="29">
        <f t="shared" si="23"/>
        <v>0</v>
      </c>
      <c r="T130" s="29">
        <f t="shared" si="23"/>
        <v>0</v>
      </c>
      <c r="U130" s="29">
        <f t="shared" si="23"/>
        <v>0</v>
      </c>
      <c r="V130" s="29">
        <f t="shared" si="23"/>
        <v>0</v>
      </c>
      <c r="W130" s="29">
        <f t="shared" si="23"/>
        <v>0</v>
      </c>
      <c r="X130" s="29">
        <f t="shared" si="23"/>
        <v>0</v>
      </c>
      <c r="Y130" s="29">
        <f t="shared" si="23"/>
        <v>0</v>
      </c>
      <c r="Z130" s="7"/>
      <c r="AA130" s="7"/>
      <c r="AB130" s="7"/>
      <c r="AC130" s="7"/>
    </row>
    <row r="131" spans="1:29" customFormat="1">
      <c r="A131" s="7"/>
      <c r="B131" s="7"/>
      <c r="C131" s="7"/>
      <c r="D131" s="7" t="s">
        <v>376</v>
      </c>
      <c r="E131" s="29">
        <f t="shared" si="23"/>
        <v>0</v>
      </c>
      <c r="F131" s="29">
        <f t="shared" si="23"/>
        <v>0</v>
      </c>
      <c r="G131" s="29">
        <f t="shared" si="23"/>
        <v>0</v>
      </c>
      <c r="H131" s="29">
        <f t="shared" si="23"/>
        <v>0</v>
      </c>
      <c r="I131" s="29">
        <f t="shared" si="23"/>
        <v>0</v>
      </c>
      <c r="J131" s="29">
        <f t="shared" si="23"/>
        <v>0</v>
      </c>
      <c r="K131" s="29">
        <f t="shared" si="23"/>
        <v>0</v>
      </c>
      <c r="L131" s="29">
        <f t="shared" ref="F131:Y137" si="24">L94-L93</f>
        <v>0</v>
      </c>
      <c r="M131" s="29">
        <f t="shared" si="24"/>
        <v>0</v>
      </c>
      <c r="N131" s="29">
        <f t="shared" si="24"/>
        <v>0</v>
      </c>
      <c r="O131" s="29">
        <f t="shared" si="24"/>
        <v>0</v>
      </c>
      <c r="P131" s="29">
        <f t="shared" si="24"/>
        <v>0</v>
      </c>
      <c r="Q131" s="29">
        <f t="shared" si="24"/>
        <v>0</v>
      </c>
      <c r="R131" s="29">
        <f t="shared" si="24"/>
        <v>0</v>
      </c>
      <c r="S131" s="29">
        <f t="shared" si="24"/>
        <v>0</v>
      </c>
      <c r="T131" s="29">
        <f t="shared" si="24"/>
        <v>0</v>
      </c>
      <c r="U131" s="29">
        <f t="shared" si="24"/>
        <v>0</v>
      </c>
      <c r="V131" s="29">
        <f t="shared" si="24"/>
        <v>0</v>
      </c>
      <c r="W131" s="29">
        <f t="shared" si="24"/>
        <v>0</v>
      </c>
      <c r="X131" s="29">
        <f t="shared" si="24"/>
        <v>0</v>
      </c>
      <c r="Y131" s="29">
        <f t="shared" si="24"/>
        <v>0</v>
      </c>
      <c r="Z131" s="7"/>
      <c r="AA131" s="7"/>
      <c r="AB131" s="7"/>
      <c r="AC131" s="7"/>
    </row>
    <row r="132" spans="1:29" customFormat="1">
      <c r="A132" s="7"/>
      <c r="B132" s="7"/>
      <c r="C132" s="7"/>
      <c r="D132" s="7" t="s">
        <v>377</v>
      </c>
      <c r="E132" s="29">
        <f t="shared" ref="E132:E137" si="25">E95-E94</f>
        <v>0</v>
      </c>
      <c r="F132" s="29">
        <f t="shared" si="24"/>
        <v>0</v>
      </c>
      <c r="G132" s="29">
        <f t="shared" si="24"/>
        <v>0</v>
      </c>
      <c r="H132" s="29">
        <f t="shared" si="24"/>
        <v>0</v>
      </c>
      <c r="I132" s="29">
        <f t="shared" si="24"/>
        <v>0</v>
      </c>
      <c r="J132" s="29">
        <f t="shared" si="24"/>
        <v>0</v>
      </c>
      <c r="K132" s="29">
        <f t="shared" si="24"/>
        <v>0</v>
      </c>
      <c r="L132" s="29">
        <f t="shared" si="24"/>
        <v>0</v>
      </c>
      <c r="M132" s="29">
        <f t="shared" si="24"/>
        <v>0</v>
      </c>
      <c r="N132" s="29">
        <f t="shared" si="24"/>
        <v>0</v>
      </c>
      <c r="O132" s="29">
        <f t="shared" si="24"/>
        <v>0</v>
      </c>
      <c r="P132" s="29">
        <f t="shared" si="24"/>
        <v>0</v>
      </c>
      <c r="Q132" s="29">
        <f t="shared" si="24"/>
        <v>0</v>
      </c>
      <c r="R132" s="29">
        <f t="shared" si="24"/>
        <v>0</v>
      </c>
      <c r="S132" s="29">
        <f t="shared" si="24"/>
        <v>0</v>
      </c>
      <c r="T132" s="29">
        <f t="shared" si="24"/>
        <v>0</v>
      </c>
      <c r="U132" s="29">
        <f t="shared" si="24"/>
        <v>0</v>
      </c>
      <c r="V132" s="29">
        <f t="shared" si="24"/>
        <v>0</v>
      </c>
      <c r="W132" s="29">
        <f t="shared" si="24"/>
        <v>0</v>
      </c>
      <c r="X132" s="29">
        <f t="shared" si="24"/>
        <v>0</v>
      </c>
      <c r="Y132" s="29">
        <f t="shared" si="24"/>
        <v>0</v>
      </c>
      <c r="Z132" s="7"/>
      <c r="AA132" s="7"/>
      <c r="AB132" s="7"/>
      <c r="AC132" s="7"/>
    </row>
    <row r="133" spans="1:29" customFormat="1">
      <c r="A133" s="7"/>
      <c r="B133" s="7"/>
      <c r="C133" s="7"/>
      <c r="D133" s="7" t="s">
        <v>378</v>
      </c>
      <c r="E133" s="29">
        <f t="shared" si="25"/>
        <v>0</v>
      </c>
      <c r="F133" s="29">
        <f t="shared" si="24"/>
        <v>0</v>
      </c>
      <c r="G133" s="29">
        <f t="shared" si="24"/>
        <v>0</v>
      </c>
      <c r="H133" s="29">
        <f t="shared" si="24"/>
        <v>0</v>
      </c>
      <c r="I133" s="29">
        <f t="shared" si="24"/>
        <v>0</v>
      </c>
      <c r="J133" s="29">
        <f t="shared" si="24"/>
        <v>0</v>
      </c>
      <c r="K133" s="29">
        <f t="shared" si="24"/>
        <v>0</v>
      </c>
      <c r="L133" s="29">
        <f t="shared" si="24"/>
        <v>0</v>
      </c>
      <c r="M133" s="29">
        <f t="shared" si="24"/>
        <v>0</v>
      </c>
      <c r="N133" s="29">
        <f t="shared" si="24"/>
        <v>0</v>
      </c>
      <c r="O133" s="29">
        <f t="shared" si="24"/>
        <v>0</v>
      </c>
      <c r="P133" s="29">
        <f t="shared" si="24"/>
        <v>0</v>
      </c>
      <c r="Q133" s="29">
        <f t="shared" si="24"/>
        <v>0</v>
      </c>
      <c r="R133" s="29">
        <f t="shared" si="24"/>
        <v>0</v>
      </c>
      <c r="S133" s="29">
        <f t="shared" si="24"/>
        <v>0</v>
      </c>
      <c r="T133" s="29">
        <f t="shared" si="24"/>
        <v>0</v>
      </c>
      <c r="U133" s="29">
        <f t="shared" si="24"/>
        <v>0</v>
      </c>
      <c r="V133" s="29">
        <f t="shared" si="24"/>
        <v>0</v>
      </c>
      <c r="W133" s="29">
        <f t="shared" si="24"/>
        <v>0</v>
      </c>
      <c r="X133" s="29">
        <f t="shared" si="24"/>
        <v>0</v>
      </c>
      <c r="Y133" s="29">
        <f t="shared" si="24"/>
        <v>0</v>
      </c>
      <c r="Z133" s="7"/>
      <c r="AA133" s="7"/>
      <c r="AB133" s="7"/>
      <c r="AC133" s="7"/>
    </row>
    <row r="134" spans="1:29" customFormat="1">
      <c r="A134" s="7"/>
      <c r="B134" s="7"/>
      <c r="C134" s="7"/>
      <c r="D134" s="7" t="s">
        <v>379</v>
      </c>
      <c r="E134" s="29">
        <f t="shared" si="25"/>
        <v>0</v>
      </c>
      <c r="F134" s="29">
        <f t="shared" si="24"/>
        <v>0</v>
      </c>
      <c r="G134" s="29">
        <f t="shared" si="24"/>
        <v>0</v>
      </c>
      <c r="H134" s="29">
        <f t="shared" si="24"/>
        <v>0</v>
      </c>
      <c r="I134" s="29">
        <f t="shared" si="24"/>
        <v>0</v>
      </c>
      <c r="J134" s="29">
        <f t="shared" si="24"/>
        <v>0</v>
      </c>
      <c r="K134" s="29">
        <f t="shared" si="24"/>
        <v>0</v>
      </c>
      <c r="L134" s="29">
        <f t="shared" si="24"/>
        <v>0</v>
      </c>
      <c r="M134" s="29">
        <f t="shared" si="24"/>
        <v>0</v>
      </c>
      <c r="N134" s="29">
        <f t="shared" si="24"/>
        <v>0</v>
      </c>
      <c r="O134" s="29">
        <f t="shared" si="24"/>
        <v>0</v>
      </c>
      <c r="P134" s="29">
        <f t="shared" si="24"/>
        <v>0</v>
      </c>
      <c r="Q134" s="29">
        <f t="shared" si="24"/>
        <v>0</v>
      </c>
      <c r="R134" s="29">
        <f t="shared" si="24"/>
        <v>0</v>
      </c>
      <c r="S134" s="29">
        <f t="shared" si="24"/>
        <v>0</v>
      </c>
      <c r="T134" s="29">
        <f t="shared" si="24"/>
        <v>0</v>
      </c>
      <c r="U134" s="29">
        <f t="shared" si="24"/>
        <v>0</v>
      </c>
      <c r="V134" s="29">
        <f t="shared" si="24"/>
        <v>0</v>
      </c>
      <c r="W134" s="29">
        <f t="shared" si="24"/>
        <v>0</v>
      </c>
      <c r="X134" s="29">
        <f t="shared" si="24"/>
        <v>0</v>
      </c>
      <c r="Y134" s="29">
        <f t="shared" si="24"/>
        <v>0</v>
      </c>
      <c r="Z134" s="7"/>
      <c r="AA134" s="7"/>
      <c r="AB134" s="7"/>
      <c r="AC134" s="7"/>
    </row>
    <row r="135" spans="1:29" customFormat="1">
      <c r="A135" s="7"/>
      <c r="B135" s="7"/>
      <c r="C135" s="7"/>
      <c r="D135" s="7" t="s">
        <v>380</v>
      </c>
      <c r="E135" s="29">
        <f t="shared" si="25"/>
        <v>0</v>
      </c>
      <c r="F135" s="29">
        <f t="shared" si="24"/>
        <v>0</v>
      </c>
      <c r="G135" s="29">
        <f t="shared" si="24"/>
        <v>0</v>
      </c>
      <c r="H135" s="29">
        <f t="shared" si="24"/>
        <v>0</v>
      </c>
      <c r="I135" s="29">
        <f t="shared" si="24"/>
        <v>0</v>
      </c>
      <c r="J135" s="29">
        <f t="shared" si="24"/>
        <v>0</v>
      </c>
      <c r="K135" s="29">
        <f t="shared" si="24"/>
        <v>0</v>
      </c>
      <c r="L135" s="29">
        <f t="shared" si="24"/>
        <v>0</v>
      </c>
      <c r="M135" s="29">
        <f t="shared" si="24"/>
        <v>0</v>
      </c>
      <c r="N135" s="29">
        <f t="shared" si="24"/>
        <v>0</v>
      </c>
      <c r="O135" s="29">
        <f t="shared" si="24"/>
        <v>0</v>
      </c>
      <c r="P135" s="29">
        <f t="shared" si="24"/>
        <v>0</v>
      </c>
      <c r="Q135" s="29">
        <f t="shared" si="24"/>
        <v>0</v>
      </c>
      <c r="R135" s="29">
        <f t="shared" si="24"/>
        <v>0</v>
      </c>
      <c r="S135" s="29">
        <f t="shared" si="24"/>
        <v>0</v>
      </c>
      <c r="T135" s="29">
        <f t="shared" si="24"/>
        <v>0</v>
      </c>
      <c r="U135" s="29">
        <f t="shared" si="24"/>
        <v>0</v>
      </c>
      <c r="V135" s="29">
        <f t="shared" si="24"/>
        <v>0</v>
      </c>
      <c r="W135" s="29">
        <f t="shared" si="24"/>
        <v>0</v>
      </c>
      <c r="X135" s="29">
        <f t="shared" si="24"/>
        <v>0</v>
      </c>
      <c r="Y135" s="29">
        <f t="shared" si="24"/>
        <v>0</v>
      </c>
      <c r="Z135" s="7"/>
      <c r="AA135" s="7"/>
      <c r="AB135" s="7"/>
      <c r="AC135" s="7"/>
    </row>
    <row r="136" spans="1:29" customFormat="1">
      <c r="A136" s="7"/>
      <c r="B136" s="7"/>
      <c r="C136" s="7"/>
      <c r="D136" s="7" t="s">
        <v>381</v>
      </c>
      <c r="E136" s="29">
        <f t="shared" si="25"/>
        <v>0</v>
      </c>
      <c r="F136" s="29">
        <f t="shared" si="24"/>
        <v>0</v>
      </c>
      <c r="G136" s="29">
        <f t="shared" si="24"/>
        <v>0</v>
      </c>
      <c r="H136" s="29">
        <f t="shared" si="24"/>
        <v>0</v>
      </c>
      <c r="I136" s="29">
        <f t="shared" si="24"/>
        <v>0</v>
      </c>
      <c r="J136" s="29">
        <f t="shared" si="24"/>
        <v>0</v>
      </c>
      <c r="K136" s="29">
        <f t="shared" si="24"/>
        <v>0</v>
      </c>
      <c r="L136" s="29">
        <f t="shared" si="24"/>
        <v>0</v>
      </c>
      <c r="M136" s="29">
        <f t="shared" si="24"/>
        <v>0</v>
      </c>
      <c r="N136" s="29">
        <f t="shared" si="24"/>
        <v>0</v>
      </c>
      <c r="O136" s="29">
        <f t="shared" si="24"/>
        <v>0</v>
      </c>
      <c r="P136" s="29">
        <f t="shared" si="24"/>
        <v>0</v>
      </c>
      <c r="Q136" s="29">
        <f t="shared" si="24"/>
        <v>0</v>
      </c>
      <c r="R136" s="29">
        <f t="shared" si="24"/>
        <v>0</v>
      </c>
      <c r="S136" s="29">
        <f t="shared" si="24"/>
        <v>0</v>
      </c>
      <c r="T136" s="29">
        <f t="shared" si="24"/>
        <v>0</v>
      </c>
      <c r="U136" s="29">
        <f t="shared" si="24"/>
        <v>0</v>
      </c>
      <c r="V136" s="29">
        <f t="shared" si="24"/>
        <v>0</v>
      </c>
      <c r="W136" s="29">
        <f t="shared" si="24"/>
        <v>0</v>
      </c>
      <c r="X136" s="29">
        <f t="shared" si="24"/>
        <v>0</v>
      </c>
      <c r="Y136" s="29">
        <f t="shared" si="24"/>
        <v>0</v>
      </c>
      <c r="Z136" s="7"/>
      <c r="AA136" s="7"/>
      <c r="AB136" s="7"/>
      <c r="AC136" s="7"/>
    </row>
    <row r="137" spans="1:29" customFormat="1">
      <c r="A137" s="7"/>
      <c r="B137" s="7"/>
      <c r="C137" s="7"/>
      <c r="D137" s="7" t="s">
        <v>382</v>
      </c>
      <c r="E137" s="29">
        <f t="shared" si="25"/>
        <v>0</v>
      </c>
      <c r="F137" s="29">
        <f t="shared" si="24"/>
        <v>0</v>
      </c>
      <c r="G137" s="29">
        <f t="shared" si="24"/>
        <v>0</v>
      </c>
      <c r="H137" s="29">
        <f t="shared" si="24"/>
        <v>0</v>
      </c>
      <c r="I137" s="29">
        <f t="shared" si="24"/>
        <v>0</v>
      </c>
      <c r="J137" s="29">
        <f t="shared" si="24"/>
        <v>0</v>
      </c>
      <c r="K137" s="29">
        <f t="shared" si="24"/>
        <v>0</v>
      </c>
      <c r="L137" s="29">
        <f t="shared" si="24"/>
        <v>0</v>
      </c>
      <c r="M137" s="29">
        <f t="shared" si="24"/>
        <v>0</v>
      </c>
      <c r="N137" s="29">
        <f t="shared" si="24"/>
        <v>0</v>
      </c>
      <c r="O137" s="29">
        <f t="shared" si="24"/>
        <v>0</v>
      </c>
      <c r="P137" s="29">
        <f t="shared" si="24"/>
        <v>0</v>
      </c>
      <c r="Q137" s="29">
        <f t="shared" si="24"/>
        <v>0</v>
      </c>
      <c r="R137" s="29">
        <f t="shared" si="24"/>
        <v>0</v>
      </c>
      <c r="S137" s="29">
        <f t="shared" si="24"/>
        <v>0</v>
      </c>
      <c r="T137" s="29">
        <f t="shared" si="24"/>
        <v>0</v>
      </c>
      <c r="U137" s="29">
        <f t="shared" si="24"/>
        <v>0</v>
      </c>
      <c r="V137" s="29">
        <f t="shared" si="24"/>
        <v>0</v>
      </c>
      <c r="W137" s="29">
        <f t="shared" si="24"/>
        <v>0</v>
      </c>
      <c r="X137" s="29">
        <f t="shared" si="24"/>
        <v>0</v>
      </c>
      <c r="Y137" s="29">
        <f t="shared" si="24"/>
        <v>0</v>
      </c>
      <c r="Z137" s="7"/>
      <c r="AA137" s="7"/>
      <c r="AB137" s="7"/>
      <c r="AC137" s="7"/>
    </row>
    <row r="138" spans="1:29" customForma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row>
    <row r="139" spans="1:29" customFormat="1" ht="15">
      <c r="A139" s="7"/>
      <c r="B139" s="7"/>
      <c r="C139" s="7"/>
      <c r="D139" s="65" t="s">
        <v>135</v>
      </c>
      <c r="E139" s="66">
        <f t="shared" ref="E139:W139" si="26">SUM(E106:E137)</f>
        <v>0.40316235804870315</v>
      </c>
      <c r="F139" s="66">
        <f t="shared" si="26"/>
        <v>0.89614186304021581</v>
      </c>
      <c r="G139" s="66">
        <f t="shared" si="26"/>
        <v>1.4971174429457261</v>
      </c>
      <c r="H139" s="66">
        <f t="shared" si="26"/>
        <v>2.1921284724964352</v>
      </c>
      <c r="I139" s="66">
        <f t="shared" si="26"/>
        <v>2.9819674599769597</v>
      </c>
      <c r="J139" s="66">
        <f t="shared" si="26"/>
        <v>3.9023223870258437</v>
      </c>
      <c r="K139" s="66">
        <f t="shared" si="26"/>
        <v>4.9082234924404702</v>
      </c>
      <c r="L139" s="66">
        <f t="shared" si="26"/>
        <v>5.9313754794777154</v>
      </c>
      <c r="M139" s="66">
        <f t="shared" si="26"/>
        <v>6.8903945461244254</v>
      </c>
      <c r="N139" s="66">
        <f t="shared" si="26"/>
        <v>7.708785482328774</v>
      </c>
      <c r="O139" s="66">
        <f t="shared" si="26"/>
        <v>8.3352283662414948</v>
      </c>
      <c r="P139" s="66">
        <f t="shared" si="26"/>
        <v>8.7572247028449475</v>
      </c>
      <c r="Q139" s="66">
        <f t="shared" si="26"/>
        <v>9.0005919852409981</v>
      </c>
      <c r="R139" s="66">
        <f t="shared" si="26"/>
        <v>9.1146385218889634</v>
      </c>
      <c r="S139" s="66">
        <f t="shared" si="26"/>
        <v>9.1515087602609633</v>
      </c>
      <c r="T139" s="66">
        <f t="shared" si="26"/>
        <v>11.193772089977351</v>
      </c>
      <c r="U139" s="66">
        <f t="shared" si="26"/>
        <v>11.002813253470823</v>
      </c>
      <c r="V139" s="66">
        <f t="shared" si="26"/>
        <v>10.783755463458895</v>
      </c>
      <c r="W139" s="66">
        <f t="shared" si="26"/>
        <v>10.594053686791213</v>
      </c>
      <c r="X139" s="66">
        <f>SUM(X106:X137)</f>
        <v>10.405520282949515</v>
      </c>
      <c r="Y139" s="66"/>
      <c r="AA139" s="7"/>
      <c r="AB139" s="7"/>
      <c r="AC139" s="7"/>
    </row>
    <row r="140" spans="1:29" ht="15">
      <c r="D140" s="65" t="s">
        <v>136</v>
      </c>
      <c r="E140" s="66">
        <f>E139</f>
        <v>0.40316235804870315</v>
      </c>
      <c r="F140" s="66">
        <f t="shared" ref="F140:X140" si="27">E140+F139</f>
        <v>1.299304221088919</v>
      </c>
      <c r="G140" s="66">
        <f t="shared" si="27"/>
        <v>2.7964216640346451</v>
      </c>
      <c r="H140" s="66">
        <f t="shared" si="27"/>
        <v>4.9885501365310798</v>
      </c>
      <c r="I140" s="66">
        <f t="shared" si="27"/>
        <v>7.9705175965080395</v>
      </c>
      <c r="J140" s="66">
        <f t="shared" si="27"/>
        <v>11.872839983533883</v>
      </c>
      <c r="K140" s="66">
        <f t="shared" si="27"/>
        <v>16.781063475974353</v>
      </c>
      <c r="L140" s="66">
        <f t="shared" si="27"/>
        <v>22.712438955452068</v>
      </c>
      <c r="M140" s="66">
        <f t="shared" si="27"/>
        <v>29.602833501576495</v>
      </c>
      <c r="N140" s="66">
        <f t="shared" si="27"/>
        <v>37.311618983905269</v>
      </c>
      <c r="O140" s="66">
        <f t="shared" si="27"/>
        <v>45.646847350146764</v>
      </c>
      <c r="P140" s="66">
        <f t="shared" si="27"/>
        <v>54.404072052991708</v>
      </c>
      <c r="Q140" s="66">
        <f t="shared" si="27"/>
        <v>63.40466403823271</v>
      </c>
      <c r="R140" s="66">
        <f t="shared" si="27"/>
        <v>72.519302560121673</v>
      </c>
      <c r="S140" s="66">
        <f t="shared" si="27"/>
        <v>81.67081132038264</v>
      </c>
      <c r="T140" s="66">
        <f t="shared" si="27"/>
        <v>92.864583410359984</v>
      </c>
      <c r="U140" s="66">
        <f t="shared" si="27"/>
        <v>103.8673966638308</v>
      </c>
      <c r="V140" s="66">
        <f t="shared" si="27"/>
        <v>114.65115212728969</v>
      </c>
      <c r="W140" s="66">
        <f t="shared" si="27"/>
        <v>125.2452058140809</v>
      </c>
      <c r="X140" s="66">
        <f t="shared" si="27"/>
        <v>135.65072609703043</v>
      </c>
      <c r="Y140" s="66">
        <f>SUM(Y106:Y137)</f>
        <v>143.01208734394328</v>
      </c>
      <c r="Z140"/>
    </row>
    <row r="141" spans="1:29">
      <c r="E141" s="53"/>
      <c r="F141" s="131"/>
      <c r="G141" s="131"/>
      <c r="H141" s="131"/>
      <c r="I141" s="131"/>
      <c r="J141" s="131"/>
      <c r="K141" s="131"/>
      <c r="L141" s="131"/>
      <c r="M141" s="131"/>
      <c r="N141" s="131"/>
      <c r="O141" s="131"/>
      <c r="P141" s="131"/>
      <c r="Q141" s="131"/>
      <c r="R141" s="131"/>
      <c r="S141" s="131"/>
      <c r="T141" s="131"/>
      <c r="U141" s="131"/>
      <c r="V141" s="131"/>
      <c r="W141" s="131"/>
      <c r="X141" s="131"/>
      <c r="Y141" s="131"/>
      <c r="Z141" s="131"/>
    </row>
    <row r="142" spans="1:29">
      <c r="E142" s="53"/>
      <c r="F142" s="131"/>
      <c r="G142" s="131"/>
      <c r="H142" s="131"/>
      <c r="I142" s="131"/>
      <c r="J142" s="131"/>
      <c r="K142" s="131"/>
      <c r="L142" s="131"/>
      <c r="M142" s="131"/>
      <c r="N142" s="131"/>
      <c r="O142" s="131"/>
      <c r="P142" s="131"/>
      <c r="Q142" s="131"/>
      <c r="R142" s="131"/>
      <c r="S142" s="131"/>
      <c r="T142" s="131"/>
      <c r="U142" s="131"/>
      <c r="V142" s="131"/>
      <c r="W142" s="131"/>
      <c r="X142" s="131"/>
      <c r="Y142" s="131"/>
      <c r="Z142" s="131"/>
    </row>
    <row r="143" spans="1:29" ht="15">
      <c r="A143" s="55" t="str">
        <f>CONCATENATE("ACHIEVABLE SAVINGS - CUMULATIVE BY MILL BIN - FOR MEASURE - ",D144)</f>
        <v>ACHIEVABLE SAVINGS - CUMULATIVE BY MILL BIN - FOR MEASURE - DHP</v>
      </c>
      <c r="D143" s="7" t="s">
        <v>157</v>
      </c>
      <c r="E143" s="58">
        <f>E104</f>
        <v>2016</v>
      </c>
      <c r="F143" s="59">
        <f t="shared" ref="F143:X143" si="28">F104</f>
        <v>2017</v>
      </c>
      <c r="G143" s="59">
        <f t="shared" si="28"/>
        <v>2018</v>
      </c>
      <c r="H143" s="59">
        <f t="shared" si="28"/>
        <v>2019</v>
      </c>
      <c r="I143" s="59">
        <f t="shared" si="28"/>
        <v>2020</v>
      </c>
      <c r="J143" s="59">
        <f t="shared" si="28"/>
        <v>2021</v>
      </c>
      <c r="K143" s="59">
        <f t="shared" si="28"/>
        <v>2022</v>
      </c>
      <c r="L143" s="59">
        <f t="shared" si="28"/>
        <v>2023</v>
      </c>
      <c r="M143" s="59">
        <f t="shared" si="28"/>
        <v>2024</v>
      </c>
      <c r="N143" s="59">
        <f t="shared" si="28"/>
        <v>2025</v>
      </c>
      <c r="O143" s="59">
        <f t="shared" si="28"/>
        <v>2026</v>
      </c>
      <c r="P143" s="59">
        <f t="shared" si="28"/>
        <v>2027</v>
      </c>
      <c r="Q143" s="59">
        <f t="shared" si="28"/>
        <v>2028</v>
      </c>
      <c r="R143" s="59">
        <f t="shared" si="28"/>
        <v>2029</v>
      </c>
      <c r="S143" s="59">
        <f t="shared" si="28"/>
        <v>2030</v>
      </c>
      <c r="T143" s="59">
        <f t="shared" si="28"/>
        <v>2031</v>
      </c>
      <c r="U143" s="59">
        <f t="shared" si="28"/>
        <v>2032</v>
      </c>
      <c r="V143" s="59">
        <f t="shared" si="28"/>
        <v>2033</v>
      </c>
      <c r="W143" s="59">
        <f t="shared" si="28"/>
        <v>2034</v>
      </c>
      <c r="X143" s="59">
        <f t="shared" si="28"/>
        <v>2035</v>
      </c>
      <c r="Y143" s="60"/>
    </row>
    <row r="144" spans="1:29" ht="15">
      <c r="D144" s="129" t="str">
        <f>$C$8</f>
        <v>DHP</v>
      </c>
      <c r="E144" s="61" t="str">
        <f>CONCATENATE("aMW_",E$11)</f>
        <v>aMW_2016</v>
      </c>
      <c r="F144" s="62" t="str">
        <f t="shared" ref="F144:X144" si="29">CONCATENATE("aMW_",F$11)</f>
        <v>aMW_2017</v>
      </c>
      <c r="G144" s="62" t="str">
        <f t="shared" si="29"/>
        <v>aMW_2018</v>
      </c>
      <c r="H144" s="62" t="str">
        <f t="shared" si="29"/>
        <v>aMW_2019</v>
      </c>
      <c r="I144" s="62" t="str">
        <f t="shared" si="29"/>
        <v>aMW_2020</v>
      </c>
      <c r="J144" s="62" t="str">
        <f t="shared" si="29"/>
        <v>aMW_2021</v>
      </c>
      <c r="K144" s="62" t="str">
        <f t="shared" si="29"/>
        <v>aMW_2022</v>
      </c>
      <c r="L144" s="62" t="str">
        <f t="shared" si="29"/>
        <v>aMW_2023</v>
      </c>
      <c r="M144" s="62" t="str">
        <f t="shared" si="29"/>
        <v>aMW_2024</v>
      </c>
      <c r="N144" s="62" t="str">
        <f t="shared" si="29"/>
        <v>aMW_2025</v>
      </c>
      <c r="O144" s="62" t="str">
        <f t="shared" si="29"/>
        <v>aMW_2026</v>
      </c>
      <c r="P144" s="62" t="str">
        <f t="shared" si="29"/>
        <v>aMW_2027</v>
      </c>
      <c r="Q144" s="62" t="str">
        <f t="shared" si="29"/>
        <v>aMW_2028</v>
      </c>
      <c r="R144" s="62" t="str">
        <f t="shared" si="29"/>
        <v>aMW_2029</v>
      </c>
      <c r="S144" s="62" t="str">
        <f t="shared" si="29"/>
        <v>aMW_2030</v>
      </c>
      <c r="T144" s="62" t="str">
        <f t="shared" si="29"/>
        <v>aMW_2031</v>
      </c>
      <c r="U144" s="62" t="str">
        <f t="shared" si="29"/>
        <v>aMW_2032</v>
      </c>
      <c r="V144" s="62" t="str">
        <f t="shared" si="29"/>
        <v>aMW_2033</v>
      </c>
      <c r="W144" s="62" t="str">
        <f t="shared" si="29"/>
        <v>aMW_2034</v>
      </c>
      <c r="X144" s="62" t="str">
        <f t="shared" si="29"/>
        <v>aMW_2035</v>
      </c>
      <c r="Y144" s="63"/>
    </row>
    <row r="145" spans="4:25">
      <c r="D145" s="7" t="s">
        <v>68</v>
      </c>
      <c r="E145" s="132">
        <f t="shared" ref="E145:E176" si="30">E106</f>
        <v>0</v>
      </c>
      <c r="F145" s="133">
        <f t="shared" ref="F145:X158" si="31">E145+F106</f>
        <v>0</v>
      </c>
      <c r="G145" s="133">
        <f t="shared" si="31"/>
        <v>0</v>
      </c>
      <c r="H145" s="133">
        <f t="shared" si="31"/>
        <v>0</v>
      </c>
      <c r="I145" s="133">
        <f t="shared" si="31"/>
        <v>0</v>
      </c>
      <c r="J145" s="133">
        <f t="shared" si="31"/>
        <v>0</v>
      </c>
      <c r="K145" s="133">
        <f t="shared" si="31"/>
        <v>0</v>
      </c>
      <c r="L145" s="133">
        <f t="shared" si="31"/>
        <v>0</v>
      </c>
      <c r="M145" s="133">
        <f t="shared" si="31"/>
        <v>0</v>
      </c>
      <c r="N145" s="133">
        <f t="shared" si="31"/>
        <v>0</v>
      </c>
      <c r="O145" s="133">
        <f t="shared" si="31"/>
        <v>0</v>
      </c>
      <c r="P145" s="133">
        <f t="shared" si="31"/>
        <v>0</v>
      </c>
      <c r="Q145" s="133">
        <f t="shared" si="31"/>
        <v>0</v>
      </c>
      <c r="R145" s="133">
        <f t="shared" si="31"/>
        <v>0</v>
      </c>
      <c r="S145" s="133">
        <f t="shared" si="31"/>
        <v>0</v>
      </c>
      <c r="T145" s="133">
        <f t="shared" si="31"/>
        <v>0</v>
      </c>
      <c r="U145" s="133">
        <f t="shared" si="31"/>
        <v>0</v>
      </c>
      <c r="V145" s="133">
        <f t="shared" si="31"/>
        <v>0</v>
      </c>
      <c r="W145" s="133">
        <f t="shared" si="31"/>
        <v>0</v>
      </c>
      <c r="X145" s="133">
        <f t="shared" si="31"/>
        <v>0</v>
      </c>
      <c r="Y145" s="133"/>
    </row>
    <row r="146" spans="4:25">
      <c r="D146" s="7" t="s">
        <v>544</v>
      </c>
      <c r="E146" s="132">
        <f t="shared" si="30"/>
        <v>0</v>
      </c>
      <c r="F146" s="133">
        <f t="shared" si="31"/>
        <v>0</v>
      </c>
      <c r="G146" s="133">
        <f t="shared" si="31"/>
        <v>0</v>
      </c>
      <c r="H146" s="133">
        <f t="shared" si="31"/>
        <v>0</v>
      </c>
      <c r="I146" s="133">
        <f t="shared" si="31"/>
        <v>0</v>
      </c>
      <c r="J146" s="133">
        <f t="shared" si="31"/>
        <v>0</v>
      </c>
      <c r="K146" s="133">
        <f t="shared" si="31"/>
        <v>0</v>
      </c>
      <c r="L146" s="133">
        <f t="shared" si="31"/>
        <v>0</v>
      </c>
      <c r="M146" s="133">
        <f t="shared" si="31"/>
        <v>0</v>
      </c>
      <c r="N146" s="133">
        <f t="shared" si="31"/>
        <v>0</v>
      </c>
      <c r="O146" s="133">
        <f t="shared" si="31"/>
        <v>0</v>
      </c>
      <c r="P146" s="133">
        <f t="shared" si="31"/>
        <v>0</v>
      </c>
      <c r="Q146" s="133">
        <f t="shared" si="31"/>
        <v>0</v>
      </c>
      <c r="R146" s="133">
        <f t="shared" si="31"/>
        <v>0</v>
      </c>
      <c r="S146" s="133">
        <f t="shared" si="31"/>
        <v>0</v>
      </c>
      <c r="T146" s="133">
        <f t="shared" si="31"/>
        <v>0</v>
      </c>
      <c r="U146" s="133">
        <f t="shared" si="31"/>
        <v>0</v>
      </c>
      <c r="V146" s="133">
        <f t="shared" si="31"/>
        <v>0</v>
      </c>
      <c r="W146" s="133">
        <f t="shared" si="31"/>
        <v>0</v>
      </c>
      <c r="X146" s="133">
        <f t="shared" si="31"/>
        <v>0</v>
      </c>
      <c r="Y146" s="133"/>
    </row>
    <row r="147" spans="4:25">
      <c r="D147" s="7" t="s">
        <v>74</v>
      </c>
      <c r="E147" s="132">
        <f t="shared" si="30"/>
        <v>0</v>
      </c>
      <c r="F147" s="133">
        <f t="shared" si="31"/>
        <v>0</v>
      </c>
      <c r="G147" s="133">
        <f t="shared" si="31"/>
        <v>0</v>
      </c>
      <c r="H147" s="133">
        <f t="shared" si="31"/>
        <v>0</v>
      </c>
      <c r="I147" s="133">
        <f t="shared" si="31"/>
        <v>0</v>
      </c>
      <c r="J147" s="133">
        <f t="shared" si="31"/>
        <v>0</v>
      </c>
      <c r="K147" s="133">
        <f t="shared" si="31"/>
        <v>0</v>
      </c>
      <c r="L147" s="133">
        <f t="shared" si="31"/>
        <v>0</v>
      </c>
      <c r="M147" s="133">
        <f t="shared" si="31"/>
        <v>0</v>
      </c>
      <c r="N147" s="133">
        <f t="shared" si="31"/>
        <v>0</v>
      </c>
      <c r="O147" s="133">
        <f t="shared" si="31"/>
        <v>0</v>
      </c>
      <c r="P147" s="133">
        <f t="shared" si="31"/>
        <v>0</v>
      </c>
      <c r="Q147" s="133">
        <f t="shared" si="31"/>
        <v>0</v>
      </c>
      <c r="R147" s="133">
        <f t="shared" si="31"/>
        <v>0</v>
      </c>
      <c r="S147" s="133">
        <f t="shared" si="31"/>
        <v>0</v>
      </c>
      <c r="T147" s="133">
        <f t="shared" si="31"/>
        <v>0</v>
      </c>
      <c r="U147" s="133">
        <f t="shared" si="31"/>
        <v>0</v>
      </c>
      <c r="V147" s="133">
        <f t="shared" si="31"/>
        <v>0</v>
      </c>
      <c r="W147" s="133">
        <f t="shared" si="31"/>
        <v>0</v>
      </c>
      <c r="X147" s="133">
        <f t="shared" si="31"/>
        <v>0</v>
      </c>
      <c r="Y147" s="133"/>
    </row>
    <row r="148" spans="4:25">
      <c r="D148" s="7" t="s">
        <v>77</v>
      </c>
      <c r="E148" s="132">
        <f t="shared" si="30"/>
        <v>0</v>
      </c>
      <c r="F148" s="133">
        <f t="shared" si="31"/>
        <v>0</v>
      </c>
      <c r="G148" s="133">
        <f t="shared" si="31"/>
        <v>0</v>
      </c>
      <c r="H148" s="133">
        <f t="shared" si="31"/>
        <v>0</v>
      </c>
      <c r="I148" s="133">
        <f t="shared" si="31"/>
        <v>0</v>
      </c>
      <c r="J148" s="133">
        <f t="shared" si="31"/>
        <v>0</v>
      </c>
      <c r="K148" s="133">
        <f t="shared" si="31"/>
        <v>0</v>
      </c>
      <c r="L148" s="133">
        <f t="shared" si="31"/>
        <v>0</v>
      </c>
      <c r="M148" s="133">
        <f t="shared" si="31"/>
        <v>0</v>
      </c>
      <c r="N148" s="133">
        <f t="shared" si="31"/>
        <v>0</v>
      </c>
      <c r="O148" s="133">
        <f t="shared" si="31"/>
        <v>0</v>
      </c>
      <c r="P148" s="133">
        <f t="shared" si="31"/>
        <v>0</v>
      </c>
      <c r="Q148" s="133">
        <f t="shared" si="31"/>
        <v>0</v>
      </c>
      <c r="R148" s="133">
        <f t="shared" si="31"/>
        <v>0</v>
      </c>
      <c r="S148" s="133">
        <f t="shared" si="31"/>
        <v>0</v>
      </c>
      <c r="T148" s="133">
        <f t="shared" si="31"/>
        <v>0</v>
      </c>
      <c r="U148" s="133">
        <f t="shared" si="31"/>
        <v>0</v>
      </c>
      <c r="V148" s="133">
        <f t="shared" si="31"/>
        <v>0</v>
      </c>
      <c r="W148" s="133">
        <f t="shared" si="31"/>
        <v>0</v>
      </c>
      <c r="X148" s="133">
        <f t="shared" si="31"/>
        <v>0</v>
      </c>
      <c r="Y148" s="133"/>
    </row>
    <row r="149" spans="4:25">
      <c r="D149" s="7" t="s">
        <v>80</v>
      </c>
      <c r="E149" s="132">
        <f t="shared" si="30"/>
        <v>0</v>
      </c>
      <c r="F149" s="133">
        <f t="shared" si="31"/>
        <v>0</v>
      </c>
      <c r="G149" s="133">
        <f t="shared" si="31"/>
        <v>0</v>
      </c>
      <c r="H149" s="133">
        <f t="shared" si="31"/>
        <v>0</v>
      </c>
      <c r="I149" s="133">
        <f t="shared" si="31"/>
        <v>0</v>
      </c>
      <c r="J149" s="133">
        <f t="shared" si="31"/>
        <v>0</v>
      </c>
      <c r="K149" s="133">
        <f t="shared" si="31"/>
        <v>0</v>
      </c>
      <c r="L149" s="133">
        <f t="shared" si="31"/>
        <v>0</v>
      </c>
      <c r="M149" s="133">
        <f t="shared" si="31"/>
        <v>0</v>
      </c>
      <c r="N149" s="133">
        <f t="shared" si="31"/>
        <v>0</v>
      </c>
      <c r="O149" s="133">
        <f t="shared" si="31"/>
        <v>0</v>
      </c>
      <c r="P149" s="133">
        <f t="shared" si="31"/>
        <v>0</v>
      </c>
      <c r="Q149" s="133">
        <f t="shared" si="31"/>
        <v>0</v>
      </c>
      <c r="R149" s="133">
        <f t="shared" si="31"/>
        <v>0</v>
      </c>
      <c r="S149" s="133">
        <f t="shared" si="31"/>
        <v>0</v>
      </c>
      <c r="T149" s="133">
        <f t="shared" si="31"/>
        <v>0</v>
      </c>
      <c r="U149" s="133">
        <f t="shared" si="31"/>
        <v>0</v>
      </c>
      <c r="V149" s="133">
        <f t="shared" si="31"/>
        <v>0</v>
      </c>
      <c r="W149" s="133">
        <f t="shared" si="31"/>
        <v>0</v>
      </c>
      <c r="X149" s="133">
        <f t="shared" si="31"/>
        <v>0</v>
      </c>
      <c r="Y149" s="133"/>
    </row>
    <row r="150" spans="4:25">
      <c r="D150" s="7" t="s">
        <v>83</v>
      </c>
      <c r="E150" s="132">
        <f t="shared" si="30"/>
        <v>0</v>
      </c>
      <c r="F150" s="133">
        <f t="shared" si="31"/>
        <v>0</v>
      </c>
      <c r="G150" s="133">
        <f t="shared" si="31"/>
        <v>0</v>
      </c>
      <c r="H150" s="133">
        <f t="shared" si="31"/>
        <v>0</v>
      </c>
      <c r="I150" s="133">
        <f t="shared" si="31"/>
        <v>0</v>
      </c>
      <c r="J150" s="133">
        <f t="shared" si="31"/>
        <v>0</v>
      </c>
      <c r="K150" s="133">
        <f t="shared" si="31"/>
        <v>0</v>
      </c>
      <c r="L150" s="133">
        <f t="shared" si="31"/>
        <v>0</v>
      </c>
      <c r="M150" s="133">
        <f t="shared" si="31"/>
        <v>0</v>
      </c>
      <c r="N150" s="133">
        <f t="shared" si="31"/>
        <v>0</v>
      </c>
      <c r="O150" s="133">
        <f t="shared" si="31"/>
        <v>0</v>
      </c>
      <c r="P150" s="133">
        <f t="shared" si="31"/>
        <v>0</v>
      </c>
      <c r="Q150" s="133">
        <f t="shared" si="31"/>
        <v>0</v>
      </c>
      <c r="R150" s="133">
        <f t="shared" si="31"/>
        <v>0</v>
      </c>
      <c r="S150" s="133">
        <f t="shared" si="31"/>
        <v>0</v>
      </c>
      <c r="T150" s="133">
        <f t="shared" si="31"/>
        <v>0</v>
      </c>
      <c r="U150" s="133">
        <f t="shared" si="31"/>
        <v>0</v>
      </c>
      <c r="V150" s="133">
        <f t="shared" si="31"/>
        <v>0</v>
      </c>
      <c r="W150" s="133">
        <f t="shared" si="31"/>
        <v>0</v>
      </c>
      <c r="X150" s="133">
        <f t="shared" si="31"/>
        <v>0</v>
      </c>
      <c r="Y150" s="133"/>
    </row>
    <row r="151" spans="4:25">
      <c r="D151" s="7" t="s">
        <v>86</v>
      </c>
      <c r="E151" s="132">
        <f t="shared" si="30"/>
        <v>0</v>
      </c>
      <c r="F151" s="133">
        <f t="shared" si="31"/>
        <v>0</v>
      </c>
      <c r="G151" s="133">
        <f t="shared" si="31"/>
        <v>0</v>
      </c>
      <c r="H151" s="133">
        <f t="shared" si="31"/>
        <v>0</v>
      </c>
      <c r="I151" s="133">
        <f t="shared" si="31"/>
        <v>0</v>
      </c>
      <c r="J151" s="133">
        <f t="shared" si="31"/>
        <v>0</v>
      </c>
      <c r="K151" s="133">
        <f t="shared" si="31"/>
        <v>0</v>
      </c>
      <c r="L151" s="133">
        <f t="shared" si="31"/>
        <v>0</v>
      </c>
      <c r="M151" s="133">
        <f t="shared" si="31"/>
        <v>0</v>
      </c>
      <c r="N151" s="133">
        <f t="shared" si="31"/>
        <v>0</v>
      </c>
      <c r="O151" s="133">
        <f t="shared" si="31"/>
        <v>0</v>
      </c>
      <c r="P151" s="133">
        <f t="shared" si="31"/>
        <v>0</v>
      </c>
      <c r="Q151" s="133">
        <f t="shared" si="31"/>
        <v>0</v>
      </c>
      <c r="R151" s="133">
        <f t="shared" si="31"/>
        <v>0</v>
      </c>
      <c r="S151" s="133">
        <f t="shared" si="31"/>
        <v>0</v>
      </c>
      <c r="T151" s="133">
        <f t="shared" si="31"/>
        <v>0</v>
      </c>
      <c r="U151" s="133">
        <f t="shared" si="31"/>
        <v>0</v>
      </c>
      <c r="V151" s="133">
        <f t="shared" si="31"/>
        <v>0</v>
      </c>
      <c r="W151" s="133">
        <f t="shared" si="31"/>
        <v>0</v>
      </c>
      <c r="X151" s="133">
        <f t="shared" si="31"/>
        <v>0</v>
      </c>
      <c r="Y151" s="133"/>
    </row>
    <row r="152" spans="4:25">
      <c r="D152" s="7" t="s">
        <v>89</v>
      </c>
      <c r="E152" s="132">
        <f t="shared" si="30"/>
        <v>0</v>
      </c>
      <c r="F152" s="133">
        <f t="shared" si="31"/>
        <v>0</v>
      </c>
      <c r="G152" s="133">
        <f t="shared" si="31"/>
        <v>0</v>
      </c>
      <c r="H152" s="133">
        <f t="shared" si="31"/>
        <v>0</v>
      </c>
      <c r="I152" s="133">
        <f t="shared" si="31"/>
        <v>0</v>
      </c>
      <c r="J152" s="133">
        <f t="shared" si="31"/>
        <v>0</v>
      </c>
      <c r="K152" s="133">
        <f t="shared" si="31"/>
        <v>0</v>
      </c>
      <c r="L152" s="133">
        <f t="shared" si="31"/>
        <v>0</v>
      </c>
      <c r="M152" s="133">
        <f t="shared" si="31"/>
        <v>0</v>
      </c>
      <c r="N152" s="133">
        <f t="shared" si="31"/>
        <v>0</v>
      </c>
      <c r="O152" s="133">
        <f t="shared" si="31"/>
        <v>0</v>
      </c>
      <c r="P152" s="133">
        <f t="shared" si="31"/>
        <v>0</v>
      </c>
      <c r="Q152" s="133">
        <f t="shared" si="31"/>
        <v>0</v>
      </c>
      <c r="R152" s="133">
        <f t="shared" si="31"/>
        <v>0</v>
      </c>
      <c r="S152" s="133">
        <f t="shared" si="31"/>
        <v>0</v>
      </c>
      <c r="T152" s="133">
        <f t="shared" si="31"/>
        <v>0</v>
      </c>
      <c r="U152" s="133">
        <f t="shared" si="31"/>
        <v>0</v>
      </c>
      <c r="V152" s="133">
        <f t="shared" si="31"/>
        <v>0</v>
      </c>
      <c r="W152" s="133">
        <f t="shared" si="31"/>
        <v>0</v>
      </c>
      <c r="X152" s="133">
        <f t="shared" si="31"/>
        <v>0</v>
      </c>
      <c r="Y152" s="133"/>
    </row>
    <row r="153" spans="4:25">
      <c r="D153" s="7" t="s">
        <v>92</v>
      </c>
      <c r="E153" s="132">
        <f t="shared" si="30"/>
        <v>0</v>
      </c>
      <c r="F153" s="133">
        <f t="shared" si="31"/>
        <v>0</v>
      </c>
      <c r="G153" s="133">
        <f t="shared" si="31"/>
        <v>0</v>
      </c>
      <c r="H153" s="133">
        <f t="shared" si="31"/>
        <v>0</v>
      </c>
      <c r="I153" s="133">
        <f t="shared" si="31"/>
        <v>0</v>
      </c>
      <c r="J153" s="133">
        <f t="shared" si="31"/>
        <v>0</v>
      </c>
      <c r="K153" s="133">
        <f t="shared" si="31"/>
        <v>0</v>
      </c>
      <c r="L153" s="133">
        <f t="shared" si="31"/>
        <v>0</v>
      </c>
      <c r="M153" s="133">
        <f t="shared" si="31"/>
        <v>0</v>
      </c>
      <c r="N153" s="133">
        <f t="shared" si="31"/>
        <v>0</v>
      </c>
      <c r="O153" s="133">
        <f t="shared" si="31"/>
        <v>0</v>
      </c>
      <c r="P153" s="133">
        <f t="shared" si="31"/>
        <v>0</v>
      </c>
      <c r="Q153" s="133">
        <f t="shared" si="31"/>
        <v>0</v>
      </c>
      <c r="R153" s="133">
        <f t="shared" si="31"/>
        <v>0</v>
      </c>
      <c r="S153" s="133">
        <f t="shared" si="31"/>
        <v>0</v>
      </c>
      <c r="T153" s="133">
        <f t="shared" si="31"/>
        <v>0</v>
      </c>
      <c r="U153" s="133">
        <f t="shared" si="31"/>
        <v>0</v>
      </c>
      <c r="V153" s="133">
        <f t="shared" si="31"/>
        <v>0</v>
      </c>
      <c r="W153" s="133">
        <f t="shared" si="31"/>
        <v>0</v>
      </c>
      <c r="X153" s="133">
        <f t="shared" si="31"/>
        <v>0</v>
      </c>
      <c r="Y153" s="133"/>
    </row>
    <row r="154" spans="4:25">
      <c r="D154" s="7" t="s">
        <v>95</v>
      </c>
      <c r="E154" s="132">
        <f t="shared" si="30"/>
        <v>0</v>
      </c>
      <c r="F154" s="133">
        <f t="shared" si="31"/>
        <v>0</v>
      </c>
      <c r="G154" s="133">
        <f t="shared" si="31"/>
        <v>0</v>
      </c>
      <c r="H154" s="133">
        <f t="shared" si="31"/>
        <v>0</v>
      </c>
      <c r="I154" s="133">
        <f t="shared" si="31"/>
        <v>0</v>
      </c>
      <c r="J154" s="133">
        <f t="shared" si="31"/>
        <v>0</v>
      </c>
      <c r="K154" s="133">
        <f t="shared" si="31"/>
        <v>0</v>
      </c>
      <c r="L154" s="133">
        <f t="shared" si="31"/>
        <v>0</v>
      </c>
      <c r="M154" s="133">
        <f t="shared" si="31"/>
        <v>0</v>
      </c>
      <c r="N154" s="133">
        <f t="shared" si="31"/>
        <v>0</v>
      </c>
      <c r="O154" s="133">
        <f t="shared" si="31"/>
        <v>0</v>
      </c>
      <c r="P154" s="133">
        <f t="shared" si="31"/>
        <v>0</v>
      </c>
      <c r="Q154" s="133">
        <f t="shared" si="31"/>
        <v>0</v>
      </c>
      <c r="R154" s="133">
        <f t="shared" si="31"/>
        <v>0</v>
      </c>
      <c r="S154" s="133">
        <f t="shared" si="31"/>
        <v>0</v>
      </c>
      <c r="T154" s="133">
        <f t="shared" si="31"/>
        <v>0</v>
      </c>
      <c r="U154" s="133">
        <f t="shared" si="31"/>
        <v>0</v>
      </c>
      <c r="V154" s="133">
        <f t="shared" si="31"/>
        <v>0</v>
      </c>
      <c r="W154" s="133">
        <f t="shared" si="31"/>
        <v>0</v>
      </c>
      <c r="X154" s="133">
        <f t="shared" si="31"/>
        <v>0</v>
      </c>
      <c r="Y154" s="133"/>
    </row>
    <row r="155" spans="4:25">
      <c r="D155" s="7" t="s">
        <v>98</v>
      </c>
      <c r="E155" s="132">
        <f t="shared" si="30"/>
        <v>0</v>
      </c>
      <c r="F155" s="133">
        <f t="shared" si="31"/>
        <v>0</v>
      </c>
      <c r="G155" s="133">
        <f t="shared" si="31"/>
        <v>0</v>
      </c>
      <c r="H155" s="133">
        <f t="shared" si="31"/>
        <v>0</v>
      </c>
      <c r="I155" s="133">
        <f t="shared" si="31"/>
        <v>0</v>
      </c>
      <c r="J155" s="133">
        <f t="shared" si="31"/>
        <v>0</v>
      </c>
      <c r="K155" s="133">
        <f t="shared" si="31"/>
        <v>0</v>
      </c>
      <c r="L155" s="133">
        <f t="shared" si="31"/>
        <v>0</v>
      </c>
      <c r="M155" s="133">
        <f t="shared" si="31"/>
        <v>0</v>
      </c>
      <c r="N155" s="133">
        <f t="shared" si="31"/>
        <v>0</v>
      </c>
      <c r="O155" s="133">
        <f t="shared" si="31"/>
        <v>0</v>
      </c>
      <c r="P155" s="133">
        <f t="shared" si="31"/>
        <v>0</v>
      </c>
      <c r="Q155" s="133">
        <f t="shared" si="31"/>
        <v>0</v>
      </c>
      <c r="R155" s="133">
        <f t="shared" si="31"/>
        <v>0</v>
      </c>
      <c r="S155" s="133">
        <f t="shared" si="31"/>
        <v>0</v>
      </c>
      <c r="T155" s="133">
        <f t="shared" si="31"/>
        <v>0</v>
      </c>
      <c r="U155" s="133">
        <f t="shared" si="31"/>
        <v>0</v>
      </c>
      <c r="V155" s="133">
        <f t="shared" si="31"/>
        <v>0</v>
      </c>
      <c r="W155" s="133">
        <f t="shared" si="31"/>
        <v>0</v>
      </c>
      <c r="X155" s="133">
        <f t="shared" si="31"/>
        <v>0</v>
      </c>
      <c r="Y155" s="133"/>
    </row>
    <row r="156" spans="4:25">
      <c r="D156" s="7" t="s">
        <v>101</v>
      </c>
      <c r="E156" s="132">
        <f t="shared" si="30"/>
        <v>9.0187803965346203E-2</v>
      </c>
      <c r="F156" s="133">
        <f t="shared" si="31"/>
        <v>0.29065559331994584</v>
      </c>
      <c r="G156" s="133">
        <f t="shared" si="31"/>
        <v>0.62556219301092808</v>
      </c>
      <c r="H156" s="133">
        <f t="shared" si="31"/>
        <v>1.1159434227994471</v>
      </c>
      <c r="I156" s="133">
        <f t="shared" si="31"/>
        <v>1.7830123873056896</v>
      </c>
      <c r="J156" s="133">
        <f t="shared" si="31"/>
        <v>2.655965626675703</v>
      </c>
      <c r="K156" s="133">
        <f t="shared" si="31"/>
        <v>3.7539399025897584</v>
      </c>
      <c r="L156" s="133">
        <f t="shared" si="31"/>
        <v>5.080794253717885</v>
      </c>
      <c r="M156" s="133">
        <f t="shared" si="31"/>
        <v>6.622182084609304</v>
      </c>
      <c r="N156" s="133">
        <f t="shared" si="31"/>
        <v>8.3466447483761108</v>
      </c>
      <c r="O156" s="133">
        <f t="shared" si="31"/>
        <v>10.211243282672234</v>
      </c>
      <c r="P156" s="133">
        <f t="shared" si="31"/>
        <v>12.170242799897146</v>
      </c>
      <c r="Q156" s="133">
        <f t="shared" si="31"/>
        <v>14.183683810277683</v>
      </c>
      <c r="R156" s="133">
        <f t="shared" si="31"/>
        <v>16.222637139665174</v>
      </c>
      <c r="S156" s="133">
        <f t="shared" si="31"/>
        <v>18.269838376537241</v>
      </c>
      <c r="T156" s="133">
        <f t="shared" si="31"/>
        <v>20.77389586784124</v>
      </c>
      <c r="U156" s="133">
        <f t="shared" si="31"/>
        <v>23.235235685313643</v>
      </c>
      <c r="V156" s="133">
        <f t="shared" si="31"/>
        <v>25.647572066259144</v>
      </c>
      <c r="W156" s="133">
        <f t="shared" si="31"/>
        <v>28.017471978857774</v>
      </c>
      <c r="X156" s="133">
        <f t="shared" si="31"/>
        <v>30.345196789224907</v>
      </c>
      <c r="Y156" s="133"/>
    </row>
    <row r="157" spans="4:25">
      <c r="D157" s="7" t="s">
        <v>104</v>
      </c>
      <c r="E157" s="132">
        <f t="shared" si="30"/>
        <v>8.903152660368463E-2</v>
      </c>
      <c r="F157" s="133">
        <f t="shared" si="31"/>
        <v>0.28692916393792756</v>
      </c>
      <c r="G157" s="133">
        <f t="shared" si="31"/>
        <v>0.61754200213935717</v>
      </c>
      <c r="H157" s="133">
        <f t="shared" si="31"/>
        <v>1.1016361654991815</v>
      </c>
      <c r="I157" s="133">
        <f t="shared" si="31"/>
        <v>1.7601527902387082</v>
      </c>
      <c r="J157" s="133">
        <f t="shared" si="31"/>
        <v>2.6219140942904993</v>
      </c>
      <c r="K157" s="133">
        <f t="shared" si="31"/>
        <v>3.7058114912574416</v>
      </c>
      <c r="L157" s="133">
        <f t="shared" si="31"/>
        <v>5.0156545439507925</v>
      </c>
      <c r="M157" s="133">
        <f t="shared" si="31"/>
        <v>6.5372805913633147</v>
      </c>
      <c r="N157" s="133">
        <f t="shared" si="31"/>
        <v>8.2396343107776211</v>
      </c>
      <c r="O157" s="133">
        <f t="shared" si="31"/>
        <v>10.080327250536568</v>
      </c>
      <c r="P157" s="133">
        <f t="shared" si="31"/>
        <v>12.014210879651561</v>
      </c>
      <c r="Q157" s="133">
        <f t="shared" si="31"/>
        <v>14.001838019896859</v>
      </c>
      <c r="R157" s="133">
        <f t="shared" si="31"/>
        <v>16.014650391498513</v>
      </c>
      <c r="S157" s="133">
        <f t="shared" si="31"/>
        <v>18.035604926035191</v>
      </c>
      <c r="T157" s="133">
        <f t="shared" si="31"/>
        <v>20.507558464673856</v>
      </c>
      <c r="U157" s="133">
        <f t="shared" si="31"/>
        <v>22.937342003080047</v>
      </c>
      <c r="V157" s="133">
        <f t="shared" si="31"/>
        <v>25.318750366895074</v>
      </c>
      <c r="W157" s="133">
        <f t="shared" si="31"/>
        <v>27.658266330690665</v>
      </c>
      <c r="X157" s="133">
        <f t="shared" si="31"/>
        <v>29.956147909666562</v>
      </c>
      <c r="Y157" s="133"/>
    </row>
    <row r="158" spans="4:25">
      <c r="D158" s="7" t="s">
        <v>107</v>
      </c>
      <c r="E158" s="132">
        <f t="shared" si="30"/>
        <v>0</v>
      </c>
      <c r="F158" s="133">
        <f t="shared" si="31"/>
        <v>0</v>
      </c>
      <c r="G158" s="133">
        <f t="shared" si="31"/>
        <v>0</v>
      </c>
      <c r="H158" s="133">
        <f t="shared" si="31"/>
        <v>0</v>
      </c>
      <c r="I158" s="133">
        <f t="shared" si="31"/>
        <v>0</v>
      </c>
      <c r="J158" s="133">
        <f t="shared" si="31"/>
        <v>0</v>
      </c>
      <c r="K158" s="133">
        <f t="shared" si="31"/>
        <v>0</v>
      </c>
      <c r="L158" s="133">
        <f t="shared" si="31"/>
        <v>0</v>
      </c>
      <c r="M158" s="133">
        <f t="shared" si="31"/>
        <v>0</v>
      </c>
      <c r="N158" s="133">
        <f t="shared" ref="N158:X158" si="32">M158+N119</f>
        <v>0</v>
      </c>
      <c r="O158" s="133">
        <f t="shared" si="32"/>
        <v>0</v>
      </c>
      <c r="P158" s="133">
        <f t="shared" si="32"/>
        <v>0</v>
      </c>
      <c r="Q158" s="133">
        <f t="shared" si="32"/>
        <v>0</v>
      </c>
      <c r="R158" s="133">
        <f t="shared" si="32"/>
        <v>0</v>
      </c>
      <c r="S158" s="133">
        <f t="shared" si="32"/>
        <v>0</v>
      </c>
      <c r="T158" s="133">
        <f t="shared" si="32"/>
        <v>0</v>
      </c>
      <c r="U158" s="133">
        <f t="shared" si="32"/>
        <v>0</v>
      </c>
      <c r="V158" s="133">
        <f t="shared" si="32"/>
        <v>0</v>
      </c>
      <c r="W158" s="133">
        <f t="shared" si="32"/>
        <v>0</v>
      </c>
      <c r="X158" s="133">
        <f t="shared" si="32"/>
        <v>0</v>
      </c>
      <c r="Y158" s="133"/>
    </row>
    <row r="159" spans="4:25">
      <c r="D159" s="7" t="s">
        <v>110</v>
      </c>
      <c r="E159" s="132">
        <f t="shared" si="30"/>
        <v>0</v>
      </c>
      <c r="F159" s="133">
        <f t="shared" ref="F159:X172" si="33">E159+F120</f>
        <v>0</v>
      </c>
      <c r="G159" s="133">
        <f t="shared" si="33"/>
        <v>0</v>
      </c>
      <c r="H159" s="133">
        <f t="shared" si="33"/>
        <v>0</v>
      </c>
      <c r="I159" s="133">
        <f t="shared" si="33"/>
        <v>0</v>
      </c>
      <c r="J159" s="133">
        <f t="shared" si="33"/>
        <v>0</v>
      </c>
      <c r="K159" s="133">
        <f t="shared" si="33"/>
        <v>0</v>
      </c>
      <c r="L159" s="133">
        <f t="shared" si="33"/>
        <v>0</v>
      </c>
      <c r="M159" s="133">
        <f t="shared" si="33"/>
        <v>0</v>
      </c>
      <c r="N159" s="133">
        <f t="shared" si="33"/>
        <v>0</v>
      </c>
      <c r="O159" s="133">
        <f t="shared" si="33"/>
        <v>0</v>
      </c>
      <c r="P159" s="133">
        <f t="shared" si="33"/>
        <v>0</v>
      </c>
      <c r="Q159" s="133">
        <f t="shared" si="33"/>
        <v>0</v>
      </c>
      <c r="R159" s="133">
        <f t="shared" si="33"/>
        <v>0</v>
      </c>
      <c r="S159" s="133">
        <f t="shared" si="33"/>
        <v>0</v>
      </c>
      <c r="T159" s="133">
        <f t="shared" si="33"/>
        <v>0</v>
      </c>
      <c r="U159" s="133">
        <f t="shared" si="33"/>
        <v>0</v>
      </c>
      <c r="V159" s="133">
        <f t="shared" si="33"/>
        <v>0</v>
      </c>
      <c r="W159" s="133">
        <f t="shared" si="33"/>
        <v>0</v>
      </c>
      <c r="X159" s="133">
        <f t="shared" si="33"/>
        <v>0</v>
      </c>
      <c r="Y159" s="133"/>
    </row>
    <row r="160" spans="4:25">
      <c r="D160" s="7" t="s">
        <v>113</v>
      </c>
      <c r="E160" s="132">
        <f t="shared" si="30"/>
        <v>0.22394302747967232</v>
      </c>
      <c r="F160" s="133">
        <f t="shared" si="33"/>
        <v>0.72171946383104557</v>
      </c>
      <c r="G160" s="133">
        <f t="shared" si="33"/>
        <v>1.5533174688843596</v>
      </c>
      <c r="H160" s="133">
        <f t="shared" si="33"/>
        <v>2.7709705482324516</v>
      </c>
      <c r="I160" s="133">
        <f t="shared" si="33"/>
        <v>4.4273524189636424</v>
      </c>
      <c r="J160" s="133">
        <f t="shared" si="33"/>
        <v>6.5949602625676818</v>
      </c>
      <c r="K160" s="133">
        <f t="shared" si="33"/>
        <v>9.3213120821271538</v>
      </c>
      <c r="L160" s="133">
        <f t="shared" si="33"/>
        <v>12.615990157783392</v>
      </c>
      <c r="M160" s="133">
        <f t="shared" si="33"/>
        <v>16.443370825603875</v>
      </c>
      <c r="N160" s="133">
        <f t="shared" si="33"/>
        <v>20.725339924751534</v>
      </c>
      <c r="O160" s="133">
        <f t="shared" si="33"/>
        <v>25.355276816937959</v>
      </c>
      <c r="P160" s="133">
        <f t="shared" si="33"/>
        <v>30.219618373443002</v>
      </c>
      <c r="Q160" s="133">
        <f t="shared" si="33"/>
        <v>35.219142208058166</v>
      </c>
      <c r="R160" s="133">
        <f t="shared" si="33"/>
        <v>40.282015028957986</v>
      </c>
      <c r="S160" s="133">
        <f t="shared" si="33"/>
        <v>45.365368017810205</v>
      </c>
      <c r="T160" s="133">
        <f t="shared" si="33"/>
        <v>51.583129077844887</v>
      </c>
      <c r="U160" s="133">
        <f t="shared" si="33"/>
        <v>57.694818975437116</v>
      </c>
      <c r="V160" s="133">
        <f t="shared" si="33"/>
        <v>63.684829694135487</v>
      </c>
      <c r="W160" s="133">
        <f t="shared" si="33"/>
        <v>69.569467504532483</v>
      </c>
      <c r="X160" s="133">
        <f t="shared" si="33"/>
        <v>75.349381398138974</v>
      </c>
      <c r="Y160" s="133"/>
    </row>
    <row r="161" spans="4:25">
      <c r="D161" s="7" t="s">
        <v>116</v>
      </c>
      <c r="E161" s="132">
        <f t="shared" si="30"/>
        <v>0</v>
      </c>
      <c r="F161" s="133">
        <f t="shared" si="33"/>
        <v>0</v>
      </c>
      <c r="G161" s="133">
        <f t="shared" si="33"/>
        <v>0</v>
      </c>
      <c r="H161" s="133">
        <f t="shared" si="33"/>
        <v>0</v>
      </c>
      <c r="I161" s="133">
        <f t="shared" si="33"/>
        <v>0</v>
      </c>
      <c r="J161" s="133">
        <f t="shared" si="33"/>
        <v>0</v>
      </c>
      <c r="K161" s="133">
        <f t="shared" si="33"/>
        <v>0</v>
      </c>
      <c r="L161" s="133">
        <f t="shared" si="33"/>
        <v>0</v>
      </c>
      <c r="M161" s="133">
        <f t="shared" si="33"/>
        <v>0</v>
      </c>
      <c r="N161" s="133">
        <f t="shared" si="33"/>
        <v>0</v>
      </c>
      <c r="O161" s="133">
        <f t="shared" si="33"/>
        <v>0</v>
      </c>
      <c r="P161" s="133">
        <f t="shared" si="33"/>
        <v>0</v>
      </c>
      <c r="Q161" s="133">
        <f t="shared" si="33"/>
        <v>0</v>
      </c>
      <c r="R161" s="133">
        <f t="shared" si="33"/>
        <v>0</v>
      </c>
      <c r="S161" s="133">
        <f t="shared" si="33"/>
        <v>0</v>
      </c>
      <c r="T161" s="133">
        <f t="shared" si="33"/>
        <v>0</v>
      </c>
      <c r="U161" s="133">
        <f t="shared" si="33"/>
        <v>0</v>
      </c>
      <c r="V161" s="133">
        <f t="shared" si="33"/>
        <v>0</v>
      </c>
      <c r="W161" s="133">
        <f t="shared" si="33"/>
        <v>0</v>
      </c>
      <c r="X161" s="133">
        <f t="shared" si="33"/>
        <v>0</v>
      </c>
      <c r="Y161" s="133"/>
    </row>
    <row r="162" spans="4:25">
      <c r="D162" s="7" t="s">
        <v>119</v>
      </c>
      <c r="E162" s="132">
        <f t="shared" si="30"/>
        <v>0</v>
      </c>
      <c r="F162" s="133">
        <f t="shared" si="33"/>
        <v>0</v>
      </c>
      <c r="G162" s="133">
        <f t="shared" si="33"/>
        <v>0</v>
      </c>
      <c r="H162" s="133">
        <f t="shared" si="33"/>
        <v>0</v>
      </c>
      <c r="I162" s="133">
        <f t="shared" si="33"/>
        <v>0</v>
      </c>
      <c r="J162" s="133">
        <f t="shared" si="33"/>
        <v>0</v>
      </c>
      <c r="K162" s="133">
        <f t="shared" si="33"/>
        <v>0</v>
      </c>
      <c r="L162" s="133">
        <f t="shared" si="33"/>
        <v>0</v>
      </c>
      <c r="M162" s="133">
        <f t="shared" si="33"/>
        <v>0</v>
      </c>
      <c r="N162" s="133">
        <f t="shared" si="33"/>
        <v>0</v>
      </c>
      <c r="O162" s="133">
        <f t="shared" si="33"/>
        <v>0</v>
      </c>
      <c r="P162" s="133">
        <f t="shared" si="33"/>
        <v>0</v>
      </c>
      <c r="Q162" s="133">
        <f t="shared" si="33"/>
        <v>0</v>
      </c>
      <c r="R162" s="133">
        <f t="shared" si="33"/>
        <v>0</v>
      </c>
      <c r="S162" s="133">
        <f t="shared" si="33"/>
        <v>0</v>
      </c>
      <c r="T162" s="133">
        <f t="shared" si="33"/>
        <v>0</v>
      </c>
      <c r="U162" s="133">
        <f t="shared" si="33"/>
        <v>0</v>
      </c>
      <c r="V162" s="133">
        <f t="shared" si="33"/>
        <v>0</v>
      </c>
      <c r="W162" s="133">
        <f t="shared" si="33"/>
        <v>0</v>
      </c>
      <c r="X162" s="133">
        <f t="shared" si="33"/>
        <v>0</v>
      </c>
      <c r="Y162" s="133"/>
    </row>
    <row r="163" spans="4:25">
      <c r="D163" s="7" t="s">
        <v>122</v>
      </c>
      <c r="E163" s="132">
        <f t="shared" si="30"/>
        <v>0</v>
      </c>
      <c r="F163" s="133">
        <f t="shared" si="33"/>
        <v>0</v>
      </c>
      <c r="G163" s="133">
        <f t="shared" si="33"/>
        <v>0</v>
      </c>
      <c r="H163" s="133">
        <f t="shared" si="33"/>
        <v>0</v>
      </c>
      <c r="I163" s="133">
        <f t="shared" si="33"/>
        <v>0</v>
      </c>
      <c r="J163" s="133">
        <f t="shared" si="33"/>
        <v>0</v>
      </c>
      <c r="K163" s="133">
        <f t="shared" si="33"/>
        <v>0</v>
      </c>
      <c r="L163" s="133">
        <f t="shared" si="33"/>
        <v>0</v>
      </c>
      <c r="M163" s="133">
        <f t="shared" si="33"/>
        <v>0</v>
      </c>
      <c r="N163" s="133">
        <f t="shared" si="33"/>
        <v>0</v>
      </c>
      <c r="O163" s="133">
        <f t="shared" si="33"/>
        <v>0</v>
      </c>
      <c r="P163" s="133">
        <f t="shared" si="33"/>
        <v>0</v>
      </c>
      <c r="Q163" s="133">
        <f t="shared" si="33"/>
        <v>0</v>
      </c>
      <c r="R163" s="133">
        <f t="shared" si="33"/>
        <v>0</v>
      </c>
      <c r="S163" s="133">
        <f t="shared" si="33"/>
        <v>0</v>
      </c>
      <c r="T163" s="133">
        <f t="shared" si="33"/>
        <v>0</v>
      </c>
      <c r="U163" s="133">
        <f t="shared" si="33"/>
        <v>0</v>
      </c>
      <c r="V163" s="133">
        <f t="shared" si="33"/>
        <v>0</v>
      </c>
      <c r="W163" s="133">
        <f t="shared" si="33"/>
        <v>0</v>
      </c>
      <c r="X163" s="133">
        <f t="shared" si="33"/>
        <v>0</v>
      </c>
      <c r="Y163" s="133"/>
    </row>
    <row r="164" spans="4:25">
      <c r="D164" s="7" t="s">
        <v>125</v>
      </c>
      <c r="E164" s="132">
        <f t="shared" si="30"/>
        <v>0</v>
      </c>
      <c r="F164" s="133">
        <f t="shared" si="33"/>
        <v>0</v>
      </c>
      <c r="G164" s="133">
        <f t="shared" si="33"/>
        <v>0</v>
      </c>
      <c r="H164" s="133">
        <f t="shared" si="33"/>
        <v>0</v>
      </c>
      <c r="I164" s="133">
        <f t="shared" si="33"/>
        <v>0</v>
      </c>
      <c r="J164" s="133">
        <f t="shared" si="33"/>
        <v>0</v>
      </c>
      <c r="K164" s="133">
        <f t="shared" si="33"/>
        <v>0</v>
      </c>
      <c r="L164" s="133">
        <f t="shared" si="33"/>
        <v>0</v>
      </c>
      <c r="M164" s="133">
        <f t="shared" si="33"/>
        <v>0</v>
      </c>
      <c r="N164" s="133">
        <f t="shared" si="33"/>
        <v>0</v>
      </c>
      <c r="O164" s="133">
        <f t="shared" si="33"/>
        <v>0</v>
      </c>
      <c r="P164" s="133">
        <f t="shared" si="33"/>
        <v>0</v>
      </c>
      <c r="Q164" s="133">
        <f t="shared" si="33"/>
        <v>0</v>
      </c>
      <c r="R164" s="133">
        <f t="shared" si="33"/>
        <v>0</v>
      </c>
      <c r="S164" s="133">
        <f t="shared" si="33"/>
        <v>0</v>
      </c>
      <c r="T164" s="133">
        <f t="shared" si="33"/>
        <v>0</v>
      </c>
      <c r="U164" s="133">
        <f t="shared" si="33"/>
        <v>0</v>
      </c>
      <c r="V164" s="133">
        <f t="shared" si="33"/>
        <v>0</v>
      </c>
      <c r="W164" s="133">
        <f t="shared" si="33"/>
        <v>0</v>
      </c>
      <c r="X164" s="133">
        <f t="shared" si="33"/>
        <v>0</v>
      </c>
      <c r="Y164" s="133"/>
    </row>
    <row r="165" spans="4:25">
      <c r="D165" s="7" t="s">
        <v>128</v>
      </c>
      <c r="E165" s="132">
        <f t="shared" si="30"/>
        <v>0</v>
      </c>
      <c r="F165" s="133">
        <f t="shared" si="33"/>
        <v>0</v>
      </c>
      <c r="G165" s="133">
        <f t="shared" si="33"/>
        <v>0</v>
      </c>
      <c r="H165" s="133">
        <f t="shared" si="33"/>
        <v>0</v>
      </c>
      <c r="I165" s="133">
        <f t="shared" si="33"/>
        <v>0</v>
      </c>
      <c r="J165" s="133">
        <f t="shared" si="33"/>
        <v>0</v>
      </c>
      <c r="K165" s="133">
        <f t="shared" si="33"/>
        <v>0</v>
      </c>
      <c r="L165" s="133">
        <f t="shared" si="33"/>
        <v>0</v>
      </c>
      <c r="M165" s="133">
        <f t="shared" si="33"/>
        <v>0</v>
      </c>
      <c r="N165" s="133">
        <f t="shared" si="33"/>
        <v>0</v>
      </c>
      <c r="O165" s="133">
        <f t="shared" si="33"/>
        <v>0</v>
      </c>
      <c r="P165" s="133">
        <f t="shared" si="33"/>
        <v>0</v>
      </c>
      <c r="Q165" s="133">
        <f t="shared" si="33"/>
        <v>0</v>
      </c>
      <c r="R165" s="133">
        <f t="shared" si="33"/>
        <v>0</v>
      </c>
      <c r="S165" s="133">
        <f t="shared" si="33"/>
        <v>0</v>
      </c>
      <c r="T165" s="133">
        <f t="shared" si="33"/>
        <v>0</v>
      </c>
      <c r="U165" s="133">
        <f t="shared" si="33"/>
        <v>0</v>
      </c>
      <c r="V165" s="133">
        <f t="shared" si="33"/>
        <v>0</v>
      </c>
      <c r="W165" s="133">
        <f t="shared" si="33"/>
        <v>0</v>
      </c>
      <c r="X165" s="133">
        <f t="shared" si="33"/>
        <v>0</v>
      </c>
      <c r="Y165" s="133"/>
    </row>
    <row r="166" spans="4:25">
      <c r="D166" s="7" t="s">
        <v>372</v>
      </c>
      <c r="E166" s="132">
        <f t="shared" si="30"/>
        <v>0</v>
      </c>
      <c r="F166" s="133">
        <f t="shared" si="33"/>
        <v>0</v>
      </c>
      <c r="G166" s="133">
        <f t="shared" si="33"/>
        <v>0</v>
      </c>
      <c r="H166" s="133">
        <f t="shared" si="33"/>
        <v>0</v>
      </c>
      <c r="I166" s="133">
        <f t="shared" si="33"/>
        <v>0</v>
      </c>
      <c r="J166" s="133">
        <f t="shared" si="33"/>
        <v>0</v>
      </c>
      <c r="K166" s="133">
        <f t="shared" si="33"/>
        <v>0</v>
      </c>
      <c r="L166" s="133">
        <f t="shared" si="33"/>
        <v>0</v>
      </c>
      <c r="M166" s="133">
        <f t="shared" si="33"/>
        <v>0</v>
      </c>
      <c r="N166" s="133">
        <f t="shared" si="33"/>
        <v>0</v>
      </c>
      <c r="O166" s="133">
        <f t="shared" si="33"/>
        <v>0</v>
      </c>
      <c r="P166" s="133">
        <f t="shared" si="33"/>
        <v>0</v>
      </c>
      <c r="Q166" s="133">
        <f t="shared" si="33"/>
        <v>0</v>
      </c>
      <c r="R166" s="133">
        <f t="shared" si="33"/>
        <v>0</v>
      </c>
      <c r="S166" s="133">
        <f t="shared" si="33"/>
        <v>0</v>
      </c>
      <c r="T166" s="133">
        <f t="shared" si="33"/>
        <v>0</v>
      </c>
      <c r="U166" s="133">
        <f t="shared" si="33"/>
        <v>0</v>
      </c>
      <c r="V166" s="133">
        <f t="shared" si="33"/>
        <v>0</v>
      </c>
      <c r="W166" s="133">
        <f t="shared" si="33"/>
        <v>0</v>
      </c>
      <c r="X166" s="133">
        <f t="shared" si="33"/>
        <v>0</v>
      </c>
      <c r="Y166" s="133"/>
    </row>
    <row r="167" spans="4:25">
      <c r="D167" s="7" t="s">
        <v>373</v>
      </c>
      <c r="E167" s="132">
        <f t="shared" si="30"/>
        <v>0</v>
      </c>
      <c r="F167" s="133">
        <f t="shared" si="33"/>
        <v>0</v>
      </c>
      <c r="G167" s="133">
        <f t="shared" si="33"/>
        <v>0</v>
      </c>
      <c r="H167" s="133">
        <f t="shared" si="33"/>
        <v>0</v>
      </c>
      <c r="I167" s="133">
        <f t="shared" si="33"/>
        <v>0</v>
      </c>
      <c r="J167" s="133">
        <f t="shared" si="33"/>
        <v>0</v>
      </c>
      <c r="K167" s="133">
        <f t="shared" si="33"/>
        <v>0</v>
      </c>
      <c r="L167" s="133">
        <f t="shared" si="33"/>
        <v>0</v>
      </c>
      <c r="M167" s="133">
        <f t="shared" si="33"/>
        <v>0</v>
      </c>
      <c r="N167" s="133">
        <f t="shared" si="33"/>
        <v>0</v>
      </c>
      <c r="O167" s="133">
        <f t="shared" si="33"/>
        <v>0</v>
      </c>
      <c r="P167" s="133">
        <f t="shared" si="33"/>
        <v>0</v>
      </c>
      <c r="Q167" s="133">
        <f t="shared" si="33"/>
        <v>0</v>
      </c>
      <c r="R167" s="133">
        <f t="shared" si="33"/>
        <v>0</v>
      </c>
      <c r="S167" s="133">
        <f t="shared" si="33"/>
        <v>0</v>
      </c>
      <c r="T167" s="133">
        <f t="shared" si="33"/>
        <v>0</v>
      </c>
      <c r="U167" s="133">
        <f t="shared" si="33"/>
        <v>0</v>
      </c>
      <c r="V167" s="133">
        <f t="shared" si="33"/>
        <v>0</v>
      </c>
      <c r="W167" s="133">
        <f t="shared" si="33"/>
        <v>0</v>
      </c>
      <c r="X167" s="133">
        <f t="shared" si="33"/>
        <v>0</v>
      </c>
      <c r="Y167" s="133"/>
    </row>
    <row r="168" spans="4:25">
      <c r="D168" s="7" t="s">
        <v>374</v>
      </c>
      <c r="E168" s="132">
        <f t="shared" si="30"/>
        <v>0</v>
      </c>
      <c r="F168" s="133">
        <f t="shared" si="33"/>
        <v>0</v>
      </c>
      <c r="G168" s="133">
        <f t="shared" si="33"/>
        <v>0</v>
      </c>
      <c r="H168" s="133">
        <f t="shared" si="33"/>
        <v>0</v>
      </c>
      <c r="I168" s="133">
        <f t="shared" si="33"/>
        <v>0</v>
      </c>
      <c r="J168" s="133">
        <f t="shared" si="33"/>
        <v>0</v>
      </c>
      <c r="K168" s="133">
        <f t="shared" si="33"/>
        <v>0</v>
      </c>
      <c r="L168" s="133">
        <f t="shared" si="33"/>
        <v>0</v>
      </c>
      <c r="M168" s="133">
        <f t="shared" si="33"/>
        <v>0</v>
      </c>
      <c r="N168" s="133">
        <f t="shared" si="33"/>
        <v>0</v>
      </c>
      <c r="O168" s="133">
        <f t="shared" si="33"/>
        <v>0</v>
      </c>
      <c r="P168" s="133">
        <f t="shared" si="33"/>
        <v>0</v>
      </c>
      <c r="Q168" s="133">
        <f t="shared" si="33"/>
        <v>0</v>
      </c>
      <c r="R168" s="133">
        <f t="shared" si="33"/>
        <v>0</v>
      </c>
      <c r="S168" s="133">
        <f t="shared" si="33"/>
        <v>0</v>
      </c>
      <c r="T168" s="133">
        <f t="shared" si="33"/>
        <v>0</v>
      </c>
      <c r="U168" s="133">
        <f t="shared" si="33"/>
        <v>0</v>
      </c>
      <c r="V168" s="133">
        <f t="shared" si="33"/>
        <v>0</v>
      </c>
      <c r="W168" s="133">
        <f t="shared" si="33"/>
        <v>0</v>
      </c>
      <c r="X168" s="133">
        <f t="shared" si="33"/>
        <v>0</v>
      </c>
      <c r="Y168" s="133"/>
    </row>
    <row r="169" spans="4:25">
      <c r="D169" s="7" t="s">
        <v>375</v>
      </c>
      <c r="E169" s="132">
        <f t="shared" si="30"/>
        <v>0</v>
      </c>
      <c r="F169" s="133">
        <f t="shared" si="33"/>
        <v>0</v>
      </c>
      <c r="G169" s="133">
        <f t="shared" si="33"/>
        <v>0</v>
      </c>
      <c r="H169" s="133">
        <f t="shared" si="33"/>
        <v>0</v>
      </c>
      <c r="I169" s="133">
        <f t="shared" si="33"/>
        <v>0</v>
      </c>
      <c r="J169" s="133">
        <f t="shared" si="33"/>
        <v>0</v>
      </c>
      <c r="K169" s="133">
        <f t="shared" si="33"/>
        <v>0</v>
      </c>
      <c r="L169" s="133">
        <f t="shared" si="33"/>
        <v>0</v>
      </c>
      <c r="M169" s="133">
        <f t="shared" si="33"/>
        <v>0</v>
      </c>
      <c r="N169" s="133">
        <f t="shared" si="33"/>
        <v>0</v>
      </c>
      <c r="O169" s="133">
        <f t="shared" si="33"/>
        <v>0</v>
      </c>
      <c r="P169" s="133">
        <f t="shared" si="33"/>
        <v>0</v>
      </c>
      <c r="Q169" s="133">
        <f t="shared" si="33"/>
        <v>0</v>
      </c>
      <c r="R169" s="133">
        <f t="shared" si="33"/>
        <v>0</v>
      </c>
      <c r="S169" s="133">
        <f t="shared" si="33"/>
        <v>0</v>
      </c>
      <c r="T169" s="133">
        <f t="shared" si="33"/>
        <v>0</v>
      </c>
      <c r="U169" s="133">
        <f t="shared" si="33"/>
        <v>0</v>
      </c>
      <c r="V169" s="133">
        <f t="shared" si="33"/>
        <v>0</v>
      </c>
      <c r="W169" s="133">
        <f t="shared" si="33"/>
        <v>0</v>
      </c>
      <c r="X169" s="133">
        <f t="shared" si="33"/>
        <v>0</v>
      </c>
      <c r="Y169" s="133"/>
    </row>
    <row r="170" spans="4:25">
      <c r="D170" s="7" t="s">
        <v>376</v>
      </c>
      <c r="E170" s="132">
        <f t="shared" si="30"/>
        <v>0</v>
      </c>
      <c r="F170" s="133">
        <f t="shared" si="33"/>
        <v>0</v>
      </c>
      <c r="G170" s="133">
        <f t="shared" si="33"/>
        <v>0</v>
      </c>
      <c r="H170" s="133">
        <f t="shared" si="33"/>
        <v>0</v>
      </c>
      <c r="I170" s="133">
        <f t="shared" si="33"/>
        <v>0</v>
      </c>
      <c r="J170" s="133">
        <f t="shared" si="33"/>
        <v>0</v>
      </c>
      <c r="K170" s="133">
        <f t="shared" si="33"/>
        <v>0</v>
      </c>
      <c r="L170" s="133">
        <f t="shared" si="33"/>
        <v>0</v>
      </c>
      <c r="M170" s="133">
        <f t="shared" si="33"/>
        <v>0</v>
      </c>
      <c r="N170" s="133">
        <f t="shared" si="33"/>
        <v>0</v>
      </c>
      <c r="O170" s="133">
        <f t="shared" si="33"/>
        <v>0</v>
      </c>
      <c r="P170" s="133">
        <f t="shared" si="33"/>
        <v>0</v>
      </c>
      <c r="Q170" s="133">
        <f t="shared" si="33"/>
        <v>0</v>
      </c>
      <c r="R170" s="133">
        <f t="shared" si="33"/>
        <v>0</v>
      </c>
      <c r="S170" s="133">
        <f t="shared" si="33"/>
        <v>0</v>
      </c>
      <c r="T170" s="133">
        <f t="shared" si="33"/>
        <v>0</v>
      </c>
      <c r="U170" s="133">
        <f t="shared" si="33"/>
        <v>0</v>
      </c>
      <c r="V170" s="133">
        <f t="shared" si="33"/>
        <v>0</v>
      </c>
      <c r="W170" s="133">
        <f t="shared" si="33"/>
        <v>0</v>
      </c>
      <c r="X170" s="133">
        <f t="shared" si="33"/>
        <v>0</v>
      </c>
      <c r="Y170" s="133"/>
    </row>
    <row r="171" spans="4:25">
      <c r="D171" s="7" t="s">
        <v>377</v>
      </c>
      <c r="E171" s="132">
        <f t="shared" si="30"/>
        <v>0</v>
      </c>
      <c r="F171" s="133">
        <f t="shared" si="33"/>
        <v>0</v>
      </c>
      <c r="G171" s="133">
        <f t="shared" si="33"/>
        <v>0</v>
      </c>
      <c r="H171" s="133">
        <f t="shared" si="33"/>
        <v>0</v>
      </c>
      <c r="I171" s="133">
        <f t="shared" si="33"/>
        <v>0</v>
      </c>
      <c r="J171" s="133">
        <f t="shared" si="33"/>
        <v>0</v>
      </c>
      <c r="K171" s="133">
        <f t="shared" si="33"/>
        <v>0</v>
      </c>
      <c r="L171" s="133">
        <f t="shared" si="33"/>
        <v>0</v>
      </c>
      <c r="M171" s="133">
        <f t="shared" si="33"/>
        <v>0</v>
      </c>
      <c r="N171" s="133">
        <f t="shared" si="33"/>
        <v>0</v>
      </c>
      <c r="O171" s="133">
        <f t="shared" si="33"/>
        <v>0</v>
      </c>
      <c r="P171" s="133">
        <f t="shared" si="33"/>
        <v>0</v>
      </c>
      <c r="Q171" s="133">
        <f t="shared" si="33"/>
        <v>0</v>
      </c>
      <c r="R171" s="133">
        <f t="shared" si="33"/>
        <v>0</v>
      </c>
      <c r="S171" s="133">
        <f t="shared" si="33"/>
        <v>0</v>
      </c>
      <c r="T171" s="133">
        <f t="shared" si="33"/>
        <v>0</v>
      </c>
      <c r="U171" s="133">
        <f t="shared" si="33"/>
        <v>0</v>
      </c>
      <c r="V171" s="133">
        <f t="shared" si="33"/>
        <v>0</v>
      </c>
      <c r="W171" s="133">
        <f t="shared" si="33"/>
        <v>0</v>
      </c>
      <c r="X171" s="133">
        <f t="shared" si="33"/>
        <v>0</v>
      </c>
      <c r="Y171" s="133"/>
    </row>
    <row r="172" spans="4:25">
      <c r="D172" s="7" t="s">
        <v>378</v>
      </c>
      <c r="E172" s="132">
        <f t="shared" si="30"/>
        <v>0</v>
      </c>
      <c r="F172" s="133">
        <f t="shared" si="33"/>
        <v>0</v>
      </c>
      <c r="G172" s="133">
        <f t="shared" si="33"/>
        <v>0</v>
      </c>
      <c r="H172" s="133">
        <f t="shared" si="33"/>
        <v>0</v>
      </c>
      <c r="I172" s="133">
        <f t="shared" si="33"/>
        <v>0</v>
      </c>
      <c r="J172" s="133">
        <f t="shared" si="33"/>
        <v>0</v>
      </c>
      <c r="K172" s="133">
        <f t="shared" si="33"/>
        <v>0</v>
      </c>
      <c r="L172" s="133">
        <f t="shared" si="33"/>
        <v>0</v>
      </c>
      <c r="M172" s="133">
        <f t="shared" si="33"/>
        <v>0</v>
      </c>
      <c r="N172" s="133">
        <f t="shared" ref="N172:X172" si="34">M172+N133</f>
        <v>0</v>
      </c>
      <c r="O172" s="133">
        <f t="shared" si="34"/>
        <v>0</v>
      </c>
      <c r="P172" s="133">
        <f t="shared" si="34"/>
        <v>0</v>
      </c>
      <c r="Q172" s="133">
        <f t="shared" si="34"/>
        <v>0</v>
      </c>
      <c r="R172" s="133">
        <f t="shared" si="34"/>
        <v>0</v>
      </c>
      <c r="S172" s="133">
        <f t="shared" si="34"/>
        <v>0</v>
      </c>
      <c r="T172" s="133">
        <f t="shared" si="34"/>
        <v>0</v>
      </c>
      <c r="U172" s="133">
        <f t="shared" si="34"/>
        <v>0</v>
      </c>
      <c r="V172" s="133">
        <f t="shared" si="34"/>
        <v>0</v>
      </c>
      <c r="W172" s="133">
        <f t="shared" si="34"/>
        <v>0</v>
      </c>
      <c r="X172" s="133">
        <f t="shared" si="34"/>
        <v>0</v>
      </c>
      <c r="Y172" s="133"/>
    </row>
    <row r="173" spans="4:25">
      <c r="D173" s="7" t="s">
        <v>379</v>
      </c>
      <c r="E173" s="132">
        <f t="shared" si="30"/>
        <v>0</v>
      </c>
      <c r="F173" s="133">
        <f t="shared" ref="F173:X176" si="35">E173+F134</f>
        <v>0</v>
      </c>
      <c r="G173" s="133">
        <f t="shared" si="35"/>
        <v>0</v>
      </c>
      <c r="H173" s="133">
        <f t="shared" si="35"/>
        <v>0</v>
      </c>
      <c r="I173" s="133">
        <f t="shared" si="35"/>
        <v>0</v>
      </c>
      <c r="J173" s="133">
        <f t="shared" si="35"/>
        <v>0</v>
      </c>
      <c r="K173" s="133">
        <f t="shared" si="35"/>
        <v>0</v>
      </c>
      <c r="L173" s="133">
        <f t="shared" si="35"/>
        <v>0</v>
      </c>
      <c r="M173" s="133">
        <f t="shared" si="35"/>
        <v>0</v>
      </c>
      <c r="N173" s="133">
        <f t="shared" si="35"/>
        <v>0</v>
      </c>
      <c r="O173" s="133">
        <f t="shared" si="35"/>
        <v>0</v>
      </c>
      <c r="P173" s="133">
        <f t="shared" si="35"/>
        <v>0</v>
      </c>
      <c r="Q173" s="133">
        <f t="shared" si="35"/>
        <v>0</v>
      </c>
      <c r="R173" s="133">
        <f t="shared" si="35"/>
        <v>0</v>
      </c>
      <c r="S173" s="133">
        <f t="shared" si="35"/>
        <v>0</v>
      </c>
      <c r="T173" s="133">
        <f t="shared" si="35"/>
        <v>0</v>
      </c>
      <c r="U173" s="133">
        <f t="shared" si="35"/>
        <v>0</v>
      </c>
      <c r="V173" s="133">
        <f t="shared" si="35"/>
        <v>0</v>
      </c>
      <c r="W173" s="133">
        <f t="shared" si="35"/>
        <v>0</v>
      </c>
      <c r="X173" s="133">
        <f t="shared" si="35"/>
        <v>0</v>
      </c>
      <c r="Y173" s="133"/>
    </row>
    <row r="174" spans="4:25">
      <c r="D174" s="7" t="s">
        <v>380</v>
      </c>
      <c r="E174" s="132">
        <f t="shared" si="30"/>
        <v>0</v>
      </c>
      <c r="F174" s="133">
        <f t="shared" si="35"/>
        <v>0</v>
      </c>
      <c r="G174" s="133">
        <f t="shared" si="35"/>
        <v>0</v>
      </c>
      <c r="H174" s="133">
        <f t="shared" si="35"/>
        <v>0</v>
      </c>
      <c r="I174" s="133">
        <f t="shared" si="35"/>
        <v>0</v>
      </c>
      <c r="J174" s="133">
        <f t="shared" si="35"/>
        <v>0</v>
      </c>
      <c r="K174" s="133">
        <f t="shared" si="35"/>
        <v>0</v>
      </c>
      <c r="L174" s="133">
        <f t="shared" si="35"/>
        <v>0</v>
      </c>
      <c r="M174" s="133">
        <f t="shared" si="35"/>
        <v>0</v>
      </c>
      <c r="N174" s="133">
        <f t="shared" si="35"/>
        <v>0</v>
      </c>
      <c r="O174" s="133">
        <f t="shared" si="35"/>
        <v>0</v>
      </c>
      <c r="P174" s="133">
        <f t="shared" si="35"/>
        <v>0</v>
      </c>
      <c r="Q174" s="133">
        <f t="shared" si="35"/>
        <v>0</v>
      </c>
      <c r="R174" s="133">
        <f t="shared" si="35"/>
        <v>0</v>
      </c>
      <c r="S174" s="133">
        <f t="shared" si="35"/>
        <v>0</v>
      </c>
      <c r="T174" s="133">
        <f t="shared" si="35"/>
        <v>0</v>
      </c>
      <c r="U174" s="133">
        <f t="shared" si="35"/>
        <v>0</v>
      </c>
      <c r="V174" s="133">
        <f t="shared" si="35"/>
        <v>0</v>
      </c>
      <c r="W174" s="133">
        <f t="shared" si="35"/>
        <v>0</v>
      </c>
      <c r="X174" s="133">
        <f t="shared" si="35"/>
        <v>0</v>
      </c>
      <c r="Y174" s="133"/>
    </row>
    <row r="175" spans="4:25">
      <c r="D175" s="7" t="s">
        <v>381</v>
      </c>
      <c r="E175" s="132">
        <f t="shared" si="30"/>
        <v>0</v>
      </c>
      <c r="F175" s="133">
        <f t="shared" si="35"/>
        <v>0</v>
      </c>
      <c r="G175" s="133">
        <f t="shared" si="35"/>
        <v>0</v>
      </c>
      <c r="H175" s="133">
        <f t="shared" si="35"/>
        <v>0</v>
      </c>
      <c r="I175" s="133">
        <f t="shared" si="35"/>
        <v>0</v>
      </c>
      <c r="J175" s="133">
        <f t="shared" si="35"/>
        <v>0</v>
      </c>
      <c r="K175" s="133">
        <f t="shared" si="35"/>
        <v>0</v>
      </c>
      <c r="L175" s="133">
        <f t="shared" si="35"/>
        <v>0</v>
      </c>
      <c r="M175" s="133">
        <f t="shared" si="35"/>
        <v>0</v>
      </c>
      <c r="N175" s="133">
        <f t="shared" si="35"/>
        <v>0</v>
      </c>
      <c r="O175" s="133">
        <f t="shared" si="35"/>
        <v>0</v>
      </c>
      <c r="P175" s="133">
        <f t="shared" si="35"/>
        <v>0</v>
      </c>
      <c r="Q175" s="133">
        <f t="shared" si="35"/>
        <v>0</v>
      </c>
      <c r="R175" s="133">
        <f t="shared" si="35"/>
        <v>0</v>
      </c>
      <c r="S175" s="133">
        <f t="shared" si="35"/>
        <v>0</v>
      </c>
      <c r="T175" s="133">
        <f t="shared" si="35"/>
        <v>0</v>
      </c>
      <c r="U175" s="133">
        <f t="shared" si="35"/>
        <v>0</v>
      </c>
      <c r="V175" s="133">
        <f t="shared" si="35"/>
        <v>0</v>
      </c>
      <c r="W175" s="133">
        <f t="shared" si="35"/>
        <v>0</v>
      </c>
      <c r="X175" s="133">
        <f t="shared" si="35"/>
        <v>0</v>
      </c>
      <c r="Y175" s="133"/>
    </row>
    <row r="176" spans="4:25">
      <c r="D176" s="7" t="s">
        <v>382</v>
      </c>
      <c r="E176" s="132">
        <f t="shared" si="30"/>
        <v>0</v>
      </c>
      <c r="F176" s="133">
        <f t="shared" si="35"/>
        <v>0</v>
      </c>
      <c r="G176" s="133">
        <f t="shared" si="35"/>
        <v>0</v>
      </c>
      <c r="H176" s="133">
        <f t="shared" si="35"/>
        <v>0</v>
      </c>
      <c r="I176" s="133">
        <f t="shared" si="35"/>
        <v>0</v>
      </c>
      <c r="J176" s="133">
        <f t="shared" si="35"/>
        <v>0</v>
      </c>
      <c r="K176" s="133">
        <f t="shared" si="35"/>
        <v>0</v>
      </c>
      <c r="L176" s="133">
        <f t="shared" si="35"/>
        <v>0</v>
      </c>
      <c r="M176" s="133">
        <f t="shared" si="35"/>
        <v>0</v>
      </c>
      <c r="N176" s="133">
        <f t="shared" si="35"/>
        <v>0</v>
      </c>
      <c r="O176" s="133">
        <f t="shared" si="35"/>
        <v>0</v>
      </c>
      <c r="P176" s="133">
        <f t="shared" si="35"/>
        <v>0</v>
      </c>
      <c r="Q176" s="133">
        <f t="shared" si="35"/>
        <v>0</v>
      </c>
      <c r="R176" s="133">
        <f t="shared" si="35"/>
        <v>0</v>
      </c>
      <c r="S176" s="133">
        <f t="shared" si="35"/>
        <v>0</v>
      </c>
      <c r="T176" s="133">
        <f t="shared" si="35"/>
        <v>0</v>
      </c>
      <c r="U176" s="133">
        <f t="shared" si="35"/>
        <v>0</v>
      </c>
      <c r="V176" s="133">
        <f t="shared" si="35"/>
        <v>0</v>
      </c>
      <c r="W176" s="133">
        <f t="shared" si="35"/>
        <v>0</v>
      </c>
      <c r="X176" s="133">
        <f t="shared" si="35"/>
        <v>0</v>
      </c>
      <c r="Y176" s="133"/>
    </row>
    <row r="178" spans="4:79" ht="15">
      <c r="D178" s="66" t="s">
        <v>135</v>
      </c>
      <c r="E178" s="66">
        <f>SUM(E145:E176)</f>
        <v>0.40316235804870315</v>
      </c>
      <c r="F178" s="66">
        <f>SUM(F145:F176)</f>
        <v>1.299304221088919</v>
      </c>
      <c r="G178" s="66">
        <f t="shared" ref="G178:X178" si="36">SUM(G145:G176)</f>
        <v>2.7964216640346446</v>
      </c>
      <c r="H178" s="66">
        <f t="shared" si="36"/>
        <v>4.9885501365310798</v>
      </c>
      <c r="I178" s="66">
        <f t="shared" si="36"/>
        <v>7.9705175965080404</v>
      </c>
      <c r="J178" s="66">
        <f t="shared" si="36"/>
        <v>11.872839983533884</v>
      </c>
      <c r="K178" s="66">
        <f t="shared" si="36"/>
        <v>16.781063475974353</v>
      </c>
      <c r="L178" s="66">
        <f t="shared" si="36"/>
        <v>22.712438955452072</v>
      </c>
      <c r="M178" s="66">
        <f t="shared" si="36"/>
        <v>29.602833501576495</v>
      </c>
      <c r="N178" s="66">
        <f t="shared" si="36"/>
        <v>37.311618983905262</v>
      </c>
      <c r="O178" s="66">
        <f t="shared" si="36"/>
        <v>45.646847350146757</v>
      </c>
      <c r="P178" s="66">
        <f t="shared" si="36"/>
        <v>54.404072052991708</v>
      </c>
      <c r="Q178" s="66">
        <f t="shared" si="36"/>
        <v>63.40466403823271</v>
      </c>
      <c r="R178" s="66">
        <f t="shared" si="36"/>
        <v>72.519302560121673</v>
      </c>
      <c r="S178" s="66">
        <f t="shared" si="36"/>
        <v>81.670811320382626</v>
      </c>
      <c r="T178" s="66">
        <f t="shared" si="36"/>
        <v>92.864583410359984</v>
      </c>
      <c r="U178" s="66">
        <f t="shared" si="36"/>
        <v>103.8673966638308</v>
      </c>
      <c r="V178" s="66">
        <f t="shared" si="36"/>
        <v>114.65115212728971</v>
      </c>
      <c r="W178" s="66">
        <f t="shared" si="36"/>
        <v>125.24520581408092</v>
      </c>
      <c r="X178" s="66">
        <f t="shared" si="36"/>
        <v>135.65072609703043</v>
      </c>
      <c r="Y178" s="66"/>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row>
    <row r="179" spans="4:79">
      <c r="E179" s="29"/>
      <c r="F179" s="35"/>
      <c r="G179" s="35"/>
      <c r="H179" s="35"/>
      <c r="I179" s="35"/>
      <c r="J179" s="35"/>
      <c r="K179" s="35"/>
      <c r="L179" s="35"/>
      <c r="M179" s="35"/>
      <c r="N179" s="35"/>
      <c r="O179" s="35"/>
      <c r="P179" s="35"/>
      <c r="Q179" s="35"/>
      <c r="R179" s="35"/>
      <c r="S179" s="35"/>
      <c r="T179" s="35"/>
      <c r="U179" s="35"/>
      <c r="V179" s="35"/>
      <c r="W179" s="35"/>
      <c r="X179" s="35"/>
      <c r="Y179" s="35"/>
    </row>
    <row r="182" spans="4:79" customFormat="1"/>
    <row r="183" spans="4:79" customFormat="1"/>
    <row r="184" spans="4:79" customFormat="1"/>
    <row r="185" spans="4:79" customFormat="1"/>
    <row r="186" spans="4:79" customFormat="1"/>
    <row r="187" spans="4:79" customFormat="1"/>
    <row r="188" spans="4:79" customFormat="1"/>
    <row r="189" spans="4:79" customFormat="1"/>
    <row r="190" spans="4:79" customFormat="1"/>
    <row r="191" spans="4:79" customFormat="1"/>
    <row r="192" spans="4:79" customFormat="1"/>
    <row r="193" customFormat="1"/>
    <row r="194" customFormat="1"/>
    <row r="195" customFormat="1"/>
    <row r="196" customFormat="1"/>
    <row r="197" customFormat="1"/>
    <row r="198" customFormat="1"/>
    <row r="199" customFormat="1"/>
    <row r="200" customFormat="1"/>
  </sheetData>
  <mergeCells count="2">
    <mergeCell ref="B1:T6"/>
    <mergeCell ref="U1:U6"/>
  </mergeCells>
  <pageMargins left="0.75" right="0.75" top="1" bottom="1" header="0.5" footer="0.5"/>
  <headerFooter alignWithMargins="0"/>
  <legacyDrawing r:id="rId1"/>
</worksheet>
</file>

<file path=xl/worksheets/sheet9.xml><?xml version="1.0" encoding="utf-8"?>
<worksheet xmlns="http://schemas.openxmlformats.org/spreadsheetml/2006/main" xmlns:r="http://schemas.openxmlformats.org/officeDocument/2006/relationships">
  <sheetPr codeName="Sheet11"/>
  <dimension ref="A1:G42"/>
  <sheetViews>
    <sheetView workbookViewId="0">
      <selection activeCell="B9" sqref="B9"/>
    </sheetView>
  </sheetViews>
  <sheetFormatPr defaultRowHeight="12.75"/>
  <cols>
    <col min="1" max="1" width="23" bestFit="1" customWidth="1"/>
  </cols>
  <sheetData>
    <row r="1" spans="1:7">
      <c r="A1" t="s">
        <v>528</v>
      </c>
    </row>
    <row r="2" spans="1:7">
      <c r="A2" t="s">
        <v>526</v>
      </c>
    </row>
    <row r="3" spans="1:7">
      <c r="A3" t="s">
        <v>502</v>
      </c>
      <c r="B3" s="164" t="s">
        <v>49</v>
      </c>
      <c r="C3" s="164" t="s">
        <v>50</v>
      </c>
      <c r="D3" s="164" t="s">
        <v>51</v>
      </c>
      <c r="E3" s="164" t="s">
        <v>52</v>
      </c>
    </row>
    <row r="4" spans="1:7">
      <c r="A4" s="119" t="s">
        <v>472</v>
      </c>
      <c r="B4" s="162">
        <f>[3]SF!$O$12</f>
        <v>3.1581870751261829E-2</v>
      </c>
      <c r="C4" s="201">
        <v>2.9671514740017984E-2</v>
      </c>
      <c r="D4" s="201">
        <v>2.9671514740017984E-2</v>
      </c>
      <c r="E4" s="201">
        <v>0.68310644913823848</v>
      </c>
      <c r="F4" t="s">
        <v>524</v>
      </c>
    </row>
    <row r="5" spans="1:7">
      <c r="A5" s="119" t="s">
        <v>483</v>
      </c>
      <c r="B5" s="162">
        <f>[3]SF!$P$12</f>
        <v>1.6300525975087153E-2</v>
      </c>
      <c r="C5" s="201">
        <v>0</v>
      </c>
      <c r="D5" s="201">
        <v>0</v>
      </c>
      <c r="E5" s="201">
        <v>0.53068387215316171</v>
      </c>
      <c r="F5" t="s">
        <v>524</v>
      </c>
      <c r="G5" s="120"/>
    </row>
    <row r="6" spans="1:7">
      <c r="A6" s="119" t="s">
        <v>484</v>
      </c>
      <c r="B6" s="162">
        <f>[3]SF!$O$13</f>
        <v>4.4567562228016852E-3</v>
      </c>
      <c r="C6" s="201">
        <v>0</v>
      </c>
      <c r="D6" s="201">
        <v>0</v>
      </c>
      <c r="E6" s="201">
        <v>0.29641575914254098</v>
      </c>
      <c r="F6" t="s">
        <v>524</v>
      </c>
      <c r="G6" s="120"/>
    </row>
    <row r="7" spans="1:7">
      <c r="A7" s="119" t="s">
        <v>485</v>
      </c>
      <c r="B7" s="162">
        <f>[3]SF!$P$13</f>
        <v>7.5492766359286211E-3</v>
      </c>
      <c r="C7" s="201">
        <v>0</v>
      </c>
      <c r="D7" s="201">
        <v>0</v>
      </c>
      <c r="E7" s="201">
        <v>0.49242118699820225</v>
      </c>
      <c r="F7" t="s">
        <v>524</v>
      </c>
    </row>
    <row r="8" spans="1:7">
      <c r="A8" s="119" t="s">
        <v>481</v>
      </c>
      <c r="B8" s="181">
        <f>[3]SF!$R$20</f>
        <v>7.1501203298525128E-3</v>
      </c>
      <c r="C8" s="202">
        <v>0</v>
      </c>
      <c r="D8" s="202">
        <v>0</v>
      </c>
      <c r="E8" s="202">
        <v>0.10612465573872076</v>
      </c>
      <c r="F8" t="s">
        <v>525</v>
      </c>
    </row>
    <row r="9" spans="1:7">
      <c r="A9" s="119" t="s">
        <v>482</v>
      </c>
      <c r="B9" s="181">
        <f>[3]SF!$R$21</f>
        <v>0</v>
      </c>
      <c r="C9" s="202">
        <v>0</v>
      </c>
      <c r="D9" s="202">
        <v>0</v>
      </c>
      <c r="E9" s="202">
        <v>7.2672527506278908E-2</v>
      </c>
      <c r="F9" t="s">
        <v>525</v>
      </c>
    </row>
    <row r="11" spans="1:7">
      <c r="A11" t="s">
        <v>527</v>
      </c>
    </row>
    <row r="12" spans="1:7">
      <c r="B12" s="164" t="s">
        <v>49</v>
      </c>
      <c r="C12" s="164" t="s">
        <v>50</v>
      </c>
      <c r="D12" s="164" t="s">
        <v>51</v>
      </c>
      <c r="E12" s="164" t="s">
        <v>52</v>
      </c>
    </row>
    <row r="13" spans="1:7">
      <c r="A13" s="119" t="s">
        <v>472</v>
      </c>
      <c r="B13" s="162">
        <f>[3]SF!$O$27+B4</f>
        <v>9.390118672436544E-2</v>
      </c>
      <c r="C13" s="201">
        <f>[2]SATS!D11+[2]SATS!D18+[2]SATS!D22</f>
        <v>3.0766098344917583E-2</v>
      </c>
      <c r="D13" s="201">
        <f>[2]SATS!E11+[2]SATS!E18+[2]SATS!E22</f>
        <v>3.0766098344917583E-2</v>
      </c>
      <c r="E13" s="201">
        <f>[2]SATS!F11+[2]SATS!F18+[2]SATS!F22</f>
        <v>0.95220914475336638</v>
      </c>
    </row>
    <row r="14" spans="1:7">
      <c r="A14" s="119" t="s">
        <v>483</v>
      </c>
      <c r="B14" s="162">
        <f>[3]SF!$P$27+B5</f>
        <v>8.5031745263383557E-2</v>
      </c>
      <c r="C14" s="201">
        <f>[2]SATS!D12+[2]SATS!D19+[2]SATS!D23</f>
        <v>4.9999998343195358E-2</v>
      </c>
      <c r="D14" s="201">
        <f>[2]SATS!E12+[2]SATS!E19+[2]SATS!E23</f>
        <v>4.9999998343195358E-2</v>
      </c>
      <c r="E14" s="201">
        <f>[2]SATS!F12+[2]SATS!F19+[2]SATS!F23</f>
        <v>0.88064285503553696</v>
      </c>
      <c r="G14" s="120"/>
    </row>
    <row r="15" spans="1:7">
      <c r="A15" s="119" t="s">
        <v>484</v>
      </c>
      <c r="B15" s="162">
        <f>[3]SF!$O$28+B6</f>
        <v>8.3651135728114567E-3</v>
      </c>
      <c r="C15" s="201">
        <f>[2]SATS!D13+[2]SATS!D20+[2]SATS!D24</f>
        <v>0</v>
      </c>
      <c r="D15" s="201">
        <f>[2]SATS!E13+[2]SATS!E20+[2]SATS!E24</f>
        <v>0</v>
      </c>
      <c r="E15" s="201">
        <f>[2]SATS!F13+[2]SATS!F20+[2]SATS!F24</f>
        <v>0.39986256405344089</v>
      </c>
      <c r="G15" s="120"/>
    </row>
    <row r="16" spans="1:7">
      <c r="A16" s="119" t="s">
        <v>485</v>
      </c>
      <c r="B16" s="162">
        <f>[3]SF!$P$28+B7</f>
        <v>3.0895339165041766E-2</v>
      </c>
      <c r="C16" s="201">
        <f>[2]SATS!D14+[2]SATS!D21+[2]SATS!D25</f>
        <v>0</v>
      </c>
      <c r="D16" s="201">
        <f>[2]SATS!E14+[2]SATS!E21+[2]SATS!E25</f>
        <v>0</v>
      </c>
      <c r="E16" s="201">
        <f>[2]SATS!F14+[2]SATS!F21+[2]SATS!F25</f>
        <v>0.63593867048677555</v>
      </c>
    </row>
    <row r="17" spans="1:5">
      <c r="A17" s="119" t="s">
        <v>481</v>
      </c>
      <c r="B17" s="181">
        <f>[3]SF!$R$27+B8</f>
        <v>0.13820065559125255</v>
      </c>
      <c r="C17" s="202">
        <f>[2]SATS!D15+[2]SATS!D26+C8</f>
        <v>3.522295124171837E-2</v>
      </c>
      <c r="D17" s="202">
        <f>[2]SATS!E15+[2]SATS!E26+D8</f>
        <v>3.522295124171837E-2</v>
      </c>
      <c r="E17" s="202">
        <f>[2]SATS!F15+[2]SATS!F26+E8</f>
        <v>0.91806481821120145</v>
      </c>
    </row>
    <row r="18" spans="1:5">
      <c r="A18" s="119" t="s">
        <v>482</v>
      </c>
      <c r="B18" s="181">
        <f>[3]SF!$R$28+B9</f>
        <v>2.7254419879122912E-2</v>
      </c>
      <c r="C18" s="202">
        <f>[2]SATS!D16+[2]SATS!D27+C9</f>
        <v>0</v>
      </c>
      <c r="D18" s="202">
        <f>[2]SATS!E16+[2]SATS!E27+D9</f>
        <v>0</v>
      </c>
      <c r="E18" s="202">
        <f>[2]SATS!F16+[2]SATS!F27+E9</f>
        <v>0.55012556566272408</v>
      </c>
    </row>
    <row r="23" spans="1:5">
      <c r="A23" t="s">
        <v>503</v>
      </c>
      <c r="B23" s="164" t="s">
        <v>49</v>
      </c>
      <c r="C23" s="164" t="s">
        <v>50</v>
      </c>
      <c r="D23" s="164" t="s">
        <v>51</v>
      </c>
      <c r="E23" s="164" t="s">
        <v>52</v>
      </c>
    </row>
    <row r="24" spans="1:5">
      <c r="A24" s="119" t="s">
        <v>472</v>
      </c>
      <c r="B24" s="161">
        <f>[3]SF!$O$35</f>
        <v>7.5615605416299289E-2</v>
      </c>
      <c r="C24" s="201">
        <v>0.85383980263040493</v>
      </c>
      <c r="D24" s="201">
        <v>0.85383980263040493</v>
      </c>
      <c r="E24" s="201">
        <v>3.0024948086295324E-2</v>
      </c>
    </row>
    <row r="25" spans="1:5">
      <c r="A25" s="119" t="s">
        <v>483</v>
      </c>
      <c r="B25" s="161">
        <f>[3]SF!$P$35</f>
        <v>2.8861926895952489E-2</v>
      </c>
      <c r="C25" s="201">
        <v>0.73333333554240632</v>
      </c>
      <c r="D25" s="201">
        <v>0.73333333554240632</v>
      </c>
      <c r="E25" s="201">
        <v>2.9788775817665265E-2</v>
      </c>
    </row>
    <row r="26" spans="1:5">
      <c r="A26" s="119" t="s">
        <v>484</v>
      </c>
      <c r="B26" s="161">
        <f>[3]SF!$O$36</f>
        <v>8.3542752036571358E-3</v>
      </c>
      <c r="C26" s="201">
        <v>0.59999998409467525</v>
      </c>
      <c r="D26" s="201">
        <v>0.59999998409467525</v>
      </c>
      <c r="E26" s="201">
        <v>3.3197825672557038E-2</v>
      </c>
    </row>
    <row r="27" spans="1:5">
      <c r="A27" s="119" t="s">
        <v>485</v>
      </c>
      <c r="B27" s="161">
        <f>[3]SF!$P$36</f>
        <v>3.0038856652596046E-2</v>
      </c>
      <c r="C27" s="201">
        <v>0.77777778759587934</v>
      </c>
      <c r="D27" s="201">
        <v>0.77777778759587934</v>
      </c>
      <c r="E27" s="201">
        <v>3.9084849826646118E-2</v>
      </c>
    </row>
    <row r="28" spans="1:5">
      <c r="A28" s="119" t="s">
        <v>481</v>
      </c>
      <c r="B28" s="163">
        <f>[3]SF!$R$35</f>
        <v>0.10447753231225178</v>
      </c>
      <c r="C28" s="202">
        <f>[3]MF!$L$34</f>
        <v>0.82591620954879041</v>
      </c>
      <c r="D28" s="202">
        <f t="shared" ref="D28:D29" si="0">C28</f>
        <v>0.82591620954879041</v>
      </c>
      <c r="E28" s="202">
        <f>[3]MH!$L$35</f>
        <v>2.9912270132860779E-2</v>
      </c>
    </row>
    <row r="29" spans="1:5">
      <c r="A29" s="119" t="s">
        <v>482</v>
      </c>
      <c r="B29" s="161">
        <f>[3]SF!$R$36</f>
        <v>3.8393131856253183E-2</v>
      </c>
      <c r="C29" s="202">
        <f>[3]MF!$L$35</f>
        <v>0.71428571563820797</v>
      </c>
      <c r="D29" s="202">
        <f t="shared" si="0"/>
        <v>0.71428571563820797</v>
      </c>
      <c r="E29" s="202">
        <f>[3]MH!$L$36</f>
        <v>3.6944930507961368E-2</v>
      </c>
    </row>
    <row r="39" spans="1:2">
      <c r="A39" t="s">
        <v>824</v>
      </c>
    </row>
    <row r="40" spans="1:2">
      <c r="A40" s="119" t="s">
        <v>825</v>
      </c>
      <c r="B40" s="161">
        <v>2.1766292465668989E-2</v>
      </c>
    </row>
    <row r="41" spans="1:2">
      <c r="A41" s="119" t="s">
        <v>826</v>
      </c>
      <c r="B41" s="161">
        <v>4.1178226016708668E-2</v>
      </c>
    </row>
    <row r="42" spans="1:2">
      <c r="A42" s="119" t="s">
        <v>827</v>
      </c>
      <c r="B42" s="408">
        <v>8.9373362312324317E-2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7PSourceSummary</vt:lpstr>
      <vt:lpstr>forRPM</vt:lpstr>
      <vt:lpstr>SC-New</vt:lpstr>
      <vt:lpstr>SC-New (2)</vt:lpstr>
      <vt:lpstr>SC-New (3)</vt:lpstr>
      <vt:lpstr>SC-NR</vt:lpstr>
      <vt:lpstr>SC-NR (2)</vt:lpstr>
      <vt:lpstr>SC-NR (3)</vt:lpstr>
      <vt:lpstr>HVAC weighting</vt:lpstr>
      <vt:lpstr>accomplishments</vt:lpstr>
      <vt:lpstr>M_Input_Out</vt:lpstr>
      <vt:lpstr>M_Input</vt:lpstr>
      <vt:lpstr>Segmented</vt:lpstr>
      <vt:lpstr>weighting</vt:lpstr>
      <vt:lpstr>Composite</vt:lpstr>
      <vt:lpstr>Raw</vt:lpstr>
      <vt:lpstr>Savings Analysis</vt:lpstr>
      <vt:lpstr>Cost Analysis</vt:lpstr>
      <vt:lpstr>SEEMsavings</vt:lpstr>
      <vt:lpstr>DHP Raw CostData&amp;Analysis</vt:lpstr>
      <vt:lpstr>MeasureOutput</vt:lpstr>
    </vt:vector>
  </TitlesOfParts>
  <Company>Northwest Power and Conservation Council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Tina Jayaweera</dc:creator>
  <cp:lastModifiedBy>Tina Jayaweera</cp:lastModifiedBy>
  <dcterms:created xsi:type="dcterms:W3CDTF">2014-08-11T21:52:53Z</dcterms:created>
  <dcterms:modified xsi:type="dcterms:W3CDTF">2015-03-25T21:56:30Z</dcterms:modified>
</cp:coreProperties>
</file>